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2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1.xml" ContentType="application/vnd.openxmlformats-officedocument.spreadsheetml.externalLink+xml"/>
  <Override PartName="/xl/externalLinks/externalLink6.xml" ContentType="application/vnd.openxmlformats-officedocument.spreadsheetml.externalLink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xl/externalLinks/externalLink8.xml" ContentType="application/vnd.openxmlformats-officedocument.spreadsheetml.externalLink+xml"/>
  <Override PartName="/xl/comments1.xml" ContentType="application/vnd.openxmlformats-officedocument.spreadsheetml.comments+xml"/>
  <Override PartName="/xl/externalLinks/externalLink9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0.xml" ContentType="application/vnd.openxmlformats-officedocument.spreadsheetml.externalLink+xml"/>
  <Override PartName="/xl/comments2.xml" ContentType="application/vnd.openxmlformats-officedocument.spreadsheetml.comments+xml"/>
  <Override PartName="/xl/externalLinks/externalLink7.xml" ContentType="application/vnd.openxmlformats-officedocument.spreadsheetml.externalLink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xl/externalLinks/externalLink13.xml" ContentType="application/vnd.openxmlformats-officedocument.spreadsheetml.externalLink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"/>
    </mc:Choice>
  </mc:AlternateContent>
  <bookViews>
    <workbookView xWindow="200" yWindow="180" windowWidth="13380" windowHeight="7350" tabRatio="815" activeTab="1"/>
  </bookViews>
  <sheets>
    <sheet name="References" sheetId="4" r:id="rId1"/>
    <sheet name="DF Calculation" sheetId="7" r:id="rId2"/>
    <sheet name="Consolidated Cust Cnt" sheetId="11" r:id="rId3"/>
    <sheet name="Disposal Schedule" sheetId="21" r:id="rId4"/>
    <sheet name="Proposed Rates" sheetId="12" r:id="rId5"/>
    <sheet name="Rev Recon" sheetId="16" r:id="rId6"/>
    <sheet name="Murrey's Rev 2015" sheetId="15" r:id="rId7"/>
    <sheet name="American Rev 2015" sheetId="14" r:id="rId8"/>
    <sheet name="Murrey's IS" sheetId="17" r:id="rId9"/>
    <sheet name="American IS" sheetId="18" r:id="rId10"/>
  </sheets>
  <externalReferences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</externalReferences>
  <definedNames>
    <definedName name="___CYA1">[1]Hidden!$N$11</definedName>
    <definedName name="___CYA10">[1]Hidden!$E$11</definedName>
    <definedName name="___CYA11">[1]Hidden!$P$11</definedName>
    <definedName name="___CYA2">[1]Hidden!$M$11</definedName>
    <definedName name="___CYA3">[1]Hidden!$L$11</definedName>
    <definedName name="___CYA4">[1]Hidden!$K$11</definedName>
    <definedName name="___CYA5">[1]Hidden!$J$11</definedName>
    <definedName name="___CYA6">[1]Hidden!$I$11</definedName>
    <definedName name="___CYA7">[1]Hidden!$H$11</definedName>
    <definedName name="___CYA8">[1]Hidden!$G$11</definedName>
    <definedName name="___CYA9">[1]Hidden!$F$11</definedName>
    <definedName name="___LYA12">[1]Hidden!$O$11</definedName>
    <definedName name="__CYA1">[1]Hidden!$N$11</definedName>
    <definedName name="__CYA10">[1]Hidden!$E$11</definedName>
    <definedName name="__CYA11">[1]Hidden!$P$11</definedName>
    <definedName name="__CYA2">[1]Hidden!$M$11</definedName>
    <definedName name="__CYA3">[1]Hidden!$L$11</definedName>
    <definedName name="__CYA4">[1]Hidden!$K$11</definedName>
    <definedName name="__CYA5">[1]Hidden!$J$11</definedName>
    <definedName name="__CYA6">[1]Hidden!$I$11</definedName>
    <definedName name="__CYA7">[1]Hidden!$H$11</definedName>
    <definedName name="__CYA8">[1]Hidden!$G$11</definedName>
    <definedName name="__CYA9">[1]Hidden!$F$11</definedName>
    <definedName name="__LYA12">[1]Hidden!$O$11</definedName>
    <definedName name="_ACT1">[2]Hidden!#REF!</definedName>
    <definedName name="_ACT2">[2]Hidden!#REF!</definedName>
    <definedName name="_ACT3">[2]Hidden!#REF!</definedName>
    <definedName name="_CYA1">[1]Hidden!$N$11</definedName>
    <definedName name="_CYA10">[1]Hidden!$E$11</definedName>
    <definedName name="_CYA11">[1]Hidden!$P$11</definedName>
    <definedName name="_CYA2">[1]Hidden!$M$11</definedName>
    <definedName name="_CYA3">[1]Hidden!$L$11</definedName>
    <definedName name="_CYA4">[1]Hidden!$K$11</definedName>
    <definedName name="_CYA5">[1]Hidden!$J$11</definedName>
    <definedName name="_CYA6">[1]Hidden!$I$11</definedName>
    <definedName name="_CYA7">[1]Hidden!$H$11</definedName>
    <definedName name="_CYA8">[1]Hidden!$G$11</definedName>
    <definedName name="_CYA9">[1]Hidden!$F$11</definedName>
    <definedName name="_LYA12">[1]Hidden!$O$11</definedName>
    <definedName name="ACCT">[2]Hidden!#REF!</definedName>
    <definedName name="ACCT.ConsolSum">[1]Hidden!$Q$11</definedName>
    <definedName name="ACT_CUR">[2]Hidden!#REF!</definedName>
    <definedName name="ACT_YTD">[2]Hidden!#REF!</definedName>
    <definedName name="AmountCount">#REF!</definedName>
    <definedName name="AmountTotal">#REF!</definedName>
    <definedName name="BookRev">'[3]Pacific Regulated - Price Out'!$F$50</definedName>
    <definedName name="BookRev_com">'[3]Pacific Regulated - Price Out'!$F$214</definedName>
    <definedName name="BookRev_mfr">'[3]Pacific Regulated - Price Out'!$F$222</definedName>
    <definedName name="BookRev_ro">'[3]Pacific Regulated - Price Out'!$F$282</definedName>
    <definedName name="BookRev_rr">'[3]Pacific Regulated - Price Out'!$F$59</definedName>
    <definedName name="BookRev_yw">'[3]Pacific Regulated - Price Out'!$F$70</definedName>
    <definedName name="BREMAIR_COST_of_SERVICE_STUDY">#REF!</definedName>
    <definedName name="BUD_CUR">[2]Hidden!#REF!</definedName>
    <definedName name="BUD_YTD">[2]Hidden!#REF!</definedName>
    <definedName name="CalRecyTons">'[4]Recycl Tons, Commodity Value'!$L$23</definedName>
    <definedName name="CheckTotals">#REF!</definedName>
    <definedName name="colgroup">[1]Orientation!$G$6</definedName>
    <definedName name="colsegment">[1]Orientation!$F$6</definedName>
    <definedName name="CRCTable">#REF!</definedName>
    <definedName name="CRCTableOLD">#REF!</definedName>
    <definedName name="CriteriaType">[5]ControlPanel!$Z$2:$Z$5</definedName>
    <definedName name="Cutomers">#REF!</definedName>
    <definedName name="_xlnm.Database">#REF!</definedName>
    <definedName name="Database1">#REF!</definedName>
    <definedName name="DEPT">[2]Hidden!#REF!</definedName>
    <definedName name="District" localSheetId="9">'American IS'!$K$1</definedName>
    <definedName name="District" localSheetId="8">'Murrey''s IS'!$L$1</definedName>
    <definedName name="District">'[6]Vashon BS'!#REF!</definedName>
    <definedName name="DistrictName" localSheetId="9">'American IS'!$K$2</definedName>
    <definedName name="DistrictName" localSheetId="8">'Murrey''s IS'!$L$2</definedName>
    <definedName name="DistrictNum">#REF!</definedName>
    <definedName name="drlFilter">[1]Settings!$D$27</definedName>
    <definedName name="End">#REF!</definedName>
    <definedName name="ExcludeIC" localSheetId="9">'American IS'!$O$1</definedName>
    <definedName name="ExcludeIC" localSheetId="8">'Murrey''s IS'!$P$1</definedName>
    <definedName name="ExcludeIC">'[6]Vashon BS'!#REF!</definedName>
    <definedName name="FBTable">#REF!</definedName>
    <definedName name="FBTableOld">#REF!</definedName>
    <definedName name="filter">[1]Settings!$B$14:$H$25</definedName>
    <definedName name="GLMappingStart">#REF!</definedName>
    <definedName name="IncomeStmnt">#REF!</definedName>
    <definedName name="INPUT">#REF!</definedName>
    <definedName name="Insurance">#REF!</definedName>
    <definedName name="JEDetail">#REF!</definedName>
    <definedName name="JEType">#REF!</definedName>
    <definedName name="lblBillAreaStatus">#REF!</definedName>
    <definedName name="lblBillCycleStatus">#REF!</definedName>
    <definedName name="lblCategoryStatus">#REF!</definedName>
    <definedName name="lblCompanyStatus">#REF!</definedName>
    <definedName name="lblDatabaseStatus">#REF!</definedName>
    <definedName name="lblPullStatus">#REF!</definedName>
    <definedName name="lllllllllllllllllllll">#REF!</definedName>
    <definedName name="MainDataEnd">#REF!</definedName>
    <definedName name="MainDataStart">#REF!</definedName>
    <definedName name="MapKeyStart">#REF!</definedName>
    <definedName name="master_def">#REF!</definedName>
    <definedName name="MemoAttachment">#REF!</definedName>
    <definedName name="MetaSet">[1]Orientation!$C$22</definedName>
    <definedName name="NewOnlyOrg">#N/A</definedName>
    <definedName name="NOTES">#REF!</definedName>
    <definedName name="NR">#REF!</definedName>
    <definedName name="OfficerSalary">#N/A</definedName>
    <definedName name="OffsetAcctBil">[7]JEexport!$L$10</definedName>
    <definedName name="OffsetAcctPmt">[7]JEexport!$L$9</definedName>
    <definedName name="Org11_13">#N/A</definedName>
    <definedName name="Org7_10">#N/A</definedName>
    <definedName name="p">#REF!</definedName>
    <definedName name="PAGE_1">#REF!</definedName>
    <definedName name="pBatchID">#REF!</definedName>
    <definedName name="pBillArea">#REF!</definedName>
    <definedName name="pBillCycle">#REF!</definedName>
    <definedName name="pCategory">#REF!</definedName>
    <definedName name="pCompany">#REF!</definedName>
    <definedName name="pCustomerNumber">#REF!</definedName>
    <definedName name="pDatabase">#REF!</definedName>
    <definedName name="pEndPostDate">#REF!</definedName>
    <definedName name="Period">#REF!</definedName>
    <definedName name="pMonth">#REF!</definedName>
    <definedName name="pOnlyShowLastTranx">#REF!</definedName>
    <definedName name="primtbl">[1]Orientation!$C$23</definedName>
    <definedName name="_xlnm.Print_Area" localSheetId="9">'American IS'!$A$1:$AG$312</definedName>
    <definedName name="_xlnm.Print_Area" localSheetId="7">'American Rev 2015'!$A$1:$U$327</definedName>
    <definedName name="_xlnm.Print_Area" localSheetId="2">'Consolidated Cust Cnt'!$A$1:$E$290</definedName>
    <definedName name="_xlnm.Print_Area" localSheetId="1">'DF Calculation'!$A$1:$Z$137</definedName>
    <definedName name="_xlnm.Print_Area" localSheetId="8">'Murrey''s IS'!$A$1:$AG$327</definedName>
    <definedName name="_xlnm.Print_Area" localSheetId="6">'Murrey''s Rev 2015'!$A$1:$U$332</definedName>
    <definedName name="_xlnm.Print_Area">#REF!</definedName>
    <definedName name="Print_Area_MI">#REF!</definedName>
    <definedName name="Print_Area1">#REF!</definedName>
    <definedName name="Print_Area2">#REF!</definedName>
    <definedName name="Print_Area3">#REF!</definedName>
    <definedName name="Print_Area5">#REF!</definedName>
    <definedName name="_xlnm.Print_Titles" localSheetId="9">'American IS'!$A:$E,'American IS'!$1:$8</definedName>
    <definedName name="_xlnm.Print_Titles" localSheetId="7">'American Rev 2015'!$B:$B,'American Rev 2015'!$1:$5</definedName>
    <definedName name="_xlnm.Print_Titles" localSheetId="2">'Consolidated Cust Cnt'!$1:$4</definedName>
    <definedName name="_xlnm.Print_Titles" localSheetId="1">'DF Calculation'!$C:$C</definedName>
    <definedName name="_xlnm.Print_Titles" localSheetId="8">'Murrey''s IS'!$A:$E,'Murrey''s IS'!$1:$8</definedName>
    <definedName name="_xlnm.Print_Titles" localSheetId="6">'Murrey''s Rev 2015'!$B:$B,'Murrey''s Rev 2015'!$1:$5</definedName>
    <definedName name="_xlnm.Print_Titles" localSheetId="4">'Proposed Rates'!$4:$6</definedName>
    <definedName name="Print1">#REF!</definedName>
    <definedName name="Print2">#REF!</definedName>
    <definedName name="Print5">#REF!</definedName>
    <definedName name="ProRev">'[3]Pacific Regulated - Price Out'!$M$49</definedName>
    <definedName name="ProRev_com">'[3]Pacific Regulated - Price Out'!$M$213</definedName>
    <definedName name="ProRev_mfr">'[3]Pacific Regulated - Price Out'!$M$221</definedName>
    <definedName name="ProRev_ro">'[3]Pacific Regulated - Price Out'!$M$281</definedName>
    <definedName name="ProRev_rr">'[3]Pacific Regulated - Price Out'!$M$58</definedName>
    <definedName name="ProRev_yw">'[3]Pacific Regulated - Price Out'!$M$69</definedName>
    <definedName name="pServer">#REF!</definedName>
    <definedName name="pServiceCode">#REF!</definedName>
    <definedName name="pShowAllUnposted">#REF!</definedName>
    <definedName name="pShowCustomerDetail">#REF!</definedName>
    <definedName name="pSortOption">#REF!</definedName>
    <definedName name="pStartPostDate">#REF!</definedName>
    <definedName name="pTransType">#REF!</definedName>
    <definedName name="RCW_81.04.080">#N/A</definedName>
    <definedName name="RecyDisposal">#N/A</definedName>
    <definedName name="RelatedSalary">#N/A</definedName>
    <definedName name="report_type">[1]Orientation!$C$24</definedName>
    <definedName name="ReportNames">[8]ControlPanel!$S$2:$S$16</definedName>
    <definedName name="ReportVersion">[1]Settings!$D$5</definedName>
    <definedName name="RetainedEarnings">#REF!</definedName>
    <definedName name="RevCust">[9]RevenuesCust!#REF!</definedName>
    <definedName name="RevCustomer">#REF!</definedName>
    <definedName name="rngCreateLog">[1]Delivery!$B$12</definedName>
    <definedName name="rngFilePassword">[1]Delivery!$B$6</definedName>
    <definedName name="rngSourceTab">[1]Delivery!$E$8</definedName>
    <definedName name="rowgroup">[1]Orientation!$C$17</definedName>
    <definedName name="rowsegment">[1]Orientation!$B$17</definedName>
    <definedName name="Sequential_Group">[1]Settings!$J$6</definedName>
    <definedName name="Sequential_Segment">[1]Settings!$I$6</definedName>
    <definedName name="Sequential_sort">[1]Settings!$I$10:$J$11</definedName>
    <definedName name="sortcol">#REF!</definedName>
    <definedName name="sSRCDate">'[10]Feb''12 FAR Data'!#REF!</definedName>
    <definedName name="Supplemental_filter">[1]Settings!$C$31</definedName>
    <definedName name="SWDisposal">#N/A</definedName>
    <definedName name="System" localSheetId="9">'American IS'!$O$2</definedName>
    <definedName name="System" localSheetId="8">'Murrey''s IS'!$P$2</definedName>
    <definedName name="System">[11]BS_Close!$V$8</definedName>
    <definedName name="TemplateEnd">#REF!</definedName>
    <definedName name="TemplateStart">#REF!</definedName>
    <definedName name="TheTable">#REF!</definedName>
    <definedName name="TheTableOLD">#REF!</definedName>
    <definedName name="timeseries">[1]Orientation!$B$6:$C$13</definedName>
    <definedName name="Total_Comm">'[4]Tariff Rate Sheet'!$L$214</definedName>
    <definedName name="Total_DB">'[4]Tariff Rate Sheet'!$L$278</definedName>
    <definedName name="Total_Resi">'[4]Tariff Rate Sheet'!$L$107</definedName>
    <definedName name="Transactions">#REF!</definedName>
    <definedName name="WTable">#REF!</definedName>
    <definedName name="WTableOld">#REF!</definedName>
    <definedName name="ww">#REF!</definedName>
    <definedName name="xperiod">[1]Orientation!$G$15</definedName>
    <definedName name="xtabin">[2]Hidden!#REF!</definedName>
    <definedName name="xx">#REF!</definedName>
    <definedName name="xxx">#REF!</definedName>
    <definedName name="xxxx">#REF!</definedName>
    <definedName name="YearMonth" localSheetId="9">'American IS'!$A$3</definedName>
    <definedName name="YearMonth" localSheetId="8">'Murrey''s IS'!$A$3</definedName>
    <definedName name="YearMonth">'[6]Vashon BS'!#REF!</definedName>
    <definedName name="YWMedWasteDisp">#N/A</definedName>
    <definedName name="yy">#REF!</definedName>
  </definedNames>
  <calcPr calcId="152511"/>
</workbook>
</file>

<file path=xl/calcChain.xml><?xml version="1.0" encoding="utf-8"?>
<calcChain xmlns="http://schemas.openxmlformats.org/spreadsheetml/2006/main">
  <c r="F64" i="16" l="1"/>
  <c r="F59" i="16"/>
  <c r="D19" i="21" l="1"/>
  <c r="D18" i="21"/>
  <c r="D17" i="21"/>
  <c r="D16" i="21"/>
  <c r="D15" i="21"/>
  <c r="D14" i="21"/>
  <c r="D13" i="21"/>
  <c r="D12" i="21"/>
  <c r="D11" i="21"/>
  <c r="D10" i="21"/>
  <c r="D9" i="21"/>
  <c r="D8" i="21"/>
  <c r="D23" i="21" s="1"/>
  <c r="B19" i="21"/>
  <c r="B18" i="21"/>
  <c r="C18" i="21" s="1"/>
  <c r="B17" i="21"/>
  <c r="C17" i="21" s="1"/>
  <c r="B16" i="21"/>
  <c r="C16" i="21" s="1"/>
  <c r="B15" i="21"/>
  <c r="C15" i="21" s="1"/>
  <c r="B14" i="21"/>
  <c r="C14" i="21" s="1"/>
  <c r="B13" i="21"/>
  <c r="C13" i="21" s="1"/>
  <c r="B12" i="21"/>
  <c r="C12" i="21" s="1"/>
  <c r="B11" i="21"/>
  <c r="B10" i="21"/>
  <c r="B9" i="21"/>
  <c r="B8" i="21"/>
  <c r="C8" i="21" s="1"/>
  <c r="D24" i="21" l="1"/>
  <c r="D39" i="21" s="1"/>
  <c r="E10" i="21"/>
  <c r="E14" i="21"/>
  <c r="G14" i="21" s="1"/>
  <c r="E18" i="21"/>
  <c r="J18" i="21" s="1"/>
  <c r="E9" i="21"/>
  <c r="J9" i="21" s="1"/>
  <c r="E13" i="21"/>
  <c r="J13" i="21" s="1"/>
  <c r="E17" i="21"/>
  <c r="J17" i="21" s="1"/>
  <c r="G18" i="21"/>
  <c r="E8" i="21"/>
  <c r="G8" i="21" s="1"/>
  <c r="E12" i="21"/>
  <c r="J12" i="21" s="1"/>
  <c r="E16" i="21"/>
  <c r="J16" i="21" s="1"/>
  <c r="E11" i="21"/>
  <c r="J11" i="21" s="1"/>
  <c r="E15" i="21"/>
  <c r="J15" i="21" s="1"/>
  <c r="E19" i="21"/>
  <c r="J19" i="21" s="1"/>
  <c r="I14" i="21"/>
  <c r="B24" i="21"/>
  <c r="B39" i="21" s="1"/>
  <c r="C11" i="21"/>
  <c r="I12" i="21"/>
  <c r="C10" i="21"/>
  <c r="G10" i="21" s="1"/>
  <c r="C19" i="21"/>
  <c r="I15" i="21"/>
  <c r="B21" i="21"/>
  <c r="I8" i="21"/>
  <c r="I16" i="21"/>
  <c r="B23" i="21"/>
  <c r="I17" i="21"/>
  <c r="I18" i="21"/>
  <c r="B38" i="21"/>
  <c r="C9" i="21"/>
  <c r="C23" i="21" s="1"/>
  <c r="I13" i="21"/>
  <c r="D25" i="21"/>
  <c r="G15" i="21"/>
  <c r="D38" i="21"/>
  <c r="D21" i="21"/>
  <c r="T316" i="18"/>
  <c r="T317" i="18" s="1"/>
  <c r="AE311" i="18"/>
  <c r="AC311" i="18"/>
  <c r="AA311" i="18"/>
  <c r="Y311" i="18"/>
  <c r="W311" i="18"/>
  <c r="U311" i="18"/>
  <c r="S311" i="18"/>
  <c r="Q311" i="18"/>
  <c r="O311" i="18"/>
  <c r="M311" i="18"/>
  <c r="K311" i="18"/>
  <c r="I311" i="18"/>
  <c r="G311" i="18"/>
  <c r="AD307" i="18"/>
  <c r="X307" i="18"/>
  <c r="R307" i="18"/>
  <c r="L307" i="18"/>
  <c r="AE305" i="18"/>
  <c r="AD305" i="18"/>
  <c r="AC305" i="18"/>
  <c r="AA305" i="18"/>
  <c r="Y305" i="18"/>
  <c r="X305" i="18"/>
  <c r="W305" i="18"/>
  <c r="U305" i="18"/>
  <c r="S305" i="18"/>
  <c r="R305" i="18"/>
  <c r="Q305" i="18"/>
  <c r="O305" i="18"/>
  <c r="M305" i="18"/>
  <c r="L305" i="18"/>
  <c r="K305" i="18"/>
  <c r="I305" i="18"/>
  <c r="G305" i="18"/>
  <c r="AD301" i="18"/>
  <c r="X301" i="18"/>
  <c r="R301" i="18"/>
  <c r="L301" i="18"/>
  <c r="AE299" i="18"/>
  <c r="AD299" i="18"/>
  <c r="AC299" i="18"/>
  <c r="AA299" i="18"/>
  <c r="Y299" i="18"/>
  <c r="X299" i="18"/>
  <c r="W299" i="18"/>
  <c r="U299" i="18"/>
  <c r="S299" i="18"/>
  <c r="R299" i="18"/>
  <c r="Q299" i="18"/>
  <c r="O299" i="18"/>
  <c r="M299" i="18"/>
  <c r="L299" i="18"/>
  <c r="K299" i="18"/>
  <c r="I299" i="18"/>
  <c r="G299" i="18"/>
  <c r="AD295" i="18"/>
  <c r="X295" i="18"/>
  <c r="R295" i="18"/>
  <c r="L295" i="18"/>
  <c r="AE293" i="18"/>
  <c r="AD293" i="18"/>
  <c r="AC293" i="18"/>
  <c r="AA293" i="18"/>
  <c r="Y293" i="18"/>
  <c r="X293" i="18"/>
  <c r="W293" i="18"/>
  <c r="U293" i="18"/>
  <c r="S293" i="18"/>
  <c r="R293" i="18"/>
  <c r="Q293" i="18"/>
  <c r="O293" i="18"/>
  <c r="M293" i="18"/>
  <c r="L293" i="18"/>
  <c r="K293" i="18"/>
  <c r="I293" i="18"/>
  <c r="G293" i="18"/>
  <c r="AD289" i="18"/>
  <c r="X289" i="18"/>
  <c r="R289" i="18"/>
  <c r="L289" i="18"/>
  <c r="AE287" i="18"/>
  <c r="AD287" i="18"/>
  <c r="AC287" i="18"/>
  <c r="AA287" i="18"/>
  <c r="Y287" i="18"/>
  <c r="X287" i="18"/>
  <c r="W287" i="18"/>
  <c r="U287" i="18"/>
  <c r="S287" i="18"/>
  <c r="R287" i="18"/>
  <c r="Q287" i="18"/>
  <c r="O287" i="18"/>
  <c r="M287" i="18"/>
  <c r="L287" i="18"/>
  <c r="K287" i="18"/>
  <c r="I287" i="18"/>
  <c r="G287" i="18"/>
  <c r="AE283" i="18"/>
  <c r="AD283" i="18"/>
  <c r="AC283" i="18"/>
  <c r="AA283" i="18"/>
  <c r="Y283" i="18"/>
  <c r="X283" i="18"/>
  <c r="W283" i="18"/>
  <c r="U283" i="18"/>
  <c r="S283" i="18"/>
  <c r="R283" i="18"/>
  <c r="Q283" i="18"/>
  <c r="O283" i="18"/>
  <c r="M283" i="18"/>
  <c r="L283" i="18"/>
  <c r="K283" i="18"/>
  <c r="I283" i="18"/>
  <c r="G283" i="18"/>
  <c r="AE279" i="18"/>
  <c r="AD279" i="18"/>
  <c r="AC279" i="18"/>
  <c r="AA279" i="18"/>
  <c r="Y279" i="18"/>
  <c r="X279" i="18"/>
  <c r="W279" i="18"/>
  <c r="U279" i="18"/>
  <c r="S279" i="18"/>
  <c r="R279" i="18"/>
  <c r="Q279" i="18"/>
  <c r="O279" i="18"/>
  <c r="M279" i="18"/>
  <c r="L279" i="18"/>
  <c r="K279" i="18"/>
  <c r="I279" i="18"/>
  <c r="G279" i="18"/>
  <c r="AD275" i="18"/>
  <c r="X275" i="18"/>
  <c r="R275" i="18"/>
  <c r="L275" i="18"/>
  <c r="AD273" i="18"/>
  <c r="X273" i="18"/>
  <c r="R273" i="18"/>
  <c r="L273" i="18"/>
  <c r="AD271" i="18"/>
  <c r="AC271" i="18"/>
  <c r="AA271" i="18"/>
  <c r="Y271" i="18"/>
  <c r="X271" i="18"/>
  <c r="W271" i="18"/>
  <c r="U271" i="18"/>
  <c r="S271" i="18"/>
  <c r="S273" i="18" s="1"/>
  <c r="R271" i="18"/>
  <c r="Q271" i="18"/>
  <c r="O271" i="18"/>
  <c r="M271" i="18"/>
  <c r="L271" i="18"/>
  <c r="K271" i="18"/>
  <c r="I271" i="18"/>
  <c r="G271" i="18"/>
  <c r="AE271" i="18" s="1"/>
  <c r="AE269" i="18"/>
  <c r="AD267" i="18"/>
  <c r="AC267" i="18"/>
  <c r="AA267" i="18"/>
  <c r="Y267" i="18"/>
  <c r="X267" i="18"/>
  <c r="W267" i="18"/>
  <c r="U267" i="18"/>
  <c r="S267" i="18"/>
  <c r="R267" i="18"/>
  <c r="Q267" i="18"/>
  <c r="O267" i="18"/>
  <c r="M267" i="18"/>
  <c r="L267" i="18"/>
  <c r="K267" i="18"/>
  <c r="I267" i="18"/>
  <c r="G267" i="18"/>
  <c r="AD263" i="18"/>
  <c r="AC263" i="18"/>
  <c r="AA263" i="18"/>
  <c r="AA273" i="18" s="1"/>
  <c r="Y263" i="18"/>
  <c r="X263" i="18"/>
  <c r="W263" i="18"/>
  <c r="U263" i="18"/>
  <c r="U273" i="18" s="1"/>
  <c r="S263" i="18"/>
  <c r="R263" i="18"/>
  <c r="Q263" i="18"/>
  <c r="O263" i="18"/>
  <c r="O273" i="18" s="1"/>
  <c r="M263" i="18"/>
  <c r="L263" i="18"/>
  <c r="K263" i="18"/>
  <c r="I263" i="18"/>
  <c r="I273" i="18" s="1"/>
  <c r="G263" i="18"/>
  <c r="AE261" i="18"/>
  <c r="AE260" i="18"/>
  <c r="AE251" i="18"/>
  <c r="AC251" i="18"/>
  <c r="AA251" i="18"/>
  <c r="Y251" i="18"/>
  <c r="W251" i="18"/>
  <c r="U251" i="18"/>
  <c r="S251" i="18"/>
  <c r="Q251" i="18"/>
  <c r="O251" i="18"/>
  <c r="M251" i="18"/>
  <c r="K251" i="18"/>
  <c r="I251" i="18"/>
  <c r="G251" i="18"/>
  <c r="AE249" i="18"/>
  <c r="AC247" i="18"/>
  <c r="AC253" i="18" s="1"/>
  <c r="AA247" i="18"/>
  <c r="Y247" i="18"/>
  <c r="W247" i="18"/>
  <c r="U247" i="18"/>
  <c r="S247" i="18"/>
  <c r="Q247" i="18"/>
  <c r="O247" i="18"/>
  <c r="M247" i="18"/>
  <c r="K247" i="18"/>
  <c r="I247" i="18"/>
  <c r="G247" i="18"/>
  <c r="AE245" i="18"/>
  <c r="AE244" i="18"/>
  <c r="AE243" i="18"/>
  <c r="AE242" i="18"/>
  <c r="AE241" i="18"/>
  <c r="AE240" i="18"/>
  <c r="AE239" i="18"/>
  <c r="AE238" i="18"/>
  <c r="AE237" i="18"/>
  <c r="AE236" i="18"/>
  <c r="AE235" i="18"/>
  <c r="AE234" i="18"/>
  <c r="AE233" i="18"/>
  <c r="AE232" i="18"/>
  <c r="AE231" i="18"/>
  <c r="AE230" i="18"/>
  <c r="AE229" i="18"/>
  <c r="AE228" i="18"/>
  <c r="AE227" i="18"/>
  <c r="AE226" i="18"/>
  <c r="AE225" i="18"/>
  <c r="AE224" i="18"/>
  <c r="AE223" i="18"/>
  <c r="AE222" i="18"/>
  <c r="AE221" i="18"/>
  <c r="AE220" i="18"/>
  <c r="AE219" i="18"/>
  <c r="AE218" i="18"/>
  <c r="AE217" i="18"/>
  <c r="AE216" i="18"/>
  <c r="AE215" i="18"/>
  <c r="AE214" i="18"/>
  <c r="AE213" i="18"/>
  <c r="AE212" i="18"/>
  <c r="AE211" i="18"/>
  <c r="AE210" i="18"/>
  <c r="AE209" i="18"/>
  <c r="AE208" i="18"/>
  <c r="AE207" i="18"/>
  <c r="AE206" i="18"/>
  <c r="AE205" i="18"/>
  <c r="AE204" i="18"/>
  <c r="AE203" i="18"/>
  <c r="AC200" i="18"/>
  <c r="AA200" i="18"/>
  <c r="Y200" i="18"/>
  <c r="W200" i="18"/>
  <c r="W253" i="18" s="1"/>
  <c r="U200" i="18"/>
  <c r="S200" i="18"/>
  <c r="Q200" i="18"/>
  <c r="O200" i="18"/>
  <c r="M200" i="18"/>
  <c r="M253" i="18" s="1"/>
  <c r="K200" i="18"/>
  <c r="I200" i="18"/>
  <c r="G200" i="18"/>
  <c r="G253" i="18" s="1"/>
  <c r="AE198" i="18"/>
  <c r="AE197" i="18"/>
  <c r="AE196" i="18"/>
  <c r="AE195" i="18"/>
  <c r="AE194" i="18"/>
  <c r="AE193" i="18"/>
  <c r="AE192" i="18"/>
  <c r="AE185" i="18"/>
  <c r="AC185" i="18"/>
  <c r="AA185" i="18"/>
  <c r="Y185" i="18"/>
  <c r="W185" i="18"/>
  <c r="U185" i="18"/>
  <c r="S185" i="18"/>
  <c r="Q185" i="18"/>
  <c r="O185" i="18"/>
  <c r="M185" i="18"/>
  <c r="K185" i="18"/>
  <c r="I185" i="18"/>
  <c r="G185" i="18"/>
  <c r="AC181" i="18"/>
  <c r="AA181" i="18"/>
  <c r="Y181" i="18"/>
  <c r="W181" i="18"/>
  <c r="U181" i="18"/>
  <c r="S181" i="18"/>
  <c r="Q181" i="18"/>
  <c r="O181" i="18"/>
  <c r="M181" i="18"/>
  <c r="K181" i="18"/>
  <c r="I181" i="18"/>
  <c r="G181" i="18"/>
  <c r="AE179" i="18"/>
  <c r="AE178" i="18"/>
  <c r="AE177" i="18"/>
  <c r="AE176" i="18"/>
  <c r="AE175" i="18"/>
  <c r="AE172" i="18"/>
  <c r="AC172" i="18"/>
  <c r="AA172" i="18"/>
  <c r="Y172" i="18"/>
  <c r="W172" i="18"/>
  <c r="U172" i="18"/>
  <c r="S172" i="18"/>
  <c r="Q172" i="18"/>
  <c r="O172" i="18"/>
  <c r="M172" i="18"/>
  <c r="K172" i="18"/>
  <c r="I172" i="18"/>
  <c r="G172" i="18"/>
  <c r="AC168" i="18"/>
  <c r="AA168" i="18"/>
  <c r="Y168" i="18"/>
  <c r="W168" i="18"/>
  <c r="U168" i="18"/>
  <c r="S168" i="18"/>
  <c r="Q168" i="18"/>
  <c r="O168" i="18"/>
  <c r="M168" i="18"/>
  <c r="K168" i="18"/>
  <c r="I168" i="18"/>
  <c r="G168" i="18"/>
  <c r="AE166" i="18"/>
  <c r="AE165" i="18"/>
  <c r="AE164" i="18"/>
  <c r="AE163" i="18"/>
  <c r="AE162" i="18"/>
  <c r="AE161" i="18"/>
  <c r="AE160" i="18"/>
  <c r="AE159" i="18"/>
  <c r="AE158" i="18"/>
  <c r="AE157" i="18"/>
  <c r="AC154" i="18"/>
  <c r="AA154" i="18"/>
  <c r="Y154" i="18"/>
  <c r="W154" i="18"/>
  <c r="U154" i="18"/>
  <c r="S154" i="18"/>
  <c r="Q154" i="18"/>
  <c r="O154" i="18"/>
  <c r="M154" i="18"/>
  <c r="K154" i="18"/>
  <c r="I154" i="18"/>
  <c r="G154" i="18"/>
  <c r="AE152" i="18"/>
  <c r="AE151" i="18"/>
  <c r="AE150" i="18"/>
  <c r="AE149" i="18"/>
  <c r="AE148" i="18"/>
  <c r="AE147" i="18"/>
  <c r="AE146" i="18"/>
  <c r="AE145" i="18"/>
  <c r="AE144" i="18"/>
  <c r="AE143" i="18"/>
  <c r="AE142" i="18"/>
  <c r="AE141" i="18"/>
  <c r="AE140" i="18"/>
  <c r="AE139" i="18"/>
  <c r="AE138" i="18"/>
  <c r="AC135" i="18"/>
  <c r="AA135" i="18"/>
  <c r="Y135" i="18"/>
  <c r="W135" i="18"/>
  <c r="U135" i="18"/>
  <c r="S135" i="18"/>
  <c r="Q135" i="18"/>
  <c r="O135" i="18"/>
  <c r="M135" i="18"/>
  <c r="K135" i="18"/>
  <c r="I135" i="18"/>
  <c r="G135" i="18"/>
  <c r="AE133" i="18"/>
  <c r="AE132" i="18"/>
  <c r="AE131" i="18"/>
  <c r="AE130" i="18"/>
  <c r="AC127" i="18"/>
  <c r="AA127" i="18"/>
  <c r="Y127" i="18"/>
  <c r="W127" i="18"/>
  <c r="U127" i="18"/>
  <c r="S127" i="18"/>
  <c r="Q127" i="18"/>
  <c r="O127" i="18"/>
  <c r="M127" i="18"/>
  <c r="K127" i="18"/>
  <c r="I127" i="18"/>
  <c r="G127" i="18"/>
  <c r="AE125" i="18"/>
  <c r="AE124" i="18"/>
  <c r="AE123" i="18"/>
  <c r="AE122" i="18"/>
  <c r="AE121" i="18"/>
  <c r="AE120" i="18"/>
  <c r="AE119" i="18"/>
  <c r="AE118" i="18"/>
  <c r="AE117" i="18"/>
  <c r="AE116" i="18"/>
  <c r="AE115" i="18"/>
  <c r="AE114" i="18"/>
  <c r="AE113" i="18"/>
  <c r="AE112" i="18"/>
  <c r="AE111" i="18"/>
  <c r="AE110" i="18"/>
  <c r="AE109" i="18"/>
  <c r="AE108" i="18"/>
  <c r="AE107" i="18"/>
  <c r="AE106" i="18"/>
  <c r="AE105" i="18"/>
  <c r="AE104" i="18"/>
  <c r="AE103" i="18"/>
  <c r="AE102" i="18"/>
  <c r="AE101" i="18"/>
  <c r="AE100" i="18"/>
  <c r="AE99" i="18"/>
  <c r="AE96" i="18"/>
  <c r="AC96" i="18"/>
  <c r="AA96" i="18"/>
  <c r="Y96" i="18"/>
  <c r="W96" i="18"/>
  <c r="U96" i="18"/>
  <c r="S96" i="18"/>
  <c r="Q96" i="18"/>
  <c r="O96" i="18"/>
  <c r="O187" i="18" s="1"/>
  <c r="M96" i="18"/>
  <c r="K96" i="18"/>
  <c r="I96" i="18"/>
  <c r="G96" i="18"/>
  <c r="G187" i="18" s="1"/>
  <c r="AE94" i="18"/>
  <c r="AC92" i="18"/>
  <c r="AA92" i="18"/>
  <c r="Y92" i="18"/>
  <c r="W92" i="18"/>
  <c r="U92" i="18"/>
  <c r="S92" i="18"/>
  <c r="Q92" i="18"/>
  <c r="O92" i="18"/>
  <c r="M92" i="18"/>
  <c r="K92" i="18"/>
  <c r="I92" i="18"/>
  <c r="G92" i="18"/>
  <c r="AE90" i="18"/>
  <c r="AE89" i="18"/>
  <c r="AE88" i="18"/>
  <c r="AE87" i="18"/>
  <c r="AE86" i="18"/>
  <c r="AE85" i="18"/>
  <c r="AE84" i="18"/>
  <c r="AE83" i="18"/>
  <c r="AE82" i="18"/>
  <c r="AE81" i="18"/>
  <c r="AE80" i="18"/>
  <c r="AE79" i="18"/>
  <c r="AE72" i="18"/>
  <c r="AC72" i="18"/>
  <c r="AA72" i="18"/>
  <c r="Y72" i="18"/>
  <c r="W72" i="18"/>
  <c r="U72" i="18"/>
  <c r="S72" i="18"/>
  <c r="Q72" i="18"/>
  <c r="O72" i="18"/>
  <c r="M72" i="18"/>
  <c r="K72" i="18"/>
  <c r="I72" i="18"/>
  <c r="G72" i="18"/>
  <c r="AC68" i="18"/>
  <c r="AA68" i="18"/>
  <c r="Y68" i="18"/>
  <c r="W68" i="18"/>
  <c r="U68" i="18"/>
  <c r="S68" i="18"/>
  <c r="Q68" i="18"/>
  <c r="O68" i="18"/>
  <c r="M68" i="18"/>
  <c r="K68" i="18"/>
  <c r="I68" i="18"/>
  <c r="G68" i="18"/>
  <c r="AE66" i="18"/>
  <c r="AE68" i="18" s="1"/>
  <c r="AC63" i="18"/>
  <c r="AA63" i="18"/>
  <c r="Y63" i="18"/>
  <c r="W63" i="18"/>
  <c r="U63" i="18"/>
  <c r="S63" i="18"/>
  <c r="Q63" i="18"/>
  <c r="O63" i="18"/>
  <c r="M63" i="18"/>
  <c r="K63" i="18"/>
  <c r="I63" i="18"/>
  <c r="G63" i="18"/>
  <c r="AE61" i="18"/>
  <c r="AE60" i="18"/>
  <c r="AE63" i="18" s="1"/>
  <c r="AE57" i="18"/>
  <c r="AC57" i="18"/>
  <c r="AA57" i="18"/>
  <c r="Y57" i="18"/>
  <c r="W57" i="18"/>
  <c r="U57" i="18"/>
  <c r="S57" i="18"/>
  <c r="Q57" i="18"/>
  <c r="O57" i="18"/>
  <c r="M57" i="18"/>
  <c r="K57" i="18"/>
  <c r="I57" i="18"/>
  <c r="G57" i="18"/>
  <c r="AC53" i="18"/>
  <c r="AA53" i="18"/>
  <c r="Y53" i="18"/>
  <c r="W53" i="18"/>
  <c r="U53" i="18"/>
  <c r="S53" i="18"/>
  <c r="Q53" i="18"/>
  <c r="Q74" i="18" s="1"/>
  <c r="O53" i="18"/>
  <c r="M53" i="18"/>
  <c r="K53" i="18"/>
  <c r="I53" i="18"/>
  <c r="G53" i="18"/>
  <c r="AE51" i="18"/>
  <c r="AE50" i="18"/>
  <c r="AE45" i="18"/>
  <c r="AC45" i="18"/>
  <c r="AA45" i="18"/>
  <c r="Y45" i="18"/>
  <c r="W45" i="18"/>
  <c r="U45" i="18"/>
  <c r="S45" i="18"/>
  <c r="Q45" i="18"/>
  <c r="O45" i="18"/>
  <c r="M45" i="18"/>
  <c r="K45" i="18"/>
  <c r="I45" i="18"/>
  <c r="G45" i="18"/>
  <c r="AE43" i="18"/>
  <c r="AE42" i="18"/>
  <c r="AE39" i="18"/>
  <c r="AC39" i="18"/>
  <c r="AA39" i="18"/>
  <c r="Y39" i="18"/>
  <c r="W39" i="18"/>
  <c r="U39" i="18"/>
  <c r="S39" i="18"/>
  <c r="Q39" i="18"/>
  <c r="O39" i="18"/>
  <c r="M39" i="18"/>
  <c r="K39" i="18"/>
  <c r="I39" i="18"/>
  <c r="G39" i="18"/>
  <c r="AE35" i="18"/>
  <c r="AC35" i="18"/>
  <c r="AA35" i="18"/>
  <c r="Y35" i="18"/>
  <c r="W35" i="18"/>
  <c r="U35" i="18"/>
  <c r="S35" i="18"/>
  <c r="Q35" i="18"/>
  <c r="O35" i="18"/>
  <c r="M35" i="18"/>
  <c r="K35" i="18"/>
  <c r="I35" i="18"/>
  <c r="G35" i="18"/>
  <c r="AC30" i="18"/>
  <c r="AA30" i="18"/>
  <c r="Y30" i="18"/>
  <c r="W30" i="18"/>
  <c r="U30" i="18"/>
  <c r="S30" i="18"/>
  <c r="Q30" i="18"/>
  <c r="O30" i="18"/>
  <c r="M30" i="18"/>
  <c r="K30" i="18"/>
  <c r="I30" i="18"/>
  <c r="G30" i="18"/>
  <c r="AE28" i="18"/>
  <c r="AE27" i="18"/>
  <c r="AE26" i="18"/>
  <c r="AE30" i="18" s="1"/>
  <c r="AC23" i="18"/>
  <c r="AA23" i="18"/>
  <c r="Y23" i="18"/>
  <c r="W23" i="18"/>
  <c r="U23" i="18"/>
  <c r="S23" i="18"/>
  <c r="Q23" i="18"/>
  <c r="O23" i="18"/>
  <c r="M23" i="18"/>
  <c r="K23" i="18"/>
  <c r="I23" i="18"/>
  <c r="G23" i="18"/>
  <c r="AE21" i="18"/>
  <c r="AC19" i="18"/>
  <c r="AA19" i="18"/>
  <c r="Y19" i="18"/>
  <c r="W19" i="18"/>
  <c r="U19" i="18"/>
  <c r="S19" i="18"/>
  <c r="Q19" i="18"/>
  <c r="O19" i="18"/>
  <c r="M19" i="18"/>
  <c r="K19" i="18"/>
  <c r="I19" i="18"/>
  <c r="G19" i="18"/>
  <c r="AE17" i="18"/>
  <c r="AE16" i="18"/>
  <c r="AE15" i="18"/>
  <c r="AE14" i="18"/>
  <c r="AE13" i="18"/>
  <c r="AE12" i="18"/>
  <c r="D61" i="16" s="1"/>
  <c r="AE11" i="18"/>
  <c r="D58" i="16" s="1"/>
  <c r="T331" i="17"/>
  <c r="T332" i="17" s="1"/>
  <c r="AE326" i="17"/>
  <c r="AC326" i="17"/>
  <c r="AA326" i="17"/>
  <c r="Y326" i="17"/>
  <c r="W326" i="17"/>
  <c r="U326" i="17"/>
  <c r="S326" i="17"/>
  <c r="Q326" i="17"/>
  <c r="O326" i="17"/>
  <c r="M326" i="17"/>
  <c r="K326" i="17"/>
  <c r="I326" i="17"/>
  <c r="G326" i="17"/>
  <c r="AD322" i="17"/>
  <c r="X322" i="17"/>
  <c r="R322" i="17"/>
  <c r="L322" i="17"/>
  <c r="AE320" i="17"/>
  <c r="AD320" i="17"/>
  <c r="AC320" i="17"/>
  <c r="AA320" i="17"/>
  <c r="Y320" i="17"/>
  <c r="X320" i="17"/>
  <c r="W320" i="17"/>
  <c r="U320" i="17"/>
  <c r="S320" i="17"/>
  <c r="R320" i="17"/>
  <c r="Q320" i="17"/>
  <c r="O320" i="17"/>
  <c r="M320" i="17"/>
  <c r="L320" i="17"/>
  <c r="K320" i="17"/>
  <c r="I320" i="17"/>
  <c r="G320" i="17"/>
  <c r="AD316" i="17"/>
  <c r="X316" i="17"/>
  <c r="R316" i="17"/>
  <c r="L316" i="17"/>
  <c r="AE314" i="17"/>
  <c r="AD314" i="17"/>
  <c r="AC314" i="17"/>
  <c r="AA314" i="17"/>
  <c r="Y314" i="17"/>
  <c r="X314" i="17"/>
  <c r="W314" i="17"/>
  <c r="U314" i="17"/>
  <c r="S314" i="17"/>
  <c r="R314" i="17"/>
  <c r="Q314" i="17"/>
  <c r="O314" i="17"/>
  <c r="M314" i="17"/>
  <c r="L314" i="17"/>
  <c r="K314" i="17"/>
  <c r="I314" i="17"/>
  <c r="G314" i="17"/>
  <c r="AD310" i="17"/>
  <c r="X310" i="17"/>
  <c r="R310" i="17"/>
  <c r="L310" i="17"/>
  <c r="AE308" i="17"/>
  <c r="AD308" i="17"/>
  <c r="AC308" i="17"/>
  <c r="AA308" i="17"/>
  <c r="Y308" i="17"/>
  <c r="X308" i="17"/>
  <c r="W308" i="17"/>
  <c r="U308" i="17"/>
  <c r="S308" i="17"/>
  <c r="R308" i="17"/>
  <c r="Q308" i="17"/>
  <c r="O308" i="17"/>
  <c r="M308" i="17"/>
  <c r="L308" i="17"/>
  <c r="K308" i="17"/>
  <c r="I308" i="17"/>
  <c r="G308" i="17"/>
  <c r="AD304" i="17"/>
  <c r="X304" i="17"/>
  <c r="R304" i="17"/>
  <c r="L304" i="17"/>
  <c r="AE302" i="17"/>
  <c r="AD302" i="17"/>
  <c r="AC302" i="17"/>
  <c r="AA302" i="17"/>
  <c r="Y302" i="17"/>
  <c r="X302" i="17"/>
  <c r="W302" i="17"/>
  <c r="U302" i="17"/>
  <c r="S302" i="17"/>
  <c r="R302" i="17"/>
  <c r="Q302" i="17"/>
  <c r="O302" i="17"/>
  <c r="M302" i="17"/>
  <c r="L302" i="17"/>
  <c r="K302" i="17"/>
  <c r="I302" i="17"/>
  <c r="G302" i="17"/>
  <c r="AE298" i="17"/>
  <c r="AD298" i="17"/>
  <c r="AC298" i="17"/>
  <c r="AA298" i="17"/>
  <c r="Y298" i="17"/>
  <c r="X298" i="17"/>
  <c r="W298" i="17"/>
  <c r="U298" i="17"/>
  <c r="S298" i="17"/>
  <c r="R298" i="17"/>
  <c r="Q298" i="17"/>
  <c r="O298" i="17"/>
  <c r="M298" i="17"/>
  <c r="L298" i="17"/>
  <c r="K298" i="17"/>
  <c r="I298" i="17"/>
  <c r="G298" i="17"/>
  <c r="AE294" i="17"/>
  <c r="AD294" i="17"/>
  <c r="AC294" i="17"/>
  <c r="AA294" i="17"/>
  <c r="Y294" i="17"/>
  <c r="X294" i="17"/>
  <c r="W294" i="17"/>
  <c r="U294" i="17"/>
  <c r="S294" i="17"/>
  <c r="R294" i="17"/>
  <c r="Q294" i="17"/>
  <c r="O294" i="17"/>
  <c r="M294" i="17"/>
  <c r="L294" i="17"/>
  <c r="K294" i="17"/>
  <c r="I294" i="17"/>
  <c r="G294" i="17"/>
  <c r="AD290" i="17"/>
  <c r="X290" i="17"/>
  <c r="R290" i="17"/>
  <c r="L290" i="17"/>
  <c r="AD288" i="17"/>
  <c r="X288" i="17"/>
  <c r="R288" i="17"/>
  <c r="L288" i="17"/>
  <c r="AD286" i="17"/>
  <c r="AC286" i="17"/>
  <c r="AA286" i="17"/>
  <c r="Y286" i="17"/>
  <c r="X286" i="17"/>
  <c r="W286" i="17"/>
  <c r="U286" i="17"/>
  <c r="S286" i="17"/>
  <c r="R286" i="17"/>
  <c r="Q286" i="17"/>
  <c r="O286" i="17"/>
  <c r="M286" i="17"/>
  <c r="L286" i="17"/>
  <c r="K286" i="17"/>
  <c r="I286" i="17"/>
  <c r="G286" i="17"/>
  <c r="AD282" i="17"/>
  <c r="AC282" i="17"/>
  <c r="AA282" i="17"/>
  <c r="Y282" i="17"/>
  <c r="X282" i="17"/>
  <c r="W282" i="17"/>
  <c r="U282" i="17"/>
  <c r="S282" i="17"/>
  <c r="R282" i="17"/>
  <c r="Q282" i="17"/>
  <c r="O282" i="17"/>
  <c r="M282" i="17"/>
  <c r="L282" i="17"/>
  <c r="K282" i="17"/>
  <c r="I282" i="17"/>
  <c r="G282" i="17"/>
  <c r="AE282" i="17" s="1"/>
  <c r="AD278" i="17"/>
  <c r="AC278" i="17"/>
  <c r="AC288" i="17" s="1"/>
  <c r="AA278" i="17"/>
  <c r="AA288" i="17" s="1"/>
  <c r="Y278" i="17"/>
  <c r="Y288" i="17" s="1"/>
  <c r="X278" i="17"/>
  <c r="W278" i="17"/>
  <c r="W288" i="17" s="1"/>
  <c r="U278" i="17"/>
  <c r="S278" i="17"/>
  <c r="R278" i="17"/>
  <c r="Q278" i="17"/>
  <c r="O278" i="17"/>
  <c r="O288" i="17" s="1"/>
  <c r="M278" i="17"/>
  <c r="M288" i="17" s="1"/>
  <c r="L278" i="17"/>
  <c r="K278" i="17"/>
  <c r="I278" i="17"/>
  <c r="G278" i="17"/>
  <c r="AE276" i="17"/>
  <c r="AE275" i="17"/>
  <c r="AE274" i="17"/>
  <c r="AE273" i="17"/>
  <c r="AC264" i="17"/>
  <c r="AA264" i="17"/>
  <c r="Y264" i="17"/>
  <c r="W264" i="17"/>
  <c r="U264" i="17"/>
  <c r="S264" i="17"/>
  <c r="Q264" i="17"/>
  <c r="O264" i="17"/>
  <c r="M264" i="17"/>
  <c r="K264" i="17"/>
  <c r="I264" i="17"/>
  <c r="G264" i="17"/>
  <c r="G266" i="17" s="1"/>
  <c r="AE262" i="17"/>
  <c r="AC260" i="17"/>
  <c r="AA260" i="17"/>
  <c r="Y260" i="17"/>
  <c r="W260" i="17"/>
  <c r="U260" i="17"/>
  <c r="S260" i="17"/>
  <c r="Q260" i="17"/>
  <c r="O260" i="17"/>
  <c r="M260" i="17"/>
  <c r="K260" i="17"/>
  <c r="I260" i="17"/>
  <c r="G260" i="17"/>
  <c r="AE258" i="17"/>
  <c r="AE257" i="17"/>
  <c r="AE256" i="17"/>
  <c r="AE255" i="17"/>
  <c r="AE254" i="17"/>
  <c r="AE253" i="17"/>
  <c r="AE252" i="17"/>
  <c r="AE251" i="17"/>
  <c r="AE250" i="17"/>
  <c r="AE249" i="17"/>
  <c r="AE248" i="17"/>
  <c r="AE247" i="17"/>
  <c r="AE246" i="17"/>
  <c r="AE245" i="17"/>
  <c r="AE244" i="17"/>
  <c r="AE243" i="17"/>
  <c r="AE242" i="17"/>
  <c r="AE241" i="17"/>
  <c r="AE240" i="17"/>
  <c r="AE239" i="17"/>
  <c r="AE238" i="17"/>
  <c r="AE237" i="17"/>
  <c r="AE236" i="17"/>
  <c r="AE235" i="17"/>
  <c r="AE234" i="17"/>
  <c r="AE233" i="17"/>
  <c r="AE232" i="17"/>
  <c r="AE231" i="17"/>
  <c r="AE230" i="17"/>
  <c r="AE229" i="17"/>
  <c r="AE228" i="17"/>
  <c r="AE227" i="17"/>
  <c r="AE226" i="17"/>
  <c r="AE225" i="17"/>
  <c r="AE224" i="17"/>
  <c r="AE223" i="17"/>
  <c r="AE222" i="17"/>
  <c r="AE221" i="17"/>
  <c r="AE220" i="17"/>
  <c r="AE219" i="17"/>
  <c r="AE218" i="17"/>
  <c r="AE217" i="17"/>
  <c r="AE216" i="17"/>
  <c r="AE215" i="17"/>
  <c r="AE214" i="17"/>
  <c r="AE213" i="17"/>
  <c r="AE212" i="17"/>
  <c r="AE211" i="17"/>
  <c r="AE210" i="17"/>
  <c r="AC207" i="17"/>
  <c r="AA207" i="17"/>
  <c r="Y207" i="17"/>
  <c r="W207" i="17"/>
  <c r="U207" i="17"/>
  <c r="S207" i="17"/>
  <c r="Q207" i="17"/>
  <c r="O207" i="17"/>
  <c r="M207" i="17"/>
  <c r="K207" i="17"/>
  <c r="I207" i="17"/>
  <c r="G207" i="17"/>
  <c r="AE205" i="17"/>
  <c r="AE204" i="17"/>
  <c r="AE203" i="17"/>
  <c r="AE202" i="17"/>
  <c r="AE201" i="17"/>
  <c r="AE200" i="17"/>
  <c r="AE199" i="17"/>
  <c r="AE198" i="17"/>
  <c r="AC191" i="17"/>
  <c r="AA191" i="17"/>
  <c r="Y191" i="17"/>
  <c r="W191" i="17"/>
  <c r="U191" i="17"/>
  <c r="S191" i="17"/>
  <c r="Q191" i="17"/>
  <c r="O191" i="17"/>
  <c r="M191" i="17"/>
  <c r="K191" i="17"/>
  <c r="I191" i="17"/>
  <c r="G191" i="17"/>
  <c r="AE189" i="17"/>
  <c r="AC187" i="17"/>
  <c r="AA187" i="17"/>
  <c r="Y187" i="17"/>
  <c r="W187" i="17"/>
  <c r="U187" i="17"/>
  <c r="S187" i="17"/>
  <c r="Q187" i="17"/>
  <c r="O187" i="17"/>
  <c r="M187" i="17"/>
  <c r="K187" i="17"/>
  <c r="I187" i="17"/>
  <c r="G187" i="17"/>
  <c r="AE185" i="17"/>
  <c r="AE184" i="17"/>
  <c r="AE183" i="17"/>
  <c r="AE182" i="17"/>
  <c r="AE181" i="17"/>
  <c r="AE178" i="17"/>
  <c r="AC178" i="17"/>
  <c r="AA178" i="17"/>
  <c r="Y178" i="17"/>
  <c r="W178" i="17"/>
  <c r="U178" i="17"/>
  <c r="S178" i="17"/>
  <c r="Q178" i="17"/>
  <c r="O178" i="17"/>
  <c r="M178" i="17"/>
  <c r="K178" i="17"/>
  <c r="I178" i="17"/>
  <c r="G178" i="17"/>
  <c r="AC174" i="17"/>
  <c r="AA174" i="17"/>
  <c r="Y174" i="17"/>
  <c r="W174" i="17"/>
  <c r="U174" i="17"/>
  <c r="S174" i="17"/>
  <c r="Q174" i="17"/>
  <c r="O174" i="17"/>
  <c r="M174" i="17"/>
  <c r="K174" i="17"/>
  <c r="I174" i="17"/>
  <c r="G174" i="17"/>
  <c r="AE172" i="17"/>
  <c r="AE171" i="17"/>
  <c r="AE170" i="17"/>
  <c r="AE169" i="17"/>
  <c r="AE168" i="17"/>
  <c r="AE167" i="17"/>
  <c r="AE166" i="17"/>
  <c r="AE165" i="17"/>
  <c r="AE164" i="17"/>
  <c r="AC161" i="17"/>
  <c r="AA161" i="17"/>
  <c r="Y161" i="17"/>
  <c r="W161" i="17"/>
  <c r="U161" i="17"/>
  <c r="S161" i="17"/>
  <c r="Q161" i="17"/>
  <c r="O161" i="17"/>
  <c r="M161" i="17"/>
  <c r="K161" i="17"/>
  <c r="I161" i="17"/>
  <c r="G161" i="17"/>
  <c r="AE159" i="17"/>
  <c r="AE158" i="17"/>
  <c r="AE157" i="17"/>
  <c r="AE156" i="17"/>
  <c r="AE155" i="17"/>
  <c r="AE154" i="17"/>
  <c r="AE153" i="17"/>
  <c r="AE152" i="17"/>
  <c r="AE151" i="17"/>
  <c r="AE150" i="17"/>
  <c r="AE149" i="17"/>
  <c r="AE148" i="17"/>
  <c r="AE147" i="17"/>
  <c r="AE146" i="17"/>
  <c r="AE145" i="17"/>
  <c r="AE144" i="17"/>
  <c r="AC141" i="17"/>
  <c r="AA141" i="17"/>
  <c r="Y141" i="17"/>
  <c r="W141" i="17"/>
  <c r="U141" i="17"/>
  <c r="S141" i="17"/>
  <c r="Q141" i="17"/>
  <c r="O141" i="17"/>
  <c r="M141" i="17"/>
  <c r="K141" i="17"/>
  <c r="I141" i="17"/>
  <c r="G141" i="17"/>
  <c r="AE139" i="17"/>
  <c r="AE138" i="17"/>
  <c r="AE137" i="17"/>
  <c r="AE136" i="17"/>
  <c r="AC133" i="17"/>
  <c r="AA133" i="17"/>
  <c r="Y133" i="17"/>
  <c r="W133" i="17"/>
  <c r="U133" i="17"/>
  <c r="S133" i="17"/>
  <c r="Q133" i="17"/>
  <c r="O133" i="17"/>
  <c r="M133" i="17"/>
  <c r="K133" i="17"/>
  <c r="I133" i="17"/>
  <c r="G133" i="17"/>
  <c r="AE131" i="17"/>
  <c r="AE130" i="17"/>
  <c r="AE129" i="17"/>
  <c r="AE128" i="17"/>
  <c r="AE127" i="17"/>
  <c r="AE126" i="17"/>
  <c r="AE125" i="17"/>
  <c r="AE124" i="17"/>
  <c r="AE123" i="17"/>
  <c r="AE122" i="17"/>
  <c r="AE121" i="17"/>
  <c r="AE120" i="17"/>
  <c r="AE119" i="17"/>
  <c r="AE118" i="17"/>
  <c r="AE117" i="17"/>
  <c r="AE116" i="17"/>
  <c r="AE115" i="17"/>
  <c r="AE114" i="17"/>
  <c r="AE113" i="17"/>
  <c r="AE112" i="17"/>
  <c r="AE111" i="17"/>
  <c r="AE110" i="17"/>
  <c r="AE109" i="17"/>
  <c r="AE108" i="17"/>
  <c r="AE107" i="17"/>
  <c r="AE106" i="17"/>
  <c r="AE105" i="17"/>
  <c r="AE104" i="17"/>
  <c r="AC101" i="17"/>
  <c r="AA101" i="17"/>
  <c r="Y101" i="17"/>
  <c r="W101" i="17"/>
  <c r="U101" i="17"/>
  <c r="S101" i="17"/>
  <c r="Q101" i="17"/>
  <c r="O101" i="17"/>
  <c r="M101" i="17"/>
  <c r="K101" i="17"/>
  <c r="I101" i="17"/>
  <c r="G101" i="17"/>
  <c r="AE99" i="17"/>
  <c r="AC97" i="17"/>
  <c r="AC193" i="17" s="1"/>
  <c r="AA97" i="17"/>
  <c r="Y97" i="17"/>
  <c r="W97" i="17"/>
  <c r="U97" i="17"/>
  <c r="S97" i="17"/>
  <c r="Q97" i="17"/>
  <c r="O97" i="17"/>
  <c r="M97" i="17"/>
  <c r="K97" i="17"/>
  <c r="I97" i="17"/>
  <c r="G97" i="17"/>
  <c r="AE95" i="17"/>
  <c r="AE94" i="17"/>
  <c r="AE93" i="17"/>
  <c r="AE92" i="17"/>
  <c r="AE91" i="17"/>
  <c r="AE90" i="17"/>
  <c r="AE89" i="17"/>
  <c r="AE88" i="17"/>
  <c r="AE87" i="17"/>
  <c r="AE86" i="17"/>
  <c r="AE85" i="17"/>
  <c r="AE84" i="17"/>
  <c r="AE77" i="17"/>
  <c r="AC77" i="17"/>
  <c r="AA77" i="17"/>
  <c r="Y77" i="17"/>
  <c r="W77" i="17"/>
  <c r="U77" i="17"/>
  <c r="S77" i="17"/>
  <c r="Q77" i="17"/>
  <c r="O77" i="17"/>
  <c r="M77" i="17"/>
  <c r="K77" i="17"/>
  <c r="I77" i="17"/>
  <c r="G77" i="17"/>
  <c r="AE73" i="17"/>
  <c r="AC73" i="17"/>
  <c r="AA73" i="17"/>
  <c r="Y73" i="17"/>
  <c r="W73" i="17"/>
  <c r="U73" i="17"/>
  <c r="S73" i="17"/>
  <c r="Q73" i="17"/>
  <c r="O73" i="17"/>
  <c r="M73" i="17"/>
  <c r="K73" i="17"/>
  <c r="I73" i="17"/>
  <c r="G73" i="17"/>
  <c r="AE71" i="17"/>
  <c r="AC68" i="17"/>
  <c r="AA68" i="17"/>
  <c r="Y68" i="17"/>
  <c r="W68" i="17"/>
  <c r="U68" i="17"/>
  <c r="S68" i="17"/>
  <c r="Q68" i="17"/>
  <c r="O68" i="17"/>
  <c r="M68" i="17"/>
  <c r="K68" i="17"/>
  <c r="I68" i="17"/>
  <c r="G68" i="17"/>
  <c r="AE66" i="17"/>
  <c r="AE65" i="17"/>
  <c r="AE64" i="17"/>
  <c r="AE61" i="17"/>
  <c r="AC61" i="17"/>
  <c r="AA61" i="17"/>
  <c r="Y61" i="17"/>
  <c r="W61" i="17"/>
  <c r="U61" i="17"/>
  <c r="S61" i="17"/>
  <c r="Q61" i="17"/>
  <c r="O61" i="17"/>
  <c r="M61" i="17"/>
  <c r="K61" i="17"/>
  <c r="I61" i="17"/>
  <c r="G61" i="17"/>
  <c r="AE57" i="17"/>
  <c r="AC57" i="17"/>
  <c r="AA57" i="17"/>
  <c r="Y57" i="17"/>
  <c r="W57" i="17"/>
  <c r="W79" i="17" s="1"/>
  <c r="U57" i="17"/>
  <c r="S57" i="17"/>
  <c r="Q57" i="17"/>
  <c r="O57" i="17"/>
  <c r="M57" i="17"/>
  <c r="K57" i="17"/>
  <c r="I57" i="17"/>
  <c r="G57" i="17"/>
  <c r="AE55" i="17"/>
  <c r="AE54" i="17"/>
  <c r="AE53" i="17"/>
  <c r="AC48" i="17"/>
  <c r="AA48" i="17"/>
  <c r="Y48" i="17"/>
  <c r="W48" i="17"/>
  <c r="U48" i="17"/>
  <c r="S48" i="17"/>
  <c r="Q48" i="17"/>
  <c r="O48" i="17"/>
  <c r="M48" i="17"/>
  <c r="K48" i="17"/>
  <c r="I48" i="17"/>
  <c r="G48" i="17"/>
  <c r="AE46" i="17"/>
  <c r="AE45" i="17"/>
  <c r="AE42" i="17"/>
  <c r="AC42" i="17"/>
  <c r="AA42" i="17"/>
  <c r="Y42" i="17"/>
  <c r="W42" i="17"/>
  <c r="U42" i="17"/>
  <c r="S42" i="17"/>
  <c r="Q42" i="17"/>
  <c r="O42" i="17"/>
  <c r="M42" i="17"/>
  <c r="K42" i="17"/>
  <c r="I42" i="17"/>
  <c r="G42" i="17"/>
  <c r="AE38" i="17"/>
  <c r="AC38" i="17"/>
  <c r="AA38" i="17"/>
  <c r="Y38" i="17"/>
  <c r="W38" i="17"/>
  <c r="U38" i="17"/>
  <c r="S38" i="17"/>
  <c r="Q38" i="17"/>
  <c r="O38" i="17"/>
  <c r="M38" i="17"/>
  <c r="K38" i="17"/>
  <c r="I38" i="17"/>
  <c r="G38" i="17"/>
  <c r="AC33" i="17"/>
  <c r="AA33" i="17"/>
  <c r="Y33" i="17"/>
  <c r="W33" i="17"/>
  <c r="U33" i="17"/>
  <c r="S33" i="17"/>
  <c r="Q33" i="17"/>
  <c r="O33" i="17"/>
  <c r="M33" i="17"/>
  <c r="K33" i="17"/>
  <c r="I33" i="17"/>
  <c r="G33" i="17"/>
  <c r="AE31" i="17"/>
  <c r="AE30" i="17"/>
  <c r="AE29" i="17"/>
  <c r="AE28" i="17"/>
  <c r="AE25" i="17"/>
  <c r="AC25" i="17"/>
  <c r="AA25" i="17"/>
  <c r="Y25" i="17"/>
  <c r="W25" i="17"/>
  <c r="U25" i="17"/>
  <c r="S25" i="17"/>
  <c r="Q25" i="17"/>
  <c r="O25" i="17"/>
  <c r="M25" i="17"/>
  <c r="K25" i="17"/>
  <c r="I25" i="17"/>
  <c r="G25" i="17"/>
  <c r="AC21" i="17"/>
  <c r="AA21" i="17"/>
  <c r="Y21" i="17"/>
  <c r="W21" i="17"/>
  <c r="U21" i="17"/>
  <c r="S21" i="17"/>
  <c r="Q21" i="17"/>
  <c r="O21" i="17"/>
  <c r="M21" i="17"/>
  <c r="K21" i="17"/>
  <c r="I21" i="17"/>
  <c r="G21" i="17"/>
  <c r="AE19" i="17"/>
  <c r="AE18" i="17"/>
  <c r="D17" i="16" s="1"/>
  <c r="AE17" i="17"/>
  <c r="AE16" i="17"/>
  <c r="D10" i="16" s="1"/>
  <c r="AE15" i="17"/>
  <c r="AE14" i="17"/>
  <c r="D21" i="16" s="1"/>
  <c r="AE13" i="17"/>
  <c r="AE12" i="17"/>
  <c r="D23" i="16" s="1"/>
  <c r="AE11" i="17"/>
  <c r="D20" i="16" s="1"/>
  <c r="O50" i="17" l="1"/>
  <c r="G79" i="17"/>
  <c r="D55" i="16"/>
  <c r="D63" i="16" s="1"/>
  <c r="D65" i="16" s="1"/>
  <c r="U253" i="18"/>
  <c r="Q273" i="18"/>
  <c r="AC273" i="18"/>
  <c r="I10" i="21"/>
  <c r="D49" i="16"/>
  <c r="W47" i="18"/>
  <c r="M47" i="18"/>
  <c r="AC47" i="18"/>
  <c r="S253" i="18"/>
  <c r="E23" i="21"/>
  <c r="I193" i="17"/>
  <c r="S47" i="18"/>
  <c r="O74" i="18"/>
  <c r="M187" i="18"/>
  <c r="AC187" i="18"/>
  <c r="O253" i="18"/>
  <c r="K266" i="17"/>
  <c r="AA266" i="17"/>
  <c r="U47" i="18"/>
  <c r="G12" i="21"/>
  <c r="M266" i="17"/>
  <c r="AC266" i="17"/>
  <c r="O266" i="17"/>
  <c r="K74" i="18"/>
  <c r="AA74" i="18"/>
  <c r="I74" i="18"/>
  <c r="J8" i="21"/>
  <c r="O47" i="18"/>
  <c r="O76" i="18" s="1"/>
  <c r="O189" i="18" s="1"/>
  <c r="Q253" i="18"/>
  <c r="G19" i="21"/>
  <c r="K193" i="17"/>
  <c r="AA193" i="17"/>
  <c r="W74" i="18"/>
  <c r="U187" i="18"/>
  <c r="AE267" i="18"/>
  <c r="G17" i="21"/>
  <c r="E21" i="21"/>
  <c r="G11" i="21"/>
  <c r="I11" i="21"/>
  <c r="G13" i="21"/>
  <c r="E24" i="21"/>
  <c r="E25" i="21" s="1"/>
  <c r="E29" i="21" s="1"/>
  <c r="J14" i="21"/>
  <c r="G9" i="21"/>
  <c r="G21" i="21" s="1"/>
  <c r="J10" i="21"/>
  <c r="G16" i="21"/>
  <c r="I19" i="21"/>
  <c r="I9" i="21"/>
  <c r="C24" i="21"/>
  <c r="D40" i="21"/>
  <c r="G39" i="21"/>
  <c r="C21" i="21"/>
  <c r="G38" i="21"/>
  <c r="G23" i="21"/>
  <c r="B40" i="21"/>
  <c r="K50" i="17"/>
  <c r="G50" i="17"/>
  <c r="O193" i="17"/>
  <c r="Q288" i="17"/>
  <c r="AA50" i="17"/>
  <c r="S79" i="17"/>
  <c r="Q193" i="17"/>
  <c r="Q266" i="17"/>
  <c r="M50" i="17"/>
  <c r="W50" i="17"/>
  <c r="W81" i="17" s="1"/>
  <c r="AE33" i="17"/>
  <c r="AC50" i="17"/>
  <c r="O79" i="17"/>
  <c r="O81" i="17" s="1"/>
  <c r="O195" i="17" s="1"/>
  <c r="O269" i="17" s="1"/>
  <c r="M193" i="17"/>
  <c r="Y266" i="17"/>
  <c r="AE278" i="17"/>
  <c r="S288" i="17"/>
  <c r="AE286" i="17"/>
  <c r="G288" i="17"/>
  <c r="U266" i="17"/>
  <c r="Y50" i="17"/>
  <c r="U50" i="17"/>
  <c r="G193" i="17"/>
  <c r="W193" i="17"/>
  <c r="AE187" i="17"/>
  <c r="W266" i="17"/>
  <c r="K288" i="17"/>
  <c r="U79" i="17"/>
  <c r="S193" i="17"/>
  <c r="I266" i="17"/>
  <c r="I50" i="17"/>
  <c r="Q79" i="17"/>
  <c r="AE101" i="17"/>
  <c r="W76" i="18"/>
  <c r="Q50" i="17"/>
  <c r="AE68" i="17"/>
  <c r="AE79" i="17" s="1"/>
  <c r="AE207" i="17"/>
  <c r="AE19" i="18"/>
  <c r="G74" i="18"/>
  <c r="K187" i="18"/>
  <c r="AA187" i="18"/>
  <c r="S50" i="17"/>
  <c r="M79" i="17"/>
  <c r="AC79" i="17"/>
  <c r="AC81" i="17" s="1"/>
  <c r="AC195" i="17" s="1"/>
  <c r="AC269" i="17" s="1"/>
  <c r="AE97" i="17"/>
  <c r="AE174" i="17"/>
  <c r="AE191" i="17"/>
  <c r="S266" i="17"/>
  <c r="Y74" i="18"/>
  <c r="AE168" i="18"/>
  <c r="AE181" i="18"/>
  <c r="AE263" i="18"/>
  <c r="AE273" i="18" s="1"/>
  <c r="AE141" i="17"/>
  <c r="AE264" i="17"/>
  <c r="AE127" i="18"/>
  <c r="AE21" i="17"/>
  <c r="AE48" i="17"/>
  <c r="I79" i="17"/>
  <c r="Y79" i="17"/>
  <c r="I47" i="18"/>
  <c r="I76" i="18" s="1"/>
  <c r="I189" i="18" s="1"/>
  <c r="Y47" i="18"/>
  <c r="G47" i="18"/>
  <c r="AE23" i="18"/>
  <c r="AE47" i="18" s="1"/>
  <c r="K79" i="17"/>
  <c r="K81" i="17" s="1"/>
  <c r="K195" i="17" s="1"/>
  <c r="K269" i="17" s="1"/>
  <c r="AA79" i="17"/>
  <c r="Y193" i="17"/>
  <c r="K47" i="18"/>
  <c r="AA47" i="18"/>
  <c r="S74" i="18"/>
  <c r="W187" i="18"/>
  <c r="M273" i="18"/>
  <c r="Y273" i="18"/>
  <c r="I187" i="18"/>
  <c r="Y187" i="18"/>
  <c r="AE154" i="18"/>
  <c r="AE200" i="18"/>
  <c r="AE253" i="18" s="1"/>
  <c r="G273" i="18"/>
  <c r="I288" i="17"/>
  <c r="U288" i="17"/>
  <c r="M74" i="18"/>
  <c r="M76" i="18" s="1"/>
  <c r="M189" i="18" s="1"/>
  <c r="M256" i="18" s="1"/>
  <c r="AC74" i="18"/>
  <c r="AE92" i="18"/>
  <c r="I253" i="18"/>
  <c r="Y253" i="18"/>
  <c r="AE247" i="18"/>
  <c r="AE161" i="17"/>
  <c r="U193" i="17"/>
  <c r="AE133" i="17"/>
  <c r="AE260" i="17"/>
  <c r="AE53" i="18"/>
  <c r="AE74" i="18" s="1"/>
  <c r="Q187" i="18"/>
  <c r="AE135" i="18"/>
  <c r="K253" i="18"/>
  <c r="AA253" i="18"/>
  <c r="Q47" i="18"/>
  <c r="Q76" i="18" s="1"/>
  <c r="U74" i="18"/>
  <c r="S187" i="18"/>
  <c r="K273" i="18"/>
  <c r="W273" i="18"/>
  <c r="Q189" i="18" l="1"/>
  <c r="Q256" i="18" s="1"/>
  <c r="AC76" i="18"/>
  <c r="AA81" i="17"/>
  <c r="AA195" i="17" s="1"/>
  <c r="AA269" i="17" s="1"/>
  <c r="U81" i="17"/>
  <c r="G81" i="17"/>
  <c r="Q81" i="17"/>
  <c r="Q195" i="17" s="1"/>
  <c r="U76" i="18"/>
  <c r="U189" i="18" s="1"/>
  <c r="U256" i="18" s="1"/>
  <c r="G76" i="18"/>
  <c r="G189" i="18" s="1"/>
  <c r="G256" i="18" s="1"/>
  <c r="G275" i="18" s="1"/>
  <c r="G289" i="18" s="1"/>
  <c r="G295" i="18" s="1"/>
  <c r="G301" i="18" s="1"/>
  <c r="G307" i="18" s="1"/>
  <c r="AE50" i="17"/>
  <c r="AF308" i="17" s="1"/>
  <c r="S76" i="18"/>
  <c r="S189" i="18" s="1"/>
  <c r="S256" i="18" s="1"/>
  <c r="J21" i="21"/>
  <c r="Q269" i="17"/>
  <c r="Q271" i="17" s="1"/>
  <c r="K76" i="18"/>
  <c r="K189" i="18" s="1"/>
  <c r="K256" i="18" s="1"/>
  <c r="K275" i="18" s="1"/>
  <c r="K289" i="18" s="1"/>
  <c r="K295" i="18" s="1"/>
  <c r="K301" i="18" s="1"/>
  <c r="K307" i="18" s="1"/>
  <c r="I256" i="18"/>
  <c r="I275" i="18" s="1"/>
  <c r="I289" i="18" s="1"/>
  <c r="I295" i="18" s="1"/>
  <c r="I301" i="18" s="1"/>
  <c r="I307" i="18" s="1"/>
  <c r="W195" i="17"/>
  <c r="W269" i="17" s="1"/>
  <c r="O256" i="18"/>
  <c r="AC189" i="18"/>
  <c r="AC256" i="18" s="1"/>
  <c r="AC275" i="18" s="1"/>
  <c r="AC289" i="18" s="1"/>
  <c r="AC295" i="18" s="1"/>
  <c r="AC301" i="18" s="1"/>
  <c r="AC307" i="18" s="1"/>
  <c r="AC316" i="18" s="1"/>
  <c r="AC317" i="18" s="1"/>
  <c r="Y81" i="17"/>
  <c r="G24" i="21"/>
  <c r="I21" i="21"/>
  <c r="G25" i="21"/>
  <c r="G40" i="21"/>
  <c r="C25" i="21"/>
  <c r="C29" i="21" s="1"/>
  <c r="I81" i="17"/>
  <c r="I195" i="17" s="1"/>
  <c r="I269" i="17" s="1"/>
  <c r="I271" i="17" s="1"/>
  <c r="AE288" i="17"/>
  <c r="AF288" i="17" s="1"/>
  <c r="M81" i="17"/>
  <c r="M195" i="17" s="1"/>
  <c r="M269" i="17" s="1"/>
  <c r="M271" i="17" s="1"/>
  <c r="AE266" i="17"/>
  <c r="G195" i="17"/>
  <c r="G269" i="17" s="1"/>
  <c r="S258" i="18"/>
  <c r="S275" i="18"/>
  <c r="S289" i="18" s="1"/>
  <c r="S295" i="18" s="1"/>
  <c r="S301" i="18" s="1"/>
  <c r="S307" i="18" s="1"/>
  <c r="S316" i="18" s="1"/>
  <c r="S317" i="18" s="1"/>
  <c r="AA271" i="17"/>
  <c r="AA290" i="17"/>
  <c r="AA304" i="17" s="1"/>
  <c r="AA310" i="17" s="1"/>
  <c r="AA316" i="17" s="1"/>
  <c r="AA322" i="17" s="1"/>
  <c r="AA331" i="17" s="1"/>
  <c r="AA332" i="17" s="1"/>
  <c r="AF320" i="17"/>
  <c r="AF294" i="17"/>
  <c r="AF282" i="17"/>
  <c r="AF274" i="17"/>
  <c r="AF256" i="17"/>
  <c r="AF252" i="17"/>
  <c r="AF248" i="17"/>
  <c r="AF240" i="17"/>
  <c r="AF236" i="17"/>
  <c r="AF232" i="17"/>
  <c r="AF224" i="17"/>
  <c r="AF220" i="17"/>
  <c r="AF216" i="17"/>
  <c r="AF203" i="17"/>
  <c r="AF199" i="17"/>
  <c r="AF191" i="17"/>
  <c r="AF184" i="17"/>
  <c r="AF178" i="17"/>
  <c r="AF170" i="17"/>
  <c r="AF157" i="17"/>
  <c r="AF153" i="17"/>
  <c r="AF149" i="17"/>
  <c r="AF136" i="17"/>
  <c r="AF131" i="17"/>
  <c r="AF127" i="17"/>
  <c r="AF314" i="17"/>
  <c r="AF302" i="17"/>
  <c r="AF264" i="17"/>
  <c r="AF257" i="17"/>
  <c r="AF243" i="17"/>
  <c r="AF234" i="17"/>
  <c r="AF211" i="17"/>
  <c r="AF183" i="17"/>
  <c r="AF168" i="17"/>
  <c r="AF133" i="17"/>
  <c r="AF125" i="17"/>
  <c r="AF246" i="17"/>
  <c r="AF223" i="17"/>
  <c r="AF152" i="17"/>
  <c r="AF119" i="17"/>
  <c r="AF94" i="17"/>
  <c r="AF90" i="17"/>
  <c r="AF68" i="17"/>
  <c r="AF25" i="17"/>
  <c r="AF273" i="17"/>
  <c r="AF247" i="17"/>
  <c r="AF229" i="17"/>
  <c r="AF215" i="17"/>
  <c r="AF201" i="17"/>
  <c r="AF161" i="17"/>
  <c r="AF158" i="17"/>
  <c r="AF144" i="17"/>
  <c r="AF129" i="17"/>
  <c r="AF120" i="17"/>
  <c r="AF116" i="17"/>
  <c r="AF108" i="17"/>
  <c r="AF104" i="17"/>
  <c r="AF99" i="17"/>
  <c r="AF91" i="17"/>
  <c r="AF87" i="17"/>
  <c r="AF71" i="17"/>
  <c r="AF50" i="17"/>
  <c r="AF42" i="17"/>
  <c r="AF28" i="17"/>
  <c r="AF18" i="17"/>
  <c r="AF14" i="17"/>
  <c r="AF251" i="17"/>
  <c r="AF233" i="17"/>
  <c r="AF219" i="17"/>
  <c r="AF210" i="17"/>
  <c r="AF182" i="17"/>
  <c r="AF167" i="17"/>
  <c r="AF124" i="17"/>
  <c r="AF255" i="17"/>
  <c r="AF174" i="17"/>
  <c r="AF171" i="17"/>
  <c r="AF111" i="17"/>
  <c r="AF101" i="17"/>
  <c r="AF97" i="17"/>
  <c r="AF55" i="17"/>
  <c r="AF31" i="17"/>
  <c r="AF278" i="17"/>
  <c r="AF214" i="17"/>
  <c r="AF200" i="17"/>
  <c r="AF141" i="17"/>
  <c r="AF128" i="17"/>
  <c r="AF73" i="17"/>
  <c r="AF17" i="17"/>
  <c r="AF298" i="17"/>
  <c r="AF254" i="17"/>
  <c r="AF245" i="17"/>
  <c r="AF222" i="17"/>
  <c r="AF213" i="17"/>
  <c r="AF185" i="17"/>
  <c r="AF151" i="17"/>
  <c r="AF137" i="17"/>
  <c r="AF122" i="17"/>
  <c r="AF114" i="17"/>
  <c r="AF110" i="17"/>
  <c r="AF106" i="17"/>
  <c r="AF89" i="17"/>
  <c r="AF85" i="17"/>
  <c r="AF77" i="17"/>
  <c r="AF57" i="17"/>
  <c r="AF54" i="17"/>
  <c r="AF46" i="17"/>
  <c r="AF30" i="17"/>
  <c r="AF16" i="17"/>
  <c r="AF12" i="17"/>
  <c r="AF227" i="17"/>
  <c r="AF221" i="17"/>
  <c r="AF202" i="17"/>
  <c r="AF45" i="17"/>
  <c r="AF19" i="17"/>
  <c r="AF250" i="17"/>
  <c r="AF230" i="17"/>
  <c r="AF218" i="17"/>
  <c r="AF189" i="17"/>
  <c r="AF109" i="17"/>
  <c r="AF84" i="17"/>
  <c r="AF258" i="17"/>
  <c r="AF159" i="17"/>
  <c r="AF147" i="17"/>
  <c r="AF226" i="17"/>
  <c r="AF262" i="17"/>
  <c r="AF164" i="17"/>
  <c r="AF53" i="17"/>
  <c r="AF275" i="17"/>
  <c r="AF126" i="17"/>
  <c r="AF88" i="17"/>
  <c r="AF11" i="17"/>
  <c r="AF105" i="17"/>
  <c r="AF207" i="17"/>
  <c r="AF38" i="17"/>
  <c r="AF249" i="17"/>
  <c r="AF204" i="17"/>
  <c r="AF169" i="17"/>
  <c r="AF156" i="17"/>
  <c r="AF150" i="17"/>
  <c r="AF117" i="17"/>
  <c r="AF92" i="17"/>
  <c r="AF15" i="17"/>
  <c r="AF235" i="17"/>
  <c r="AF217" i="17"/>
  <c r="AF181" i="17"/>
  <c r="AF61" i="17"/>
  <c r="AF253" i="17"/>
  <c r="I258" i="18"/>
  <c r="AC290" i="17"/>
  <c r="AC304" i="17" s="1"/>
  <c r="AC310" i="17" s="1"/>
  <c r="AC316" i="17" s="1"/>
  <c r="AC322" i="17" s="1"/>
  <c r="AC331" i="17" s="1"/>
  <c r="AC332" i="17" s="1"/>
  <c r="AC271" i="17"/>
  <c r="Y195" i="17"/>
  <c r="Y269" i="17" s="1"/>
  <c r="AE193" i="17"/>
  <c r="AF193" i="17" s="1"/>
  <c r="Q290" i="17"/>
  <c r="Q304" i="17" s="1"/>
  <c r="Q310" i="17" s="1"/>
  <c r="Q316" i="17" s="1"/>
  <c r="Q322" i="17" s="1"/>
  <c r="Q258" i="18"/>
  <c r="Q275" i="18"/>
  <c r="Q289" i="18" s="1"/>
  <c r="Q295" i="18" s="1"/>
  <c r="Q301" i="18" s="1"/>
  <c r="Q307" i="18" s="1"/>
  <c r="S81" i="17"/>
  <c r="S195" i="17" s="1"/>
  <c r="S269" i="17" s="1"/>
  <c r="W271" i="17"/>
  <c r="W290" i="17"/>
  <c r="W304" i="17" s="1"/>
  <c r="W310" i="17" s="1"/>
  <c r="W316" i="17" s="1"/>
  <c r="W322" i="17" s="1"/>
  <c r="W331" i="17" s="1"/>
  <c r="W332" i="17" s="1"/>
  <c r="U195" i="17"/>
  <c r="U269" i="17" s="1"/>
  <c r="AA76" i="18"/>
  <c r="AA189" i="18" s="1"/>
  <c r="AA256" i="18" s="1"/>
  <c r="K258" i="18"/>
  <c r="M258" i="18"/>
  <c r="M275" i="18"/>
  <c r="M289" i="18" s="1"/>
  <c r="M295" i="18" s="1"/>
  <c r="M301" i="18" s="1"/>
  <c r="M307" i="18" s="1"/>
  <c r="U275" i="18"/>
  <c r="U289" i="18" s="1"/>
  <c r="U295" i="18" s="1"/>
  <c r="U301" i="18" s="1"/>
  <c r="U307" i="18" s="1"/>
  <c r="U316" i="18" s="1"/>
  <c r="U317" i="18" s="1"/>
  <c r="U258" i="18"/>
  <c r="K271" i="17"/>
  <c r="K290" i="17"/>
  <c r="K304" i="17" s="1"/>
  <c r="K310" i="17" s="1"/>
  <c r="K316" i="17" s="1"/>
  <c r="K322" i="17" s="1"/>
  <c r="AF305" i="18"/>
  <c r="AF293" i="18"/>
  <c r="AF267" i="18"/>
  <c r="AF249" i="18"/>
  <c r="AF245" i="18"/>
  <c r="AF241" i="18"/>
  <c r="AF237" i="18"/>
  <c r="AF233" i="18"/>
  <c r="AF229" i="18"/>
  <c r="AF225" i="18"/>
  <c r="AF221" i="18"/>
  <c r="AF217" i="18"/>
  <c r="AF213" i="18"/>
  <c r="AF209" i="18"/>
  <c r="AF205" i="18"/>
  <c r="AF196" i="18"/>
  <c r="AF192" i="18"/>
  <c r="AF187" i="18"/>
  <c r="AF176" i="18"/>
  <c r="AF166" i="18"/>
  <c r="AF162" i="18"/>
  <c r="AF158" i="18"/>
  <c r="AF149" i="18"/>
  <c r="AF145" i="18"/>
  <c r="AF141" i="18"/>
  <c r="AF135" i="18"/>
  <c r="AF132" i="18"/>
  <c r="AF123" i="18"/>
  <c r="AF119" i="18"/>
  <c r="AF115" i="18"/>
  <c r="AF111" i="18"/>
  <c r="AF107" i="18"/>
  <c r="AF103" i="18"/>
  <c r="AF99" i="18"/>
  <c r="AF94" i="18"/>
  <c r="AF90" i="18"/>
  <c r="AF86" i="18"/>
  <c r="AF82" i="18"/>
  <c r="AF66" i="18"/>
  <c r="AF61" i="18"/>
  <c r="AF51" i="18"/>
  <c r="AF43" i="18"/>
  <c r="AF30" i="18"/>
  <c r="AF27" i="18"/>
  <c r="AF14" i="18"/>
  <c r="AF283" i="18"/>
  <c r="AF271" i="18"/>
  <c r="AF261" i="18"/>
  <c r="AF253" i="18"/>
  <c r="AF243" i="18"/>
  <c r="AF239" i="18"/>
  <c r="AF235" i="18"/>
  <c r="AF231" i="18"/>
  <c r="AF227" i="18"/>
  <c r="AF223" i="18"/>
  <c r="AF219" i="18"/>
  <c r="AF215" i="18"/>
  <c r="AF211" i="18"/>
  <c r="AF207" i="18"/>
  <c r="AF203" i="18"/>
  <c r="AF198" i="18"/>
  <c r="AF194" i="18"/>
  <c r="AF181" i="18"/>
  <c r="AF178" i="18"/>
  <c r="AF172" i="18"/>
  <c r="AF164" i="18"/>
  <c r="AF160" i="18"/>
  <c r="AF154" i="18"/>
  <c r="AF151" i="18"/>
  <c r="AF147" i="18"/>
  <c r="AF143" i="18"/>
  <c r="AF139" i="18"/>
  <c r="AF130" i="18"/>
  <c r="AF125" i="18"/>
  <c r="AF121" i="18"/>
  <c r="AF117" i="18"/>
  <c r="AF113" i="18"/>
  <c r="AF109" i="18"/>
  <c r="AF105" i="18"/>
  <c r="AF101" i="18"/>
  <c r="AF88" i="18"/>
  <c r="AF84" i="18"/>
  <c r="AF80" i="18"/>
  <c r="AF72" i="18"/>
  <c r="AF57" i="18"/>
  <c r="AF47" i="18"/>
  <c r="AF39" i="18"/>
  <c r="AF23" i="18"/>
  <c r="AF19" i="18"/>
  <c r="AF16" i="18"/>
  <c r="AF12" i="18"/>
  <c r="AF273" i="18"/>
  <c r="AF244" i="18"/>
  <c r="AF228" i="18"/>
  <c r="AF212" i="18"/>
  <c r="AF195" i="18"/>
  <c r="AF185" i="18"/>
  <c r="AF168" i="18"/>
  <c r="AF159" i="18"/>
  <c r="AF148" i="18"/>
  <c r="AF110" i="18"/>
  <c r="AF89" i="18"/>
  <c r="AF53" i="18"/>
  <c r="AF15" i="18"/>
  <c r="AF242" i="18"/>
  <c r="AF226" i="18"/>
  <c r="AF193" i="18"/>
  <c r="AF68" i="18"/>
  <c r="AF263" i="18"/>
  <c r="AF247" i="18"/>
  <c r="AF238" i="18"/>
  <c r="AF222" i="18"/>
  <c r="AF206" i="18"/>
  <c r="AF175" i="18"/>
  <c r="AF142" i="18"/>
  <c r="AF131" i="18"/>
  <c r="AF120" i="18"/>
  <c r="AF104" i="18"/>
  <c r="AF92" i="18"/>
  <c r="AF83" i="18"/>
  <c r="AE76" i="18"/>
  <c r="AF60" i="18"/>
  <c r="AF35" i="18"/>
  <c r="AF210" i="18"/>
  <c r="AF179" i="18"/>
  <c r="AF157" i="18"/>
  <c r="AF146" i="18"/>
  <c r="AF124" i="18"/>
  <c r="AF13" i="18"/>
  <c r="AF251" i="18"/>
  <c r="AF232" i="18"/>
  <c r="AF216" i="18"/>
  <c r="AF163" i="18"/>
  <c r="AF152" i="18"/>
  <c r="AF114" i="18"/>
  <c r="AF96" i="18"/>
  <c r="AF63" i="18"/>
  <c r="AF42" i="18"/>
  <c r="AF287" i="18"/>
  <c r="AF108" i="18"/>
  <c r="AF87" i="18"/>
  <c r="AF74" i="18"/>
  <c r="AF45" i="18"/>
  <c r="AF230" i="18"/>
  <c r="AF214" i="18"/>
  <c r="AF197" i="18"/>
  <c r="AF161" i="18"/>
  <c r="AF150" i="18"/>
  <c r="AF112" i="18"/>
  <c r="AF17" i="18"/>
  <c r="AF279" i="18"/>
  <c r="AF240" i="18"/>
  <c r="AF224" i="18"/>
  <c r="AF208" i="18"/>
  <c r="AF177" i="18"/>
  <c r="AF144" i="18"/>
  <c r="AF133" i="18"/>
  <c r="AF122" i="18"/>
  <c r="AF106" i="18"/>
  <c r="AF85" i="18"/>
  <c r="AF21" i="18"/>
  <c r="AF11" i="18"/>
  <c r="AF204" i="18"/>
  <c r="AF50" i="18"/>
  <c r="AF200" i="18"/>
  <c r="AF269" i="18"/>
  <c r="AF236" i="18"/>
  <c r="AF218" i="18"/>
  <c r="AF138" i="18"/>
  <c r="AF102" i="18"/>
  <c r="AF127" i="18"/>
  <c r="AF116" i="18"/>
  <c r="AF81" i="18"/>
  <c r="AF28" i="18"/>
  <c r="AF165" i="18"/>
  <c r="AF100" i="18"/>
  <c r="AF79" i="18"/>
  <c r="AF26" i="18"/>
  <c r="AF299" i="18"/>
  <c r="AF220" i="18"/>
  <c r="AF140" i="18"/>
  <c r="AF260" i="18"/>
  <c r="AF234" i="18"/>
  <c r="AF118" i="18"/>
  <c r="G258" i="18"/>
  <c r="O271" i="17"/>
  <c r="O290" i="17"/>
  <c r="O304" i="17" s="1"/>
  <c r="O310" i="17" s="1"/>
  <c r="O316" i="17" s="1"/>
  <c r="O322" i="17" s="1"/>
  <c r="AE187" i="18"/>
  <c r="Y76" i="18"/>
  <c r="Y189" i="18" s="1"/>
  <c r="Y256" i="18" s="1"/>
  <c r="W189" i="18"/>
  <c r="W256" i="18" s="1"/>
  <c r="AF79" i="17" l="1"/>
  <c r="AF241" i="17"/>
  <c r="AF130" i="17"/>
  <c r="AF198" i="17"/>
  <c r="AF155" i="17"/>
  <c r="AF48" i="17"/>
  <c r="AF286" i="17"/>
  <c r="AF113" i="17"/>
  <c r="AF239" i="17"/>
  <c r="AF29" i="17"/>
  <c r="AF146" i="17"/>
  <c r="AF121" i="17"/>
  <c r="AF276" i="17"/>
  <c r="AF33" i="17"/>
  <c r="AF64" i="17"/>
  <c r="AF93" i="17"/>
  <c r="AF118" i="17"/>
  <c r="AF165" i="17"/>
  <c r="AF231" i="17"/>
  <c r="AF13" i="17"/>
  <c r="AF138" i="17"/>
  <c r="AF148" i="17"/>
  <c r="AF86" i="17"/>
  <c r="AF115" i="17"/>
  <c r="AE81" i="17"/>
  <c r="AF81" i="17" s="1"/>
  <c r="AF205" i="17"/>
  <c r="AF242" i="17"/>
  <c r="AF21" i="17"/>
  <c r="AF66" i="17"/>
  <c r="AF95" i="17"/>
  <c r="AF112" i="17"/>
  <c r="AF139" i="17"/>
  <c r="AF172" i="17"/>
  <c r="AF238" i="17"/>
  <c r="AF65" i="17"/>
  <c r="AF107" i="17"/>
  <c r="AF237" i="17"/>
  <c r="AF154" i="17"/>
  <c r="AF225" i="17"/>
  <c r="AF260" i="17"/>
  <c r="AF123" i="17"/>
  <c r="AF145" i="17"/>
  <c r="AF166" i="17"/>
  <c r="AF187" i="17"/>
  <c r="AF212" i="17"/>
  <c r="AF228" i="17"/>
  <c r="AF244" i="17"/>
  <c r="AF266" i="17"/>
  <c r="M290" i="17"/>
  <c r="M304" i="17" s="1"/>
  <c r="M310" i="17" s="1"/>
  <c r="M316" i="17" s="1"/>
  <c r="M322" i="17" s="1"/>
  <c r="O258" i="18"/>
  <c r="O275" i="18"/>
  <c r="O289" i="18" s="1"/>
  <c r="O295" i="18" s="1"/>
  <c r="O301" i="18" s="1"/>
  <c r="O307" i="18" s="1"/>
  <c r="AE189" i="18"/>
  <c r="AE256" i="18" s="1"/>
  <c r="AF256" i="18" s="1"/>
  <c r="AC258" i="18"/>
  <c r="I290" i="17"/>
  <c r="I304" i="17" s="1"/>
  <c r="I310" i="17" s="1"/>
  <c r="I316" i="17" s="1"/>
  <c r="I322" i="17" s="1"/>
  <c r="G29" i="21"/>
  <c r="D134" i="7"/>
  <c r="G290" i="17"/>
  <c r="G304" i="17" s="1"/>
  <c r="G310" i="17" s="1"/>
  <c r="G316" i="17" s="1"/>
  <c r="G322" i="17" s="1"/>
  <c r="G271" i="17"/>
  <c r="AA275" i="18"/>
  <c r="AA289" i="18" s="1"/>
  <c r="AA295" i="18" s="1"/>
  <c r="AA301" i="18" s="1"/>
  <c r="AA307" i="18" s="1"/>
  <c r="AA316" i="18" s="1"/>
  <c r="AA317" i="18" s="1"/>
  <c r="AA258" i="18"/>
  <c r="U290" i="17"/>
  <c r="U304" i="17" s="1"/>
  <c r="U310" i="17" s="1"/>
  <c r="U316" i="17" s="1"/>
  <c r="U322" i="17" s="1"/>
  <c r="U331" i="17" s="1"/>
  <c r="U332" i="17" s="1"/>
  <c r="U271" i="17"/>
  <c r="AF189" i="18"/>
  <c r="AF76" i="18"/>
  <c r="S290" i="17"/>
  <c r="S304" i="17" s="1"/>
  <c r="S310" i="17" s="1"/>
  <c r="S316" i="17" s="1"/>
  <c r="S322" i="17" s="1"/>
  <c r="S331" i="17" s="1"/>
  <c r="S332" i="17" s="1"/>
  <c r="S271" i="17"/>
  <c r="AE275" i="18"/>
  <c r="AE258" i="18"/>
  <c r="AF258" i="18" s="1"/>
  <c r="Y258" i="18"/>
  <c r="Y275" i="18"/>
  <c r="Y289" i="18" s="1"/>
  <c r="Y295" i="18" s="1"/>
  <c r="Y301" i="18" s="1"/>
  <c r="Y307" i="18" s="1"/>
  <c r="Y316" i="18" s="1"/>
  <c r="Y317" i="18" s="1"/>
  <c r="W275" i="18"/>
  <c r="W289" i="18" s="1"/>
  <c r="W295" i="18" s="1"/>
  <c r="W301" i="18" s="1"/>
  <c r="W307" i="18" s="1"/>
  <c r="W316" i="18" s="1"/>
  <c r="W317" i="18" s="1"/>
  <c r="W258" i="18"/>
  <c r="Y271" i="17"/>
  <c r="Y290" i="17"/>
  <c r="Y304" i="17" s="1"/>
  <c r="Y310" i="17" s="1"/>
  <c r="Y316" i="17" s="1"/>
  <c r="Y322" i="17" s="1"/>
  <c r="Y331" i="17" s="1"/>
  <c r="Y332" i="17" s="1"/>
  <c r="AE195" i="17" l="1"/>
  <c r="AE269" i="17" s="1"/>
  <c r="AE289" i="18"/>
  <c r="AF275" i="18"/>
  <c r="AF195" i="17"/>
  <c r="AE295" i="18" l="1"/>
  <c r="AF289" i="18"/>
  <c r="AE290" i="17"/>
  <c r="AE271" i="17"/>
  <c r="AF271" i="17" s="1"/>
  <c r="AF269" i="17"/>
  <c r="AE304" i="17" l="1"/>
  <c r="AF290" i="17"/>
  <c r="AE301" i="18"/>
  <c r="AF295" i="18"/>
  <c r="AE307" i="18" l="1"/>
  <c r="AF301" i="18"/>
  <c r="AE310" i="17"/>
  <c r="AF304" i="17"/>
  <c r="AE316" i="17" l="1"/>
  <c r="AF310" i="17"/>
  <c r="AE314" i="18"/>
  <c r="AE316" i="18"/>
  <c r="AE317" i="18" s="1"/>
  <c r="AF307" i="18"/>
  <c r="AE322" i="17" l="1"/>
  <c r="AF316" i="17"/>
  <c r="AE329" i="17" l="1"/>
  <c r="AE331" i="17"/>
  <c r="AE332" i="17" s="1"/>
  <c r="AF322" i="17"/>
  <c r="M56" i="7" l="1"/>
  <c r="M120" i="7"/>
  <c r="G120" i="7"/>
  <c r="D135" i="7" l="1"/>
  <c r="M21" i="7" l="1"/>
  <c r="F26" i="16" l="1"/>
  <c r="F21" i="16"/>
  <c r="D25" i="16"/>
  <c r="D27" i="16" s="1"/>
  <c r="M96" i="7" l="1"/>
  <c r="W102" i="7"/>
  <c r="W101" i="7"/>
  <c r="M81" i="7" l="1"/>
  <c r="M78" i="7"/>
  <c r="E30" i="11"/>
  <c r="E29" i="11"/>
  <c r="B278" i="11"/>
  <c r="B256" i="11"/>
  <c r="B253" i="11"/>
  <c r="B188" i="11"/>
  <c r="C278" i="11"/>
  <c r="C256" i="11"/>
  <c r="C253" i="11"/>
  <c r="C171" i="11"/>
  <c r="G280" i="14"/>
  <c r="D280" i="14" l="1"/>
  <c r="B318" i="15"/>
  <c r="B319" i="15" s="1"/>
  <c r="G294" i="15"/>
  <c r="D294" i="15"/>
  <c r="G293" i="15"/>
  <c r="D293" i="15"/>
  <c r="S287" i="15"/>
  <c r="R287" i="15"/>
  <c r="Q287" i="15"/>
  <c r="P287" i="15"/>
  <c r="O287" i="15"/>
  <c r="N287" i="15"/>
  <c r="M287" i="15"/>
  <c r="D287" i="15"/>
  <c r="G286" i="15"/>
  <c r="J286" i="15" s="1"/>
  <c r="B286" i="11" s="1"/>
  <c r="D286" i="11" s="1"/>
  <c r="E286" i="11" s="1"/>
  <c r="G285" i="15"/>
  <c r="G284" i="15"/>
  <c r="I284" i="15" s="1"/>
  <c r="G281" i="15"/>
  <c r="D281" i="15"/>
  <c r="T280" i="15"/>
  <c r="P280" i="15"/>
  <c r="M280" i="15"/>
  <c r="D280" i="15"/>
  <c r="U279" i="15"/>
  <c r="U278" i="15"/>
  <c r="G278" i="15"/>
  <c r="U277" i="15"/>
  <c r="G276" i="15"/>
  <c r="I276" i="15" s="1"/>
  <c r="N276" i="15" s="1"/>
  <c r="U275" i="15"/>
  <c r="G274" i="15"/>
  <c r="J274" i="15" s="1"/>
  <c r="U273" i="15"/>
  <c r="G273" i="15"/>
  <c r="J273" i="15" s="1"/>
  <c r="B273" i="11" s="1"/>
  <c r="G272" i="15"/>
  <c r="J272" i="15" s="1"/>
  <c r="G271" i="15"/>
  <c r="I271" i="15" s="1"/>
  <c r="O271" i="15" s="1"/>
  <c r="U271" i="15" s="1"/>
  <c r="G270" i="15"/>
  <c r="J270" i="15" s="1"/>
  <c r="G269" i="15"/>
  <c r="I269" i="15" s="1"/>
  <c r="O269" i="15" s="1"/>
  <c r="U269" i="15" s="1"/>
  <c r="G268" i="15"/>
  <c r="I268" i="15" s="1"/>
  <c r="O268" i="15" s="1"/>
  <c r="U268" i="15" s="1"/>
  <c r="G267" i="15"/>
  <c r="I267" i="15" s="1"/>
  <c r="O267" i="15" s="1"/>
  <c r="U267" i="15" s="1"/>
  <c r="U266" i="15"/>
  <c r="U265" i="15"/>
  <c r="U264" i="15"/>
  <c r="G263" i="15"/>
  <c r="J263" i="15" s="1"/>
  <c r="G262" i="15"/>
  <c r="I262" i="15" s="1"/>
  <c r="R262" i="15" s="1"/>
  <c r="U262" i="15" s="1"/>
  <c r="U261" i="15"/>
  <c r="U260" i="15"/>
  <c r="G260" i="15"/>
  <c r="G259" i="15"/>
  <c r="I259" i="15" s="1"/>
  <c r="Q259" i="15" s="1"/>
  <c r="U259" i="15" s="1"/>
  <c r="G258" i="15"/>
  <c r="J258" i="15" s="1"/>
  <c r="U257" i="15"/>
  <c r="U256" i="15"/>
  <c r="K256" i="15"/>
  <c r="I256" i="15"/>
  <c r="G255" i="15"/>
  <c r="I255" i="15" s="1"/>
  <c r="R255" i="15" s="1"/>
  <c r="U255" i="15" s="1"/>
  <c r="J254" i="15"/>
  <c r="I254" i="15"/>
  <c r="R254" i="15" s="1"/>
  <c r="U254" i="15" s="1"/>
  <c r="G254" i="15"/>
  <c r="K253" i="15"/>
  <c r="I253" i="15"/>
  <c r="R253" i="15" s="1"/>
  <c r="U253" i="15" s="1"/>
  <c r="G252" i="15"/>
  <c r="I252" i="15" s="1"/>
  <c r="S252" i="15" s="1"/>
  <c r="G251" i="15"/>
  <c r="J251" i="15" s="1"/>
  <c r="G250" i="15"/>
  <c r="I250" i="15" s="1"/>
  <c r="R250" i="15" s="1"/>
  <c r="U250" i="15" s="1"/>
  <c r="G249" i="15"/>
  <c r="J249" i="15" s="1"/>
  <c r="G248" i="15"/>
  <c r="I248" i="15" s="1"/>
  <c r="R248" i="15" s="1"/>
  <c r="U248" i="15" s="1"/>
  <c r="G247" i="15"/>
  <c r="I247" i="15" s="1"/>
  <c r="R247" i="15" s="1"/>
  <c r="U247" i="15" s="1"/>
  <c r="G246" i="15"/>
  <c r="I246" i="15" s="1"/>
  <c r="R246" i="15" s="1"/>
  <c r="U246" i="15" s="1"/>
  <c r="G245" i="15"/>
  <c r="J245" i="15" s="1"/>
  <c r="G244" i="15"/>
  <c r="I244" i="15" s="1"/>
  <c r="R244" i="15" s="1"/>
  <c r="U244" i="15" s="1"/>
  <c r="U243" i="15"/>
  <c r="U242" i="15"/>
  <c r="G241" i="15"/>
  <c r="I241" i="15" s="1"/>
  <c r="R241" i="15" s="1"/>
  <c r="U241" i="15" s="1"/>
  <c r="G240" i="15"/>
  <c r="I240" i="15" s="1"/>
  <c r="R240" i="15" s="1"/>
  <c r="U240" i="15" s="1"/>
  <c r="G239" i="15"/>
  <c r="G238" i="15"/>
  <c r="J238" i="15" s="1"/>
  <c r="G237" i="15"/>
  <c r="I237" i="15" s="1"/>
  <c r="R237" i="15" s="1"/>
  <c r="U237" i="15" s="1"/>
  <c r="G236" i="15"/>
  <c r="J236" i="15" s="1"/>
  <c r="G235" i="15"/>
  <c r="I235" i="15" s="1"/>
  <c r="R235" i="15" s="1"/>
  <c r="U235" i="15" s="1"/>
  <c r="U234" i="15"/>
  <c r="U233" i="15"/>
  <c r="G232" i="15"/>
  <c r="I232" i="15" s="1"/>
  <c r="R232" i="15" s="1"/>
  <c r="U232" i="15" s="1"/>
  <c r="G231" i="15"/>
  <c r="J231" i="15" s="1"/>
  <c r="G230" i="15"/>
  <c r="I230" i="15" s="1"/>
  <c r="R230" i="15" s="1"/>
  <c r="U230" i="15" s="1"/>
  <c r="G229" i="15"/>
  <c r="J229" i="15" s="1"/>
  <c r="G228" i="15"/>
  <c r="I228" i="15" s="1"/>
  <c r="R228" i="15" s="1"/>
  <c r="U228" i="15" s="1"/>
  <c r="U227" i="15"/>
  <c r="U226" i="15"/>
  <c r="G225" i="15"/>
  <c r="G224" i="15"/>
  <c r="J224" i="15" s="1"/>
  <c r="G223" i="15"/>
  <c r="I223" i="15" s="1"/>
  <c r="R223" i="15" s="1"/>
  <c r="U223" i="15" s="1"/>
  <c r="G222" i="15"/>
  <c r="J222" i="15" s="1"/>
  <c r="U221" i="15"/>
  <c r="U220" i="15"/>
  <c r="G219" i="15"/>
  <c r="J219" i="15" s="1"/>
  <c r="G218" i="15"/>
  <c r="I218" i="15" s="1"/>
  <c r="R218" i="15" s="1"/>
  <c r="U218" i="15" s="1"/>
  <c r="G217" i="15"/>
  <c r="J217" i="15" s="1"/>
  <c r="G216" i="15"/>
  <c r="I216" i="15" s="1"/>
  <c r="R216" i="15" s="1"/>
  <c r="U216" i="15" s="1"/>
  <c r="U215" i="15"/>
  <c r="U214" i="15"/>
  <c r="G213" i="15"/>
  <c r="I213" i="15" s="1"/>
  <c r="R213" i="15" s="1"/>
  <c r="U213" i="15" s="1"/>
  <c r="G212" i="15"/>
  <c r="J212" i="15" s="1"/>
  <c r="G211" i="15"/>
  <c r="I211" i="15" s="1"/>
  <c r="R211" i="15" s="1"/>
  <c r="U211" i="15" s="1"/>
  <c r="G210" i="15"/>
  <c r="J210" i="15" s="1"/>
  <c r="G209" i="15"/>
  <c r="I209" i="15" s="1"/>
  <c r="R209" i="15" s="1"/>
  <c r="U209" i="15" s="1"/>
  <c r="U208" i="15"/>
  <c r="U207" i="15"/>
  <c r="K207" i="15"/>
  <c r="G206" i="15"/>
  <c r="G205" i="15"/>
  <c r="I205" i="15" s="1"/>
  <c r="R205" i="15" s="1"/>
  <c r="U205" i="15" s="1"/>
  <c r="G204" i="15"/>
  <c r="J204" i="15" s="1"/>
  <c r="G203" i="15"/>
  <c r="J203" i="15" s="1"/>
  <c r="G202" i="15"/>
  <c r="G197" i="15"/>
  <c r="I197" i="15" s="1"/>
  <c r="D197" i="15"/>
  <c r="P196" i="15"/>
  <c r="M196" i="15"/>
  <c r="D196" i="15"/>
  <c r="G195" i="15"/>
  <c r="J195" i="15" s="1"/>
  <c r="G194" i="15"/>
  <c r="G193" i="15"/>
  <c r="J193" i="15" s="1"/>
  <c r="G192" i="15"/>
  <c r="J192" i="15" s="1"/>
  <c r="B192" i="11" s="1"/>
  <c r="G191" i="15"/>
  <c r="J191" i="15" s="1"/>
  <c r="G190" i="15"/>
  <c r="G189" i="15"/>
  <c r="J189" i="15" s="1"/>
  <c r="U188" i="15"/>
  <c r="G187" i="15"/>
  <c r="J187" i="15" s="1"/>
  <c r="G186" i="15"/>
  <c r="I186" i="15" s="1"/>
  <c r="Q186" i="15" s="1"/>
  <c r="U186" i="15" s="1"/>
  <c r="G185" i="15"/>
  <c r="J185" i="15" s="1"/>
  <c r="Q184" i="15"/>
  <c r="U184" i="15" s="1"/>
  <c r="G183" i="15"/>
  <c r="J183" i="15" s="1"/>
  <c r="G182" i="15"/>
  <c r="I182" i="15" s="1"/>
  <c r="Q182" i="15" s="1"/>
  <c r="U182" i="15" s="1"/>
  <c r="G181" i="15"/>
  <c r="I181" i="15" s="1"/>
  <c r="Q181" i="15" s="1"/>
  <c r="U181" i="15" s="1"/>
  <c r="G180" i="15"/>
  <c r="I180" i="15" s="1"/>
  <c r="Q180" i="15" s="1"/>
  <c r="U180" i="15" s="1"/>
  <c r="G179" i="15"/>
  <c r="J179" i="15" s="1"/>
  <c r="G178" i="15"/>
  <c r="I178" i="15" s="1"/>
  <c r="Q178" i="15" s="1"/>
  <c r="U178" i="15" s="1"/>
  <c r="I177" i="15"/>
  <c r="Q177" i="15" s="1"/>
  <c r="U177" i="15" s="1"/>
  <c r="G177" i="15"/>
  <c r="J177" i="15" s="1"/>
  <c r="G176" i="15"/>
  <c r="G175" i="15"/>
  <c r="G174" i="15"/>
  <c r="I174" i="15" s="1"/>
  <c r="Q174" i="15" s="1"/>
  <c r="U174" i="15" s="1"/>
  <c r="U173" i="15"/>
  <c r="U172" i="15"/>
  <c r="G171" i="15"/>
  <c r="I171" i="15" s="1"/>
  <c r="Q171" i="15" s="1"/>
  <c r="U171" i="15" s="1"/>
  <c r="C171" i="15"/>
  <c r="G170" i="15"/>
  <c r="I170" i="15" s="1"/>
  <c r="Q170" i="15" s="1"/>
  <c r="U170" i="15" s="1"/>
  <c r="G169" i="15"/>
  <c r="J169" i="15" s="1"/>
  <c r="B169" i="11" s="1"/>
  <c r="G168" i="15"/>
  <c r="J168" i="15" s="1"/>
  <c r="G167" i="15"/>
  <c r="J166" i="15"/>
  <c r="G166" i="15"/>
  <c r="I166" i="15" s="1"/>
  <c r="Q166" i="15" s="1"/>
  <c r="U166" i="15" s="1"/>
  <c r="G165" i="15"/>
  <c r="J165" i="15" s="1"/>
  <c r="B165" i="11" s="1"/>
  <c r="G164" i="15"/>
  <c r="I164" i="15" s="1"/>
  <c r="Q164" i="15" s="1"/>
  <c r="U164" i="15" s="1"/>
  <c r="G163" i="15"/>
  <c r="G162" i="15"/>
  <c r="J162" i="15" s="1"/>
  <c r="G161" i="15"/>
  <c r="J161" i="15" s="1"/>
  <c r="B161" i="11" s="1"/>
  <c r="G160" i="15"/>
  <c r="I160" i="15" s="1"/>
  <c r="Q160" i="15" s="1"/>
  <c r="U160" i="15" s="1"/>
  <c r="G159" i="15"/>
  <c r="G158" i="15"/>
  <c r="J158" i="15" s="1"/>
  <c r="G157" i="15"/>
  <c r="J157" i="15" s="1"/>
  <c r="G156" i="15"/>
  <c r="J156" i="15" s="1"/>
  <c r="G155" i="15"/>
  <c r="G154" i="15"/>
  <c r="J154" i="15" s="1"/>
  <c r="B154" i="11" s="1"/>
  <c r="G153" i="15"/>
  <c r="G152" i="15"/>
  <c r="J152" i="15" s="1"/>
  <c r="G151" i="15"/>
  <c r="G150" i="15"/>
  <c r="J150" i="15" s="1"/>
  <c r="G149" i="15"/>
  <c r="J149" i="15" s="1"/>
  <c r="B149" i="11" s="1"/>
  <c r="G148" i="15"/>
  <c r="I148" i="15" s="1"/>
  <c r="Q148" i="15" s="1"/>
  <c r="U148" i="15" s="1"/>
  <c r="G147" i="15"/>
  <c r="G146" i="15"/>
  <c r="I146" i="15" s="1"/>
  <c r="Q146" i="15" s="1"/>
  <c r="U146" i="15" s="1"/>
  <c r="G145" i="15"/>
  <c r="J145" i="15" s="1"/>
  <c r="G144" i="15"/>
  <c r="I144" i="15" s="1"/>
  <c r="Q144" i="15" s="1"/>
  <c r="U144" i="15" s="1"/>
  <c r="G143" i="15"/>
  <c r="G142" i="15"/>
  <c r="J142" i="15" s="1"/>
  <c r="G141" i="15"/>
  <c r="J141" i="15" s="1"/>
  <c r="B141" i="11" s="1"/>
  <c r="G140" i="15"/>
  <c r="J140" i="15" s="1"/>
  <c r="G139" i="15"/>
  <c r="U138" i="15"/>
  <c r="U137" i="15"/>
  <c r="G136" i="15"/>
  <c r="G135" i="15"/>
  <c r="J135" i="15" s="1"/>
  <c r="G134" i="15"/>
  <c r="J134" i="15" s="1"/>
  <c r="I133" i="15"/>
  <c r="Q133" i="15" s="1"/>
  <c r="U133" i="15" s="1"/>
  <c r="G133" i="15"/>
  <c r="J133" i="15" s="1"/>
  <c r="G132" i="15"/>
  <c r="G131" i="15"/>
  <c r="I131" i="15" s="1"/>
  <c r="Q131" i="15" s="1"/>
  <c r="U131" i="15" s="1"/>
  <c r="U130" i="15"/>
  <c r="G129" i="15"/>
  <c r="J129" i="15" s="1"/>
  <c r="U128" i="15"/>
  <c r="G127" i="15"/>
  <c r="J127" i="15" s="1"/>
  <c r="G126" i="15"/>
  <c r="I126" i="15" s="1"/>
  <c r="Q126" i="15" s="1"/>
  <c r="U126" i="15" s="1"/>
  <c r="G125" i="15"/>
  <c r="G124" i="15"/>
  <c r="J124" i="15" s="1"/>
  <c r="G123" i="15"/>
  <c r="I123" i="15" s="1"/>
  <c r="Q123" i="15" s="1"/>
  <c r="U123" i="15" s="1"/>
  <c r="G122" i="15"/>
  <c r="J122" i="15" s="1"/>
  <c r="B122" i="11" s="1"/>
  <c r="Q121" i="15"/>
  <c r="U121" i="15" s="1"/>
  <c r="G120" i="15"/>
  <c r="J120" i="15" s="1"/>
  <c r="G119" i="15"/>
  <c r="J119" i="15" s="1"/>
  <c r="G118" i="15"/>
  <c r="U117" i="15"/>
  <c r="G116" i="15"/>
  <c r="J116" i="15" s="1"/>
  <c r="B116" i="11" s="1"/>
  <c r="U115" i="15"/>
  <c r="U114" i="15"/>
  <c r="U113" i="15"/>
  <c r="U112" i="15"/>
  <c r="G111" i="15"/>
  <c r="I111" i="15" s="1"/>
  <c r="G110" i="15"/>
  <c r="J110" i="15" s="1"/>
  <c r="B110" i="11" s="1"/>
  <c r="G109" i="15"/>
  <c r="G108" i="15"/>
  <c r="I108" i="15" s="1"/>
  <c r="G107" i="15"/>
  <c r="I107" i="15" s="1"/>
  <c r="Q106" i="15"/>
  <c r="U106" i="15" s="1"/>
  <c r="G105" i="15"/>
  <c r="J105" i="15" s="1"/>
  <c r="G104" i="15"/>
  <c r="I104" i="15" s="1"/>
  <c r="G103" i="15"/>
  <c r="I103" i="15" s="1"/>
  <c r="G102" i="15"/>
  <c r="I102" i="15" s="1"/>
  <c r="Q102" i="15" s="1"/>
  <c r="U102" i="15" s="1"/>
  <c r="G101" i="15"/>
  <c r="I101" i="15" s="1"/>
  <c r="G100" i="15"/>
  <c r="J100" i="15" s="1"/>
  <c r="B100" i="11" s="1"/>
  <c r="G99" i="15"/>
  <c r="G98" i="15"/>
  <c r="I98" i="15" s="1"/>
  <c r="G97" i="15"/>
  <c r="I97" i="15" s="1"/>
  <c r="G96" i="15"/>
  <c r="I96" i="15" s="1"/>
  <c r="G95" i="15"/>
  <c r="J95" i="15" s="1"/>
  <c r="G94" i="15"/>
  <c r="I94" i="15" s="1"/>
  <c r="G93" i="15"/>
  <c r="J93" i="15" s="1"/>
  <c r="B93" i="11" s="1"/>
  <c r="G92" i="15"/>
  <c r="J92" i="15" s="1"/>
  <c r="B92" i="11" s="1"/>
  <c r="G91" i="15"/>
  <c r="G90" i="15"/>
  <c r="J90" i="15" s="1"/>
  <c r="G89" i="15"/>
  <c r="I89" i="15" s="1"/>
  <c r="J88" i="15"/>
  <c r="O88" i="15" s="1"/>
  <c r="G88" i="15"/>
  <c r="I88" i="15" s="1"/>
  <c r="U87" i="15"/>
  <c r="U86" i="15"/>
  <c r="G85" i="15"/>
  <c r="J85" i="15" s="1"/>
  <c r="G84" i="15"/>
  <c r="I84" i="15" s="1"/>
  <c r="Q84" i="15" s="1"/>
  <c r="U84" i="15" s="1"/>
  <c r="G83" i="15"/>
  <c r="J83" i="15" s="1"/>
  <c r="B83" i="11" s="1"/>
  <c r="G82" i="15"/>
  <c r="J81" i="15"/>
  <c r="B81" i="11" s="1"/>
  <c r="G81" i="15"/>
  <c r="I81" i="15" s="1"/>
  <c r="G80" i="15"/>
  <c r="I80" i="15" s="1"/>
  <c r="Q80" i="15" s="1"/>
  <c r="U80" i="15" s="1"/>
  <c r="G79" i="15"/>
  <c r="J79" i="15" s="1"/>
  <c r="O79" i="15" s="1"/>
  <c r="G78" i="15"/>
  <c r="J78" i="15" s="1"/>
  <c r="G77" i="15"/>
  <c r="J77" i="15" s="1"/>
  <c r="B77" i="11" s="1"/>
  <c r="G76" i="15"/>
  <c r="I76" i="15" s="1"/>
  <c r="Q76" i="15" s="1"/>
  <c r="U76" i="15" s="1"/>
  <c r="U75" i="15"/>
  <c r="G74" i="15"/>
  <c r="I74" i="15" s="1"/>
  <c r="N74" i="15" s="1"/>
  <c r="U74" i="15" s="1"/>
  <c r="G73" i="15"/>
  <c r="J73" i="15" s="1"/>
  <c r="G72" i="15"/>
  <c r="I72" i="15" s="1"/>
  <c r="N72" i="15" s="1"/>
  <c r="U72" i="15" s="1"/>
  <c r="U71" i="15"/>
  <c r="G70" i="15"/>
  <c r="J70" i="15" s="1"/>
  <c r="G69" i="15"/>
  <c r="J69" i="15" s="1"/>
  <c r="B69" i="11" s="1"/>
  <c r="G68" i="15"/>
  <c r="J68" i="15" s="1"/>
  <c r="G67" i="15"/>
  <c r="I67" i="15" s="1"/>
  <c r="Q67" i="15" s="1"/>
  <c r="U67" i="15" s="1"/>
  <c r="G66" i="15"/>
  <c r="J66" i="15" s="1"/>
  <c r="B66" i="11" s="1"/>
  <c r="U65" i="15"/>
  <c r="G64" i="15"/>
  <c r="I64" i="15" s="1"/>
  <c r="O64" i="15" s="1"/>
  <c r="M295" i="15" s="1"/>
  <c r="U63" i="15"/>
  <c r="G63" i="15"/>
  <c r="J63" i="15" s="1"/>
  <c r="B63" i="11" s="1"/>
  <c r="U62" i="15"/>
  <c r="G61" i="15"/>
  <c r="J61" i="15" s="1"/>
  <c r="G60" i="15"/>
  <c r="J60" i="15" s="1"/>
  <c r="U59" i="15"/>
  <c r="G58" i="15"/>
  <c r="J58" i="15" s="1"/>
  <c r="B58" i="11" s="1"/>
  <c r="U57" i="15"/>
  <c r="G56" i="15"/>
  <c r="I56" i="15" s="1"/>
  <c r="O56" i="15" s="1"/>
  <c r="U56" i="15" s="1"/>
  <c r="G55" i="15"/>
  <c r="I55" i="15" s="1"/>
  <c r="O55" i="15" s="1"/>
  <c r="U54" i="15"/>
  <c r="G54" i="15"/>
  <c r="I54" i="15" s="1"/>
  <c r="G50" i="15"/>
  <c r="D50" i="15"/>
  <c r="T49" i="15"/>
  <c r="S49" i="15"/>
  <c r="R49" i="15"/>
  <c r="Q49" i="15"/>
  <c r="O49" i="15"/>
  <c r="D49" i="15"/>
  <c r="G48" i="15"/>
  <c r="I48" i="15" s="1"/>
  <c r="P48" i="15" s="1"/>
  <c r="U48" i="15" s="1"/>
  <c r="G47" i="15"/>
  <c r="I47" i="15" s="1"/>
  <c r="P47" i="15" s="1"/>
  <c r="U47" i="15" s="1"/>
  <c r="G46" i="15"/>
  <c r="I46" i="15" s="1"/>
  <c r="G45" i="15"/>
  <c r="I45" i="15" s="1"/>
  <c r="P45" i="15" s="1"/>
  <c r="U45" i="15" s="1"/>
  <c r="G44" i="15"/>
  <c r="J44" i="15" s="1"/>
  <c r="B44" i="11" s="1"/>
  <c r="G43" i="15"/>
  <c r="I43" i="15" s="1"/>
  <c r="P43" i="15" s="1"/>
  <c r="U43" i="15" s="1"/>
  <c r="G42" i="15"/>
  <c r="I42" i="15" s="1"/>
  <c r="G41" i="15"/>
  <c r="I41" i="15" s="1"/>
  <c r="P41" i="15" s="1"/>
  <c r="U41" i="15" s="1"/>
  <c r="G40" i="15"/>
  <c r="J40" i="15" s="1"/>
  <c r="B40" i="11" s="1"/>
  <c r="G39" i="15"/>
  <c r="I39" i="15" s="1"/>
  <c r="P39" i="15" s="1"/>
  <c r="U39" i="15" s="1"/>
  <c r="G38" i="15"/>
  <c r="J38" i="15" s="1"/>
  <c r="B38" i="11" s="1"/>
  <c r="G37" i="15"/>
  <c r="I37" i="15" s="1"/>
  <c r="P37" i="15" s="1"/>
  <c r="U37" i="15" s="1"/>
  <c r="G36" i="15"/>
  <c r="J36" i="15" s="1"/>
  <c r="B36" i="11" s="1"/>
  <c r="G35" i="15"/>
  <c r="I35" i="15" s="1"/>
  <c r="P35" i="15" s="1"/>
  <c r="U35" i="15" s="1"/>
  <c r="G34" i="15"/>
  <c r="I34" i="15" s="1"/>
  <c r="P34" i="15" s="1"/>
  <c r="U34" i="15" s="1"/>
  <c r="G33" i="15"/>
  <c r="I33" i="15" s="1"/>
  <c r="G32" i="15"/>
  <c r="J32" i="15" s="1"/>
  <c r="U31" i="15"/>
  <c r="G30" i="15"/>
  <c r="I30" i="15" s="1"/>
  <c r="N30" i="15" s="1"/>
  <c r="U30" i="15" s="1"/>
  <c r="G29" i="15"/>
  <c r="J29" i="15" s="1"/>
  <c r="G28" i="15"/>
  <c r="I28" i="15" s="1"/>
  <c r="N28" i="15" s="1"/>
  <c r="U28" i="15" s="1"/>
  <c r="G27" i="15"/>
  <c r="J27" i="15" s="1"/>
  <c r="I26" i="15"/>
  <c r="N26" i="15" s="1"/>
  <c r="G26" i="15"/>
  <c r="J26" i="15" s="1"/>
  <c r="U25" i="15"/>
  <c r="G25" i="15"/>
  <c r="G24" i="15"/>
  <c r="J24" i="15" s="1"/>
  <c r="G23" i="15"/>
  <c r="J23" i="15" s="1"/>
  <c r="G22" i="15"/>
  <c r="I22" i="15" s="1"/>
  <c r="M22" i="15" s="1"/>
  <c r="U22" i="15" s="1"/>
  <c r="G21" i="15"/>
  <c r="J21" i="15" s="1"/>
  <c r="U20" i="15"/>
  <c r="G19" i="15"/>
  <c r="J19" i="15" s="1"/>
  <c r="G18" i="15"/>
  <c r="J18" i="15" s="1"/>
  <c r="G17" i="15"/>
  <c r="I17" i="15" s="1"/>
  <c r="P17" i="15" s="1"/>
  <c r="U17" i="15" s="1"/>
  <c r="G16" i="15"/>
  <c r="I16" i="15" s="1"/>
  <c r="P16" i="15" s="1"/>
  <c r="U16" i="15" s="1"/>
  <c r="G15" i="15"/>
  <c r="J15" i="15" s="1"/>
  <c r="G14" i="15"/>
  <c r="J14" i="15" s="1"/>
  <c r="G13" i="15"/>
  <c r="J13" i="15" s="1"/>
  <c r="G12" i="15"/>
  <c r="J12" i="15" s="1"/>
  <c r="U11" i="15"/>
  <c r="G10" i="15"/>
  <c r="I10" i="15" s="1"/>
  <c r="P10" i="15" s="1"/>
  <c r="U9" i="15"/>
  <c r="G8" i="15"/>
  <c r="J8" i="15" s="1"/>
  <c r="G7" i="15"/>
  <c r="U6" i="15"/>
  <c r="G6" i="15"/>
  <c r="I6" i="15" s="1"/>
  <c r="N306" i="15" s="1"/>
  <c r="J22" i="15" l="1"/>
  <c r="M38" i="15"/>
  <c r="J146" i="15"/>
  <c r="J46" i="15"/>
  <c r="B46" i="11" s="1"/>
  <c r="I168" i="15"/>
  <c r="Q168" i="15" s="1"/>
  <c r="U168" i="15" s="1"/>
  <c r="I193" i="15"/>
  <c r="Q193" i="15" s="1"/>
  <c r="U193" i="15" s="1"/>
  <c r="J148" i="15"/>
  <c r="J34" i="15"/>
  <c r="K34" i="15" s="1"/>
  <c r="I187" i="15"/>
  <c r="Q187" i="15" s="1"/>
  <c r="U187" i="15" s="1"/>
  <c r="J268" i="15"/>
  <c r="I293" i="15"/>
  <c r="I24" i="15"/>
  <c r="M24" i="15" s="1"/>
  <c r="U24" i="15" s="1"/>
  <c r="J72" i="15"/>
  <c r="K161" i="15"/>
  <c r="I231" i="15"/>
  <c r="R231" i="15" s="1"/>
  <c r="U231" i="15" s="1"/>
  <c r="J262" i="15"/>
  <c r="B262" i="11" s="1"/>
  <c r="J54" i="15"/>
  <c r="J74" i="15"/>
  <c r="B74" i="11" s="1"/>
  <c r="J80" i="15"/>
  <c r="K80" i="15" s="1"/>
  <c r="J101" i="15"/>
  <c r="B101" i="11" s="1"/>
  <c r="K149" i="15"/>
  <c r="J259" i="15"/>
  <c r="B259" i="11" s="1"/>
  <c r="J107" i="15"/>
  <c r="K107" i="15" s="1"/>
  <c r="J144" i="15"/>
  <c r="K144" i="15" s="1"/>
  <c r="K38" i="15"/>
  <c r="J255" i="15"/>
  <c r="B255" i="11" s="1"/>
  <c r="J76" i="15"/>
  <c r="B76" i="11" s="1"/>
  <c r="I140" i="15"/>
  <c r="Q140" i="15" s="1"/>
  <c r="U140" i="15" s="1"/>
  <c r="I154" i="15"/>
  <c r="Q154" i="15" s="1"/>
  <c r="U154" i="15" s="1"/>
  <c r="J160" i="15"/>
  <c r="K160" i="15" s="1"/>
  <c r="J178" i="15"/>
  <c r="I183" i="15"/>
  <c r="Q183" i="15" s="1"/>
  <c r="U183" i="15" s="1"/>
  <c r="I222" i="15"/>
  <c r="R222" i="15" s="1"/>
  <c r="U222" i="15" s="1"/>
  <c r="I273" i="15"/>
  <c r="N309" i="15" s="1"/>
  <c r="B33" i="16" s="1"/>
  <c r="J17" i="15"/>
  <c r="B17" i="11" s="1"/>
  <c r="I149" i="15"/>
  <c r="Q149" i="15" s="1"/>
  <c r="U149" i="15" s="1"/>
  <c r="J170" i="15"/>
  <c r="B170" i="11" s="1"/>
  <c r="T78" i="7" s="1"/>
  <c r="J216" i="15"/>
  <c r="B216" i="11" s="1"/>
  <c r="J269" i="15"/>
  <c r="J284" i="15"/>
  <c r="K284" i="15" s="1"/>
  <c r="I294" i="15"/>
  <c r="I229" i="15"/>
  <c r="R229" i="15" s="1"/>
  <c r="U229" i="15" s="1"/>
  <c r="I63" i="15"/>
  <c r="N308" i="15" s="1"/>
  <c r="B32" i="16" s="1"/>
  <c r="I79" i="15"/>
  <c r="J89" i="15"/>
  <c r="I116" i="15"/>
  <c r="Q116" i="15" s="1"/>
  <c r="U116" i="15" s="1"/>
  <c r="J171" i="15"/>
  <c r="J205" i="15"/>
  <c r="K205" i="15" s="1"/>
  <c r="J223" i="15"/>
  <c r="B223" i="11" s="1"/>
  <c r="J240" i="15"/>
  <c r="B240" i="11" s="1"/>
  <c r="J246" i="15"/>
  <c r="B246" i="11" s="1"/>
  <c r="I286" i="15"/>
  <c r="T286" i="15" s="1"/>
  <c r="U286" i="15" s="1"/>
  <c r="K141" i="15"/>
  <c r="B30" i="16"/>
  <c r="J30" i="15"/>
  <c r="B30" i="11" s="1"/>
  <c r="J42" i="15"/>
  <c r="M42" i="15" s="1"/>
  <c r="I69" i="15"/>
  <c r="Q69" i="15" s="1"/>
  <c r="U69" i="15" s="1"/>
  <c r="K255" i="15"/>
  <c r="K58" i="15"/>
  <c r="J98" i="15"/>
  <c r="B98" i="11" s="1"/>
  <c r="J104" i="15"/>
  <c r="O104" i="15" s="1"/>
  <c r="Q104" i="15" s="1"/>
  <c r="J164" i="15"/>
  <c r="K164" i="15" s="1"/>
  <c r="J182" i="15"/>
  <c r="B182" i="11" s="1"/>
  <c r="J230" i="15"/>
  <c r="J247" i="15"/>
  <c r="K247" i="15" s="1"/>
  <c r="I281" i="15"/>
  <c r="K189" i="15"/>
  <c r="B189" i="11"/>
  <c r="K195" i="15"/>
  <c r="B195" i="11"/>
  <c r="K203" i="15"/>
  <c r="B203" i="11"/>
  <c r="K236" i="15"/>
  <c r="B236" i="11"/>
  <c r="K258" i="15"/>
  <c r="B258" i="11"/>
  <c r="O258" i="15"/>
  <c r="K61" i="15"/>
  <c r="B61" i="11"/>
  <c r="Q88" i="15"/>
  <c r="U88" i="15" s="1"/>
  <c r="B105" i="11"/>
  <c r="K105" i="15"/>
  <c r="O105" i="15"/>
  <c r="K119" i="15"/>
  <c r="B119" i="11"/>
  <c r="K78" i="15"/>
  <c r="B78" i="11"/>
  <c r="K135" i="15"/>
  <c r="B135" i="11"/>
  <c r="K191" i="15"/>
  <c r="B191" i="11"/>
  <c r="K251" i="15"/>
  <c r="B251" i="11"/>
  <c r="K12" i="15"/>
  <c r="B12" i="11"/>
  <c r="K68" i="15"/>
  <c r="B68" i="11"/>
  <c r="B150" i="11"/>
  <c r="K150" i="15"/>
  <c r="K156" i="15"/>
  <c r="B156" i="11"/>
  <c r="B162" i="11"/>
  <c r="K162" i="15"/>
  <c r="U252" i="15"/>
  <c r="S280" i="15"/>
  <c r="S289" i="15" s="1"/>
  <c r="S300" i="15" s="1"/>
  <c r="S303" i="15" s="1"/>
  <c r="B23" i="16" s="1"/>
  <c r="F23" i="16" s="1"/>
  <c r="K274" i="15"/>
  <c r="B274" i="11"/>
  <c r="B13" i="11"/>
  <c r="K13" i="15"/>
  <c r="K142" i="15"/>
  <c r="B142" i="11"/>
  <c r="K212" i="15"/>
  <c r="B212" i="11"/>
  <c r="K219" i="15"/>
  <c r="B219" i="11"/>
  <c r="B90" i="11"/>
  <c r="K90" i="15"/>
  <c r="O90" i="15"/>
  <c r="K152" i="15"/>
  <c r="B152" i="11"/>
  <c r="K158" i="15"/>
  <c r="B158" i="11"/>
  <c r="K85" i="15"/>
  <c r="B85" i="11"/>
  <c r="K272" i="15"/>
  <c r="B272" i="11"/>
  <c r="K30" i="15"/>
  <c r="K222" i="15"/>
  <c r="B222" i="11"/>
  <c r="K14" i="15"/>
  <c r="B14" i="11"/>
  <c r="K54" i="15"/>
  <c r="B54" i="11"/>
  <c r="I85" i="15"/>
  <c r="Q85" i="15" s="1"/>
  <c r="U85" i="15" s="1"/>
  <c r="J123" i="15"/>
  <c r="K129" i="15"/>
  <c r="B129" i="11"/>
  <c r="K133" i="15"/>
  <c r="B133" i="11"/>
  <c r="K145" i="15"/>
  <c r="B145" i="11"/>
  <c r="K148" i="15"/>
  <c r="B148" i="11"/>
  <c r="K179" i="15"/>
  <c r="B179" i="11"/>
  <c r="K182" i="15"/>
  <c r="K187" i="15"/>
  <c r="B187" i="11"/>
  <c r="I191" i="15"/>
  <c r="Q191" i="15" s="1"/>
  <c r="U191" i="15" s="1"/>
  <c r="I212" i="15"/>
  <c r="R212" i="15" s="1"/>
  <c r="U212" i="15" s="1"/>
  <c r="I219" i="15"/>
  <c r="R219" i="15" s="1"/>
  <c r="U219" i="15" s="1"/>
  <c r="J237" i="15"/>
  <c r="J241" i="15"/>
  <c r="K245" i="15"/>
  <c r="B245" i="11"/>
  <c r="I251" i="15"/>
  <c r="R251" i="15" s="1"/>
  <c r="U251" i="15" s="1"/>
  <c r="J267" i="15"/>
  <c r="K270" i="15"/>
  <c r="B270" i="11"/>
  <c r="J276" i="15"/>
  <c r="J6" i="15"/>
  <c r="I12" i="15"/>
  <c r="P12" i="15" s="1"/>
  <c r="U12" i="15" s="1"/>
  <c r="K15" i="15"/>
  <c r="B15" i="11"/>
  <c r="K27" i="15"/>
  <c r="B27" i="11"/>
  <c r="K32" i="15"/>
  <c r="B32" i="11"/>
  <c r="K60" i="15"/>
  <c r="B60" i="11"/>
  <c r="K63" i="15"/>
  <c r="K66" i="15"/>
  <c r="K69" i="15"/>
  <c r="O81" i="15"/>
  <c r="Q81" i="15" s="1"/>
  <c r="U81" i="15" s="1"/>
  <c r="J96" i="15"/>
  <c r="J102" i="15"/>
  <c r="I105" i="15"/>
  <c r="I119" i="15"/>
  <c r="Q119" i="15" s="1"/>
  <c r="U119" i="15" s="1"/>
  <c r="K124" i="15"/>
  <c r="B124" i="11"/>
  <c r="K134" i="15"/>
  <c r="B134" i="11"/>
  <c r="I142" i="15"/>
  <c r="Q142" i="15" s="1"/>
  <c r="U142" i="15" s="1"/>
  <c r="K154" i="15"/>
  <c r="I158" i="15"/>
  <c r="Q158" i="15" s="1"/>
  <c r="U158" i="15" s="1"/>
  <c r="I161" i="15"/>
  <c r="Q161" i="15" s="1"/>
  <c r="U161" i="15" s="1"/>
  <c r="K183" i="15"/>
  <c r="B183" i="11"/>
  <c r="J209" i="15"/>
  <c r="K231" i="15"/>
  <c r="B231" i="11"/>
  <c r="J235" i="15"/>
  <c r="J248" i="15"/>
  <c r="K273" i="15"/>
  <c r="K157" i="15"/>
  <c r="B157" i="11"/>
  <c r="K166" i="15"/>
  <c r="B166" i="11"/>
  <c r="K193" i="15"/>
  <c r="B193" i="11"/>
  <c r="K26" i="15"/>
  <c r="B26" i="11"/>
  <c r="K238" i="15"/>
  <c r="B238" i="11"/>
  <c r="K262" i="15"/>
  <c r="G49" i="15"/>
  <c r="I61" i="15"/>
  <c r="Q61" i="15" s="1"/>
  <c r="U61" i="15" s="1"/>
  <c r="K74" i="15"/>
  <c r="I93" i="15"/>
  <c r="J97" i="15"/>
  <c r="I135" i="15"/>
  <c r="Q135" i="15" s="1"/>
  <c r="U135" i="15" s="1"/>
  <c r="K140" i="15"/>
  <c r="B140" i="11"/>
  <c r="K146" i="15"/>
  <c r="B146" i="11"/>
  <c r="I152" i="15"/>
  <c r="Q152" i="15" s="1"/>
  <c r="U152" i="15" s="1"/>
  <c r="K168" i="15"/>
  <c r="B168" i="11"/>
  <c r="K177" i="15"/>
  <c r="B177" i="11"/>
  <c r="I192" i="15"/>
  <c r="Q192" i="15" s="1"/>
  <c r="U192" i="15" s="1"/>
  <c r="I195" i="15"/>
  <c r="Q195" i="15" s="1"/>
  <c r="U195" i="15" s="1"/>
  <c r="K223" i="15"/>
  <c r="K229" i="15"/>
  <c r="B229" i="11"/>
  <c r="I236" i="15"/>
  <c r="R236" i="15" s="1"/>
  <c r="U236" i="15" s="1"/>
  <c r="K246" i="15"/>
  <c r="K254" i="15"/>
  <c r="B254" i="11"/>
  <c r="K259" i="15"/>
  <c r="K263" i="15"/>
  <c r="B263" i="11"/>
  <c r="K268" i="15"/>
  <c r="B268" i="11"/>
  <c r="I272" i="15"/>
  <c r="O272" i="15" s="1"/>
  <c r="U272" i="15" s="1"/>
  <c r="K8" i="15"/>
  <c r="B8" i="11"/>
  <c r="I13" i="15"/>
  <c r="P13" i="15" s="1"/>
  <c r="U13" i="15" s="1"/>
  <c r="J16" i="15"/>
  <c r="K29" i="15"/>
  <c r="B29" i="11"/>
  <c r="J33" i="15"/>
  <c r="J37" i="15"/>
  <c r="J41" i="15"/>
  <c r="J45" i="15"/>
  <c r="I50" i="15"/>
  <c r="J64" i="15"/>
  <c r="I68" i="15"/>
  <c r="Q68" i="15" s="1"/>
  <c r="U68" i="15" s="1"/>
  <c r="I78" i="15"/>
  <c r="Q78" i="15" s="1"/>
  <c r="U78" i="15" s="1"/>
  <c r="I83" i="15"/>
  <c r="I90" i="15"/>
  <c r="I100" i="15"/>
  <c r="J103" i="15"/>
  <c r="J108" i="15"/>
  <c r="J111" i="15"/>
  <c r="B111" i="11" s="1"/>
  <c r="K116" i="15"/>
  <c r="J126" i="15"/>
  <c r="I162" i="15"/>
  <c r="Q162" i="15" s="1"/>
  <c r="U162" i="15" s="1"/>
  <c r="K165" i="15"/>
  <c r="J174" i="15"/>
  <c r="J181" i="15"/>
  <c r="K185" i="15"/>
  <c r="B185" i="11"/>
  <c r="I189" i="15"/>
  <c r="Q189" i="15" s="1"/>
  <c r="U189" i="15" s="1"/>
  <c r="K192" i="15"/>
  <c r="K210" i="15"/>
  <c r="B210" i="11"/>
  <c r="J213" i="15"/>
  <c r="K217" i="15"/>
  <c r="B217" i="11"/>
  <c r="K224" i="15"/>
  <c r="B224" i="11"/>
  <c r="K249" i="15"/>
  <c r="B249" i="11"/>
  <c r="J252" i="15"/>
  <c r="I258" i="15"/>
  <c r="I274" i="15"/>
  <c r="O274" i="15" s="1"/>
  <c r="K286" i="15"/>
  <c r="K22" i="15"/>
  <c r="B22" i="11"/>
  <c r="K72" i="15"/>
  <c r="B72" i="11"/>
  <c r="K88" i="15"/>
  <c r="B88" i="11"/>
  <c r="O107" i="15"/>
  <c r="Q107" i="15" s="1"/>
  <c r="U107" i="15" s="1"/>
  <c r="K204" i="15"/>
  <c r="B204" i="11"/>
  <c r="K23" i="15"/>
  <c r="B23" i="11"/>
  <c r="K73" i="15"/>
  <c r="B73" i="11"/>
  <c r="K81" i="15"/>
  <c r="K24" i="15"/>
  <c r="B24" i="11"/>
  <c r="K120" i="15"/>
  <c r="B120" i="11"/>
  <c r="K21" i="15"/>
  <c r="B21" i="11"/>
  <c r="I150" i="15"/>
  <c r="Q150" i="15" s="1"/>
  <c r="U150" i="15" s="1"/>
  <c r="I156" i="15"/>
  <c r="Q156" i="15" s="1"/>
  <c r="U156" i="15" s="1"/>
  <c r="I169" i="15"/>
  <c r="Q169" i="15" s="1"/>
  <c r="U169" i="15" s="1"/>
  <c r="I203" i="15"/>
  <c r="R203" i="15" s="1"/>
  <c r="U203" i="15" s="1"/>
  <c r="I210" i="15"/>
  <c r="R210" i="15" s="1"/>
  <c r="U210" i="15" s="1"/>
  <c r="I217" i="15"/>
  <c r="R217" i="15" s="1"/>
  <c r="U217" i="15" s="1"/>
  <c r="J232" i="15"/>
  <c r="J244" i="15"/>
  <c r="I249" i="15"/>
  <c r="R249" i="15" s="1"/>
  <c r="U249" i="15" s="1"/>
  <c r="B34" i="11"/>
  <c r="I66" i="15"/>
  <c r="Q66" i="15" s="1"/>
  <c r="U66" i="15" s="1"/>
  <c r="K18" i="15"/>
  <c r="B18" i="11"/>
  <c r="O89" i="15"/>
  <c r="B89" i="11"/>
  <c r="K19" i="15"/>
  <c r="B19" i="11"/>
  <c r="J28" i="15"/>
  <c r="K70" i="15"/>
  <c r="B70" i="11"/>
  <c r="B80" i="11"/>
  <c r="J131" i="15"/>
  <c r="K170" i="15"/>
  <c r="I38" i="15"/>
  <c r="P38" i="15" s="1"/>
  <c r="U38" i="15" s="1"/>
  <c r="K79" i="15"/>
  <c r="B79" i="11"/>
  <c r="O95" i="15"/>
  <c r="B95" i="11"/>
  <c r="K122" i="15"/>
  <c r="K127" i="15"/>
  <c r="B127" i="11"/>
  <c r="I141" i="15"/>
  <c r="Q141" i="15" s="1"/>
  <c r="U141" i="15" s="1"/>
  <c r="K169" i="15"/>
  <c r="K240" i="15"/>
  <c r="U10" i="15"/>
  <c r="U26" i="15"/>
  <c r="M36" i="15"/>
  <c r="K36" i="15"/>
  <c r="M40" i="15"/>
  <c r="K40" i="15"/>
  <c r="K44" i="15"/>
  <c r="M44" i="15"/>
  <c r="U55" i="15"/>
  <c r="O92" i="15"/>
  <c r="K92" i="15"/>
  <c r="J190" i="15"/>
  <c r="I190" i="15"/>
  <c r="Q190" i="15" s="1"/>
  <c r="U190" i="15" s="1"/>
  <c r="I21" i="15"/>
  <c r="M21" i="15" s="1"/>
  <c r="U21" i="15" s="1"/>
  <c r="I27" i="15"/>
  <c r="N27" i="15" s="1"/>
  <c r="U27" i="15" s="1"/>
  <c r="I36" i="15"/>
  <c r="I40" i="15"/>
  <c r="I44" i="15"/>
  <c r="I73" i="15"/>
  <c r="N73" i="15" s="1"/>
  <c r="O83" i="15"/>
  <c r="K83" i="15"/>
  <c r="I92" i="15"/>
  <c r="Q92" i="15" s="1"/>
  <c r="J94" i="15"/>
  <c r="B94" i="11" s="1"/>
  <c r="J109" i="15"/>
  <c r="B109" i="11" s="1"/>
  <c r="I109" i="15"/>
  <c r="I124" i="15"/>
  <c r="Q124" i="15" s="1"/>
  <c r="U124" i="15" s="1"/>
  <c r="J143" i="15"/>
  <c r="I143" i="15"/>
  <c r="Q143" i="15" s="1"/>
  <c r="U143" i="15" s="1"/>
  <c r="J285" i="15"/>
  <c r="I285" i="15"/>
  <c r="T285" i="15" s="1"/>
  <c r="U285" i="15" s="1"/>
  <c r="I8" i="15"/>
  <c r="M8" i="15" s="1"/>
  <c r="U8" i="15" s="1"/>
  <c r="J10" i="15"/>
  <c r="I15" i="15"/>
  <c r="P15" i="15" s="1"/>
  <c r="U15" i="15" s="1"/>
  <c r="I19" i="15"/>
  <c r="P19" i="15" s="1"/>
  <c r="U19" i="15" s="1"/>
  <c r="I32" i="15"/>
  <c r="P32" i="15" s="1"/>
  <c r="U32" i="15" s="1"/>
  <c r="J47" i="15"/>
  <c r="D289" i="15"/>
  <c r="J56" i="15"/>
  <c r="I70" i="15"/>
  <c r="Q70" i="15" s="1"/>
  <c r="U70" i="15" s="1"/>
  <c r="O96" i="15"/>
  <c r="O100" i="15"/>
  <c r="K100" i="15"/>
  <c r="K111" i="15"/>
  <c r="I122" i="15"/>
  <c r="Q122" i="15" s="1"/>
  <c r="U122" i="15" s="1"/>
  <c r="I127" i="15"/>
  <c r="Q127" i="15" s="1"/>
  <c r="U127" i="15" s="1"/>
  <c r="I134" i="15"/>
  <c r="Q134" i="15" s="1"/>
  <c r="U134" i="15" s="1"/>
  <c r="J159" i="15"/>
  <c r="I159" i="15"/>
  <c r="Q159" i="15" s="1"/>
  <c r="U159" i="15" s="1"/>
  <c r="J175" i="15"/>
  <c r="I175" i="15"/>
  <c r="Q175" i="15" s="1"/>
  <c r="U175" i="15" s="1"/>
  <c r="J218" i="15"/>
  <c r="I125" i="15"/>
  <c r="Q125" i="15" s="1"/>
  <c r="U125" i="15" s="1"/>
  <c r="J125" i="15"/>
  <c r="I7" i="15"/>
  <c r="M7" i="15" s="1"/>
  <c r="I14" i="15"/>
  <c r="P14" i="15" s="1"/>
  <c r="U14" i="15" s="1"/>
  <c r="I18" i="15"/>
  <c r="P18" i="15" s="1"/>
  <c r="U18" i="15" s="1"/>
  <c r="I60" i="15"/>
  <c r="Q60" i="15" s="1"/>
  <c r="U60" i="15" s="1"/>
  <c r="J67" i="15"/>
  <c r="O110" i="15"/>
  <c r="K110" i="15"/>
  <c r="J132" i="15"/>
  <c r="I132" i="15"/>
  <c r="Q132" i="15" s="1"/>
  <c r="U132" i="15" s="1"/>
  <c r="J147" i="15"/>
  <c r="I147" i="15"/>
  <c r="Q147" i="15" s="1"/>
  <c r="U147" i="15" s="1"/>
  <c r="I176" i="15"/>
  <c r="Q176" i="15" s="1"/>
  <c r="U176" i="15" s="1"/>
  <c r="J176" i="15"/>
  <c r="J7" i="15"/>
  <c r="I23" i="15"/>
  <c r="M23" i="15" s="1"/>
  <c r="U23" i="15" s="1"/>
  <c r="I29" i="15"/>
  <c r="N29" i="15" s="1"/>
  <c r="U29" i="15" s="1"/>
  <c r="J35" i="15"/>
  <c r="J39" i="15"/>
  <c r="J55" i="15"/>
  <c r="U64" i="15"/>
  <c r="J91" i="15"/>
  <c r="B91" i="11" s="1"/>
  <c r="I91" i="15"/>
  <c r="K95" i="15"/>
  <c r="I110" i="15"/>
  <c r="I120" i="15"/>
  <c r="Q120" i="15" s="1"/>
  <c r="U120" i="15" s="1"/>
  <c r="I129" i="15"/>
  <c r="Q129" i="15" s="1"/>
  <c r="U129" i="15" s="1"/>
  <c r="J153" i="15"/>
  <c r="I153" i="15"/>
  <c r="Q153" i="15" s="1"/>
  <c r="U153" i="15" s="1"/>
  <c r="I179" i="15"/>
  <c r="Q179" i="15" s="1"/>
  <c r="U179" i="15" s="1"/>
  <c r="J206" i="15"/>
  <c r="I206" i="15"/>
  <c r="R206" i="15" s="1"/>
  <c r="U206" i="15" s="1"/>
  <c r="I239" i="15"/>
  <c r="R239" i="15" s="1"/>
  <c r="U239" i="15" s="1"/>
  <c r="J239" i="15"/>
  <c r="I263" i="15"/>
  <c r="R263" i="15" s="1"/>
  <c r="U263" i="15" s="1"/>
  <c r="I270" i="15"/>
  <c r="O270" i="15" s="1"/>
  <c r="U270" i="15" s="1"/>
  <c r="J151" i="15"/>
  <c r="I151" i="15"/>
  <c r="Q151" i="15" s="1"/>
  <c r="U151" i="15" s="1"/>
  <c r="J84" i="15"/>
  <c r="K104" i="15"/>
  <c r="I157" i="15"/>
  <c r="Q157" i="15" s="1"/>
  <c r="U157" i="15" s="1"/>
  <c r="J194" i="15"/>
  <c r="I194" i="15"/>
  <c r="Q194" i="15" s="1"/>
  <c r="U194" i="15" s="1"/>
  <c r="O77" i="15"/>
  <c r="K77" i="15"/>
  <c r="Q79" i="15"/>
  <c r="U79" i="15" s="1"/>
  <c r="O93" i="15"/>
  <c r="K93" i="15"/>
  <c r="J118" i="15"/>
  <c r="I118" i="15"/>
  <c r="Q118" i="15" s="1"/>
  <c r="U118" i="15" s="1"/>
  <c r="J163" i="15"/>
  <c r="I163" i="15"/>
  <c r="Q163" i="15" s="1"/>
  <c r="U163" i="15" s="1"/>
  <c r="I245" i="15"/>
  <c r="R245" i="15" s="1"/>
  <c r="U245" i="15" s="1"/>
  <c r="G287" i="15"/>
  <c r="I225" i="15"/>
  <c r="R225" i="15" s="1"/>
  <c r="U225" i="15" s="1"/>
  <c r="J225" i="15"/>
  <c r="J43" i="15"/>
  <c r="J82" i="15"/>
  <c r="I82" i="15"/>
  <c r="Q82" i="15" s="1"/>
  <c r="U82" i="15" s="1"/>
  <c r="K89" i="15"/>
  <c r="I95" i="15"/>
  <c r="I185" i="15"/>
  <c r="Q185" i="15" s="1"/>
  <c r="U185" i="15" s="1"/>
  <c r="J48" i="15"/>
  <c r="G196" i="15"/>
  <c r="I58" i="15"/>
  <c r="Q58" i="15" s="1"/>
  <c r="I77" i="15"/>
  <c r="J99" i="15"/>
  <c r="B99" i="11" s="1"/>
  <c r="I99" i="15"/>
  <c r="J136" i="15"/>
  <c r="I136" i="15"/>
  <c r="Q136" i="15" s="1"/>
  <c r="U136" i="15" s="1"/>
  <c r="I145" i="15"/>
  <c r="Q145" i="15" s="1"/>
  <c r="U145" i="15" s="1"/>
  <c r="J180" i="15"/>
  <c r="I204" i="15"/>
  <c r="R204" i="15" s="1"/>
  <c r="U204" i="15" s="1"/>
  <c r="J139" i="15"/>
  <c r="I139" i="15"/>
  <c r="Q139" i="15" s="1"/>
  <c r="U139" i="15" s="1"/>
  <c r="J155" i="15"/>
  <c r="I155" i="15"/>
  <c r="Q155" i="15" s="1"/>
  <c r="U155" i="15" s="1"/>
  <c r="J202" i="15"/>
  <c r="I202" i="15"/>
  <c r="J260" i="15"/>
  <c r="I260" i="15"/>
  <c r="T284" i="15"/>
  <c r="J250" i="15"/>
  <c r="I165" i="15"/>
  <c r="Q165" i="15" s="1"/>
  <c r="U165" i="15" s="1"/>
  <c r="J167" i="15"/>
  <c r="I167" i="15"/>
  <c r="Q167" i="15" s="1"/>
  <c r="U167" i="15" s="1"/>
  <c r="J186" i="15"/>
  <c r="J211" i="15"/>
  <c r="I224" i="15"/>
  <c r="R224" i="15" s="1"/>
  <c r="U224" i="15" s="1"/>
  <c r="J228" i="15"/>
  <c r="I238" i="15"/>
  <c r="R238" i="15" s="1"/>
  <c r="U238" i="15" s="1"/>
  <c r="J271" i="15"/>
  <c r="N280" i="15"/>
  <c r="U276" i="15"/>
  <c r="G280" i="15"/>
  <c r="O101" i="15" l="1"/>
  <c r="Q101" i="15" s="1"/>
  <c r="K46" i="15"/>
  <c r="B205" i="11"/>
  <c r="Q90" i="15"/>
  <c r="M46" i="15"/>
  <c r="P46" i="15" s="1"/>
  <c r="U46" i="15" s="1"/>
  <c r="B284" i="11"/>
  <c r="D284" i="11" s="1"/>
  <c r="E284" i="11" s="1"/>
  <c r="B144" i="11"/>
  <c r="B42" i="11"/>
  <c r="O98" i="15"/>
  <c r="Q98" i="15" s="1"/>
  <c r="U98" i="15" s="1"/>
  <c r="K101" i="15"/>
  <c r="Q93" i="15"/>
  <c r="K76" i="15"/>
  <c r="B164" i="11"/>
  <c r="B160" i="11"/>
  <c r="K98" i="15"/>
  <c r="B107" i="11"/>
  <c r="K17" i="15"/>
  <c r="Q105" i="15"/>
  <c r="U105" i="15" s="1"/>
  <c r="P42" i="15"/>
  <c r="U42" i="15" s="1"/>
  <c r="U290" i="15"/>
  <c r="N307" i="15"/>
  <c r="B230" i="11"/>
  <c r="K230" i="15"/>
  <c r="Q110" i="15"/>
  <c r="U110" i="15" s="1"/>
  <c r="P36" i="15"/>
  <c r="K42" i="15"/>
  <c r="B171" i="11"/>
  <c r="T81" i="7" s="1"/>
  <c r="K171" i="15"/>
  <c r="O111" i="15"/>
  <c r="Q83" i="15"/>
  <c r="B247" i="11"/>
  <c r="K216" i="15"/>
  <c r="B178" i="11"/>
  <c r="K178" i="15"/>
  <c r="Q95" i="15"/>
  <c r="U95" i="15" s="1"/>
  <c r="B104" i="11"/>
  <c r="B269" i="11"/>
  <c r="K269" i="15"/>
  <c r="P44" i="15"/>
  <c r="K225" i="15"/>
  <c r="B225" i="11"/>
  <c r="K147" i="15"/>
  <c r="B147" i="11"/>
  <c r="K190" i="15"/>
  <c r="B190" i="11"/>
  <c r="K126" i="15"/>
  <c r="B126" i="11"/>
  <c r="K123" i="15"/>
  <c r="B123" i="11"/>
  <c r="K250" i="15"/>
  <c r="B250" i="11"/>
  <c r="K84" i="15"/>
  <c r="B84" i="11"/>
  <c r="K159" i="15"/>
  <c r="B159" i="11"/>
  <c r="K228" i="15"/>
  <c r="B228" i="11"/>
  <c r="K139" i="15"/>
  <c r="B139" i="11"/>
  <c r="K206" i="15"/>
  <c r="B206" i="11"/>
  <c r="K132" i="15"/>
  <c r="B132" i="11"/>
  <c r="K125" i="15"/>
  <c r="B125" i="11"/>
  <c r="K10" i="15"/>
  <c r="B10" i="11"/>
  <c r="B131" i="11"/>
  <c r="K131" i="15"/>
  <c r="K64" i="15"/>
  <c r="B64" i="11"/>
  <c r="K16" i="15"/>
  <c r="B16" i="11"/>
  <c r="K267" i="15"/>
  <c r="B267" i="11"/>
  <c r="U90" i="15"/>
  <c r="K271" i="15"/>
  <c r="B271" i="11"/>
  <c r="K136" i="15"/>
  <c r="B136" i="11"/>
  <c r="K35" i="15"/>
  <c r="B35" i="11"/>
  <c r="O97" i="15"/>
  <c r="Q97" i="15" s="1"/>
  <c r="U97" i="15" s="1"/>
  <c r="B97" i="11"/>
  <c r="K97" i="15"/>
  <c r="T304" i="15"/>
  <c r="U304" i="15" s="1"/>
  <c r="B108" i="11"/>
  <c r="O108" i="15"/>
  <c r="K108" i="15"/>
  <c r="U274" i="15"/>
  <c r="M296" i="15"/>
  <c r="K103" i="15"/>
  <c r="B103" i="11"/>
  <c r="O103" i="15"/>
  <c r="K235" i="15"/>
  <c r="B235" i="11"/>
  <c r="K186" i="15"/>
  <c r="B186" i="11"/>
  <c r="K180" i="15"/>
  <c r="B180" i="11"/>
  <c r="Q77" i="15"/>
  <c r="K163" i="15"/>
  <c r="B163" i="11"/>
  <c r="K153" i="15"/>
  <c r="B153" i="11"/>
  <c r="K176" i="15"/>
  <c r="B176" i="11"/>
  <c r="K67" i="15"/>
  <c r="B67" i="11"/>
  <c r="K218" i="15"/>
  <c r="B218" i="11"/>
  <c r="K285" i="15"/>
  <c r="B285" i="11"/>
  <c r="D285" i="11" s="1"/>
  <c r="E285" i="11" s="1"/>
  <c r="B244" i="11"/>
  <c r="K244" i="15"/>
  <c r="Q258" i="15"/>
  <c r="B213" i="11"/>
  <c r="K213" i="15"/>
  <c r="B174" i="11"/>
  <c r="K174" i="15"/>
  <c r="K41" i="15"/>
  <c r="B41" i="11"/>
  <c r="K155" i="15"/>
  <c r="B155" i="11"/>
  <c r="K151" i="15"/>
  <c r="B151" i="11"/>
  <c r="K56" i="15"/>
  <c r="B56" i="11"/>
  <c r="K211" i="15"/>
  <c r="B211" i="11"/>
  <c r="K7" i="15"/>
  <c r="B7" i="11"/>
  <c r="K202" i="15"/>
  <c r="B202" i="11"/>
  <c r="K194" i="15"/>
  <c r="B194" i="11"/>
  <c r="K55" i="15"/>
  <c r="B55" i="11"/>
  <c r="K47" i="15"/>
  <c r="B47" i="11"/>
  <c r="N49" i="15"/>
  <c r="K232" i="15"/>
  <c r="B232" i="11"/>
  <c r="B252" i="11"/>
  <c r="K252" i="15"/>
  <c r="K37" i="15"/>
  <c r="B37" i="11"/>
  <c r="K96" i="15"/>
  <c r="B96" i="11"/>
  <c r="K6" i="15"/>
  <c r="B6" i="11"/>
  <c r="B241" i="11"/>
  <c r="K241" i="15"/>
  <c r="U104" i="15"/>
  <c r="K48" i="15"/>
  <c r="B48" i="11"/>
  <c r="B248" i="11"/>
  <c r="K248" i="15"/>
  <c r="K260" i="15"/>
  <c r="B260" i="11"/>
  <c r="K181" i="15"/>
  <c r="B181" i="11"/>
  <c r="K45" i="15"/>
  <c r="B45" i="11"/>
  <c r="K102" i="15"/>
  <c r="B102" i="11"/>
  <c r="K82" i="15"/>
  <c r="B82" i="11"/>
  <c r="K167" i="15"/>
  <c r="B167" i="11"/>
  <c r="T83" i="7" s="1"/>
  <c r="K43" i="15"/>
  <c r="B43" i="11"/>
  <c r="K118" i="15"/>
  <c r="B118" i="11"/>
  <c r="K239" i="15"/>
  <c r="B239" i="11"/>
  <c r="K39" i="15"/>
  <c r="B39" i="11"/>
  <c r="K175" i="15"/>
  <c r="B175" i="11"/>
  <c r="K143" i="15"/>
  <c r="B143" i="11"/>
  <c r="K28" i="15"/>
  <c r="B28" i="11"/>
  <c r="K33" i="15"/>
  <c r="B33" i="11"/>
  <c r="M33" i="15"/>
  <c r="M293" i="15" s="1"/>
  <c r="M297" i="15" s="1"/>
  <c r="B209" i="11"/>
  <c r="K209" i="15"/>
  <c r="Q89" i="15"/>
  <c r="U89" i="15" s="1"/>
  <c r="K276" i="15"/>
  <c r="B276" i="11"/>
  <c r="B237" i="11"/>
  <c r="K237" i="15"/>
  <c r="G289" i="15"/>
  <c r="I280" i="15"/>
  <c r="R202" i="15"/>
  <c r="U92" i="15"/>
  <c r="U58" i="15"/>
  <c r="M294" i="15"/>
  <c r="U77" i="15"/>
  <c r="I49" i="15"/>
  <c r="O280" i="15"/>
  <c r="O94" i="15"/>
  <c r="K94" i="15"/>
  <c r="U73" i="15"/>
  <c r="N196" i="15"/>
  <c r="U284" i="15"/>
  <c r="U287" i="15" s="1"/>
  <c r="T287" i="15"/>
  <c r="T289" i="15" s="1"/>
  <c r="Q302" i="15" s="1"/>
  <c r="B16" i="16" s="1"/>
  <c r="Q111" i="15"/>
  <c r="U111" i="15" s="1"/>
  <c r="U44" i="15"/>
  <c r="U36" i="15"/>
  <c r="I287" i="15"/>
  <c r="I196" i="15"/>
  <c r="K91" i="15"/>
  <c r="O91" i="15"/>
  <c r="Q96" i="15"/>
  <c r="U96" i="15" s="1"/>
  <c r="U7" i="15"/>
  <c r="U83" i="15"/>
  <c r="K99" i="15"/>
  <c r="O99" i="15"/>
  <c r="U93" i="15"/>
  <c r="K109" i="15"/>
  <c r="O109" i="15"/>
  <c r="Q109" i="15" s="1"/>
  <c r="P40" i="15"/>
  <c r="U40" i="15" s="1"/>
  <c r="U101" i="15"/>
  <c r="Q100" i="15"/>
  <c r="U100" i="15" s="1"/>
  <c r="B31" i="16" l="1"/>
  <c r="B34" i="16" s="1"/>
  <c r="N310" i="15"/>
  <c r="Q103" i="15"/>
  <c r="U103" i="15"/>
  <c r="P33" i="15"/>
  <c r="P49" i="15" s="1"/>
  <c r="P289" i="15" s="1"/>
  <c r="N300" i="15" s="1"/>
  <c r="B7" i="16" s="1"/>
  <c r="B80" i="16" s="1"/>
  <c r="Q280" i="15"/>
  <c r="U258" i="15"/>
  <c r="O196" i="15"/>
  <c r="O289" i="15" s="1"/>
  <c r="Q301" i="15" s="1"/>
  <c r="N289" i="15"/>
  <c r="N302" i="15" s="1"/>
  <c r="M49" i="15"/>
  <c r="M289" i="15" s="1"/>
  <c r="N301" i="15" s="1"/>
  <c r="B8" i="16" s="1"/>
  <c r="I289" i="15"/>
  <c r="Q108" i="15"/>
  <c r="U108" i="15" s="1"/>
  <c r="U109" i="15"/>
  <c r="Q91" i="15"/>
  <c r="R280" i="15"/>
  <c r="R289" i="15" s="1"/>
  <c r="R300" i="15" s="1"/>
  <c r="R303" i="15" s="1"/>
  <c r="B20" i="16" s="1"/>
  <c r="F20" i="16" s="1"/>
  <c r="U202" i="15"/>
  <c r="Q94" i="15"/>
  <c r="U94" i="15" s="1"/>
  <c r="Q99" i="15"/>
  <c r="U99" i="15" s="1"/>
  <c r="Q196" i="15" l="1"/>
  <c r="Q289" i="15" s="1"/>
  <c r="Q300" i="15" s="1"/>
  <c r="Q303" i="15" s="1"/>
  <c r="B81" i="16"/>
  <c r="B82" i="16" s="1"/>
  <c r="U301" i="15"/>
  <c r="B15" i="16"/>
  <c r="U33" i="15"/>
  <c r="U49" i="15" s="1"/>
  <c r="U302" i="15"/>
  <c r="B9" i="16"/>
  <c r="B10" i="16" s="1"/>
  <c r="B14" i="16"/>
  <c r="N303" i="15"/>
  <c r="U280" i="15"/>
  <c r="U91" i="15"/>
  <c r="U196" i="15" s="1"/>
  <c r="U300" i="15"/>
  <c r="B17" i="16" l="1"/>
  <c r="F17" i="16" s="1"/>
  <c r="U303" i="15"/>
  <c r="U306" i="15" s="1"/>
  <c r="F10" i="16"/>
  <c r="U289" i="15"/>
  <c r="U292" i="15" s="1"/>
  <c r="U293" i="15" s="1"/>
  <c r="U308" i="15" l="1"/>
  <c r="B25" i="16"/>
  <c r="B312" i="14"/>
  <c r="B313" i="14" s="1"/>
  <c r="C301" i="14"/>
  <c r="C302" i="14" s="1"/>
  <c r="C303" i="14" s="1"/>
  <c r="C304" i="14" s="1"/>
  <c r="C305" i="14" s="1"/>
  <c r="C306" i="14" s="1"/>
  <c r="C307" i="14" s="1"/>
  <c r="C308" i="14" s="1"/>
  <c r="C309" i="14" s="1"/>
  <c r="C310" i="14" s="1"/>
  <c r="C311" i="14" s="1"/>
  <c r="C312" i="14" s="1"/>
  <c r="C313" i="14" s="1"/>
  <c r="C314" i="14" s="1"/>
  <c r="C315" i="14" s="1"/>
  <c r="C316" i="14" s="1"/>
  <c r="C317" i="14" s="1"/>
  <c r="C318" i="14" s="1"/>
  <c r="C319" i="14" s="1"/>
  <c r="C320" i="14" s="1"/>
  <c r="C321" i="14" s="1"/>
  <c r="C322" i="14" s="1"/>
  <c r="C323" i="14" s="1"/>
  <c r="C324" i="14" s="1"/>
  <c r="C325" i="14" s="1"/>
  <c r="I294" i="14"/>
  <c r="I293" i="14"/>
  <c r="I285" i="14"/>
  <c r="I284" i="14"/>
  <c r="V281" i="14"/>
  <c r="T280" i="14"/>
  <c r="P280" i="14"/>
  <c r="M280" i="14"/>
  <c r="U279" i="14"/>
  <c r="G279" i="14"/>
  <c r="V278" i="14"/>
  <c r="U278" i="14"/>
  <c r="U277" i="14"/>
  <c r="V277" i="14" s="1"/>
  <c r="J276" i="14"/>
  <c r="I276" i="14"/>
  <c r="U275" i="14"/>
  <c r="V275" i="14" s="1"/>
  <c r="J274" i="14"/>
  <c r="I274" i="14"/>
  <c r="U273" i="14"/>
  <c r="J273" i="14"/>
  <c r="C273" i="11" s="1"/>
  <c r="I273" i="14"/>
  <c r="N304" i="14" s="1"/>
  <c r="B71" i="16" s="1"/>
  <c r="J272" i="14"/>
  <c r="C272" i="11" s="1"/>
  <c r="I272" i="14"/>
  <c r="O272" i="14" s="1"/>
  <c r="U272" i="14" s="1"/>
  <c r="J271" i="14"/>
  <c r="C271" i="11" s="1"/>
  <c r="I271" i="14"/>
  <c r="K270" i="14"/>
  <c r="J270" i="14"/>
  <c r="C270" i="11" s="1"/>
  <c r="I270" i="14"/>
  <c r="O270" i="14" s="1"/>
  <c r="U270" i="14" s="1"/>
  <c r="K269" i="14"/>
  <c r="J269" i="14"/>
  <c r="C269" i="11" s="1"/>
  <c r="I269" i="14"/>
  <c r="O269" i="14" s="1"/>
  <c r="U269" i="14" s="1"/>
  <c r="V269" i="14" s="1"/>
  <c r="J268" i="14"/>
  <c r="I268" i="14"/>
  <c r="O268" i="14" s="1"/>
  <c r="U268" i="14" s="1"/>
  <c r="J267" i="14"/>
  <c r="I267" i="14"/>
  <c r="U266" i="14"/>
  <c r="V266" i="14" s="1"/>
  <c r="U265" i="14"/>
  <c r="V265" i="14" s="1"/>
  <c r="U264" i="14"/>
  <c r="V264" i="14" s="1"/>
  <c r="K263" i="14"/>
  <c r="J263" i="14"/>
  <c r="C263" i="11" s="1"/>
  <c r="I263" i="14"/>
  <c r="R263" i="14" s="1"/>
  <c r="U263" i="14" s="1"/>
  <c r="V263" i="14" s="1"/>
  <c r="J262" i="14"/>
  <c r="I262" i="14"/>
  <c r="R262" i="14" s="1"/>
  <c r="U262" i="14" s="1"/>
  <c r="U261" i="14"/>
  <c r="V261" i="14" s="1"/>
  <c r="U260" i="14"/>
  <c r="J260" i="14"/>
  <c r="I260" i="14"/>
  <c r="J259" i="14"/>
  <c r="I259" i="14"/>
  <c r="J258" i="14"/>
  <c r="C258" i="11" s="1"/>
  <c r="W31" i="7" s="1"/>
  <c r="I258" i="14"/>
  <c r="U257" i="14"/>
  <c r="V257" i="14" s="1"/>
  <c r="U256" i="14"/>
  <c r="K256" i="14"/>
  <c r="I256" i="14"/>
  <c r="V256" i="14" s="1"/>
  <c r="J255" i="14"/>
  <c r="I255" i="14"/>
  <c r="R255" i="14" s="1"/>
  <c r="U255" i="14" s="1"/>
  <c r="J254" i="14"/>
  <c r="I254" i="14"/>
  <c r="K253" i="14"/>
  <c r="I253" i="14"/>
  <c r="J252" i="14"/>
  <c r="C252" i="11" s="1"/>
  <c r="I252" i="14"/>
  <c r="S252" i="14" s="1"/>
  <c r="J251" i="14"/>
  <c r="C251" i="11" s="1"/>
  <c r="I251" i="14"/>
  <c r="R251" i="14" s="1"/>
  <c r="U251" i="14" s="1"/>
  <c r="J250" i="14"/>
  <c r="I250" i="14"/>
  <c r="J249" i="14"/>
  <c r="C249" i="11" s="1"/>
  <c r="I249" i="14"/>
  <c r="R249" i="14" s="1"/>
  <c r="U249" i="14" s="1"/>
  <c r="V249" i="14" s="1"/>
  <c r="J248" i="14"/>
  <c r="C248" i="11" s="1"/>
  <c r="I248" i="14"/>
  <c r="R248" i="14" s="1"/>
  <c r="U248" i="14" s="1"/>
  <c r="V248" i="14" s="1"/>
  <c r="J247" i="14"/>
  <c r="I247" i="14"/>
  <c r="J246" i="14"/>
  <c r="I246" i="14"/>
  <c r="K245" i="14"/>
  <c r="J245" i="14"/>
  <c r="C245" i="11" s="1"/>
  <c r="I245" i="14"/>
  <c r="J244" i="14"/>
  <c r="C244" i="11" s="1"/>
  <c r="I244" i="14"/>
  <c r="R244" i="14" s="1"/>
  <c r="U244" i="14" s="1"/>
  <c r="V244" i="14" s="1"/>
  <c r="U243" i="14"/>
  <c r="V243" i="14" s="1"/>
  <c r="U242" i="14"/>
  <c r="V242" i="14" s="1"/>
  <c r="J241" i="14"/>
  <c r="C241" i="11" s="1"/>
  <c r="I241" i="14"/>
  <c r="R241" i="14" s="1"/>
  <c r="U241" i="14" s="1"/>
  <c r="V241" i="14" s="1"/>
  <c r="J240" i="14"/>
  <c r="I240" i="14"/>
  <c r="R240" i="14" s="1"/>
  <c r="U240" i="14" s="1"/>
  <c r="V240" i="14" s="1"/>
  <c r="J239" i="14"/>
  <c r="C239" i="11" s="1"/>
  <c r="I239" i="14"/>
  <c r="R239" i="14" s="1"/>
  <c r="U239" i="14" s="1"/>
  <c r="J238" i="14"/>
  <c r="I238" i="14"/>
  <c r="U237" i="14"/>
  <c r="V237" i="14" s="1"/>
  <c r="J237" i="14"/>
  <c r="C237" i="11" s="1"/>
  <c r="I237" i="14"/>
  <c r="R237" i="14" s="1"/>
  <c r="K236" i="14"/>
  <c r="J236" i="14"/>
  <c r="C236" i="11" s="1"/>
  <c r="I236" i="14"/>
  <c r="R236" i="14" s="1"/>
  <c r="U236" i="14" s="1"/>
  <c r="V236" i="14" s="1"/>
  <c r="J235" i="14"/>
  <c r="C235" i="11" s="1"/>
  <c r="I235" i="14"/>
  <c r="R235" i="14" s="1"/>
  <c r="U235" i="14" s="1"/>
  <c r="U234" i="14"/>
  <c r="V234" i="14" s="1"/>
  <c r="V233" i="14"/>
  <c r="U233" i="14"/>
  <c r="J232" i="14"/>
  <c r="C232" i="11" s="1"/>
  <c r="I232" i="14"/>
  <c r="R232" i="14" s="1"/>
  <c r="U232" i="14" s="1"/>
  <c r="V232" i="14" s="1"/>
  <c r="J231" i="14"/>
  <c r="I231" i="14"/>
  <c r="J230" i="14"/>
  <c r="I230" i="14"/>
  <c r="J229" i="14"/>
  <c r="C229" i="11" s="1"/>
  <c r="I229" i="14"/>
  <c r="R229" i="14" s="1"/>
  <c r="U229" i="14" s="1"/>
  <c r="V229" i="14" s="1"/>
  <c r="J228" i="14"/>
  <c r="C228" i="11" s="1"/>
  <c r="I228" i="14"/>
  <c r="R228" i="14" s="1"/>
  <c r="U228" i="14" s="1"/>
  <c r="V228" i="14" s="1"/>
  <c r="U227" i="14"/>
  <c r="V227" i="14" s="1"/>
  <c r="U226" i="14"/>
  <c r="V226" i="14" s="1"/>
  <c r="J225" i="14"/>
  <c r="C225" i="11" s="1"/>
  <c r="I225" i="14"/>
  <c r="R225" i="14" s="1"/>
  <c r="U225" i="14" s="1"/>
  <c r="V225" i="14" s="1"/>
  <c r="J224" i="14"/>
  <c r="C224" i="11" s="1"/>
  <c r="I224" i="14"/>
  <c r="R224" i="14" s="1"/>
  <c r="U224" i="14" s="1"/>
  <c r="V224" i="14" s="1"/>
  <c r="J223" i="14"/>
  <c r="C223" i="11" s="1"/>
  <c r="I223" i="14"/>
  <c r="R223" i="14" s="1"/>
  <c r="U223" i="14" s="1"/>
  <c r="J222" i="14"/>
  <c r="I222" i="14"/>
  <c r="U221" i="14"/>
  <c r="V221" i="14" s="1"/>
  <c r="U220" i="14"/>
  <c r="V220" i="14" s="1"/>
  <c r="J219" i="14"/>
  <c r="I219" i="14"/>
  <c r="R219" i="14" s="1"/>
  <c r="U219" i="14" s="1"/>
  <c r="J218" i="14"/>
  <c r="I218" i="14"/>
  <c r="J217" i="14"/>
  <c r="C217" i="11" s="1"/>
  <c r="I217" i="14"/>
  <c r="R217" i="14" s="1"/>
  <c r="U217" i="14" s="1"/>
  <c r="V217" i="14" s="1"/>
  <c r="J216" i="14"/>
  <c r="C216" i="11" s="1"/>
  <c r="I216" i="14"/>
  <c r="R216" i="14" s="1"/>
  <c r="U216" i="14" s="1"/>
  <c r="V216" i="14" s="1"/>
  <c r="U215" i="14"/>
  <c r="V215" i="14" s="1"/>
  <c r="U214" i="14"/>
  <c r="V214" i="14" s="1"/>
  <c r="J213" i="14"/>
  <c r="C213" i="11" s="1"/>
  <c r="I213" i="14"/>
  <c r="R213" i="14" s="1"/>
  <c r="U213" i="14" s="1"/>
  <c r="V213" i="14" s="1"/>
  <c r="J212" i="14"/>
  <c r="I212" i="14"/>
  <c r="R212" i="14" s="1"/>
  <c r="U212" i="14" s="1"/>
  <c r="V212" i="14" s="1"/>
  <c r="J211" i="14"/>
  <c r="I211" i="14"/>
  <c r="J210" i="14"/>
  <c r="I210" i="14"/>
  <c r="K209" i="14"/>
  <c r="J209" i="14"/>
  <c r="C209" i="11" s="1"/>
  <c r="I209" i="14"/>
  <c r="R209" i="14" s="1"/>
  <c r="U209" i="14" s="1"/>
  <c r="V209" i="14" s="1"/>
  <c r="U208" i="14"/>
  <c r="V208" i="14" s="1"/>
  <c r="V207" i="14"/>
  <c r="U207" i="14"/>
  <c r="K207" i="14"/>
  <c r="J206" i="14"/>
  <c r="I206" i="14"/>
  <c r="J205" i="14"/>
  <c r="C205" i="11" s="1"/>
  <c r="I205" i="14"/>
  <c r="R205" i="14" s="1"/>
  <c r="U205" i="14" s="1"/>
  <c r="V205" i="14" s="1"/>
  <c r="K204" i="14"/>
  <c r="J204" i="14"/>
  <c r="C204" i="11" s="1"/>
  <c r="I204" i="14"/>
  <c r="R204" i="14" s="1"/>
  <c r="U204" i="14" s="1"/>
  <c r="V204" i="14" s="1"/>
  <c r="J203" i="14"/>
  <c r="I203" i="14"/>
  <c r="R203" i="14" s="1"/>
  <c r="U203" i="14" s="1"/>
  <c r="J202" i="14"/>
  <c r="C202" i="11" s="1"/>
  <c r="I202" i="14"/>
  <c r="I280" i="14" s="1"/>
  <c r="V201" i="14"/>
  <c r="V200" i="14"/>
  <c r="V199" i="14"/>
  <c r="V198" i="14"/>
  <c r="G197" i="14"/>
  <c r="D197" i="14"/>
  <c r="P196" i="14"/>
  <c r="M196" i="14"/>
  <c r="G196" i="14"/>
  <c r="D196" i="14"/>
  <c r="J195" i="14"/>
  <c r="K195" i="14" s="1"/>
  <c r="I195" i="14"/>
  <c r="J194" i="14"/>
  <c r="K194" i="14" s="1"/>
  <c r="I194" i="14"/>
  <c r="Q194" i="14" s="1"/>
  <c r="U194" i="14" s="1"/>
  <c r="V194" i="14" s="1"/>
  <c r="J193" i="14"/>
  <c r="C193" i="11" s="1"/>
  <c r="I193" i="14"/>
  <c r="Q193" i="14" s="1"/>
  <c r="U193" i="14" s="1"/>
  <c r="V193" i="14" s="1"/>
  <c r="J192" i="14"/>
  <c r="C192" i="11" s="1"/>
  <c r="I192" i="14"/>
  <c r="Q192" i="14" s="1"/>
  <c r="U192" i="14" s="1"/>
  <c r="J191" i="14"/>
  <c r="I191" i="14"/>
  <c r="K190" i="14"/>
  <c r="J190" i="14"/>
  <c r="C190" i="11" s="1"/>
  <c r="I190" i="14"/>
  <c r="Q190" i="14" s="1"/>
  <c r="U190" i="14" s="1"/>
  <c r="V190" i="14" s="1"/>
  <c r="J189" i="14"/>
  <c r="C189" i="11" s="1"/>
  <c r="W98" i="7" s="1"/>
  <c r="I189" i="14"/>
  <c r="Q189" i="14" s="1"/>
  <c r="U189" i="14" s="1"/>
  <c r="V189" i="14" s="1"/>
  <c r="U188" i="14"/>
  <c r="V188" i="14" s="1"/>
  <c r="Q187" i="14"/>
  <c r="U187" i="14" s="1"/>
  <c r="V187" i="14" s="1"/>
  <c r="K187" i="14"/>
  <c r="J187" i="14"/>
  <c r="C187" i="11" s="1"/>
  <c r="W97" i="7" s="1"/>
  <c r="I187" i="14"/>
  <c r="J186" i="14"/>
  <c r="I186" i="14"/>
  <c r="J185" i="14"/>
  <c r="I185" i="14"/>
  <c r="V184" i="14"/>
  <c r="U184" i="14"/>
  <c r="Q184" i="14"/>
  <c r="J183" i="14"/>
  <c r="C183" i="11" s="1"/>
  <c r="W94" i="7" s="1"/>
  <c r="I183" i="14"/>
  <c r="Q183" i="14" s="1"/>
  <c r="U183" i="14" s="1"/>
  <c r="V182" i="14"/>
  <c r="J182" i="14"/>
  <c r="I182" i="14"/>
  <c r="Q182" i="14" s="1"/>
  <c r="U182" i="14" s="1"/>
  <c r="J181" i="14"/>
  <c r="I181" i="14"/>
  <c r="Q181" i="14" s="1"/>
  <c r="U181" i="14" s="1"/>
  <c r="V181" i="14" s="1"/>
  <c r="J180" i="14"/>
  <c r="I180" i="14"/>
  <c r="Q180" i="14" s="1"/>
  <c r="U180" i="14" s="1"/>
  <c r="V180" i="14" s="1"/>
  <c r="J179" i="14"/>
  <c r="I179" i="14"/>
  <c r="Q179" i="14" s="1"/>
  <c r="U179" i="14" s="1"/>
  <c r="J178" i="14"/>
  <c r="I178" i="14"/>
  <c r="J177" i="14"/>
  <c r="I177" i="14"/>
  <c r="Q177" i="14" s="1"/>
  <c r="U177" i="14" s="1"/>
  <c r="V177" i="14" s="1"/>
  <c r="J176" i="14"/>
  <c r="C176" i="11" s="1"/>
  <c r="W87" i="7" s="1"/>
  <c r="I176" i="14"/>
  <c r="Q176" i="14" s="1"/>
  <c r="U176" i="14" s="1"/>
  <c r="V176" i="14" s="1"/>
  <c r="J175" i="14"/>
  <c r="C175" i="11" s="1"/>
  <c r="W86" i="7" s="1"/>
  <c r="I175" i="14"/>
  <c r="Q175" i="14" s="1"/>
  <c r="U175" i="14" s="1"/>
  <c r="V174" i="14"/>
  <c r="J174" i="14"/>
  <c r="I174" i="14"/>
  <c r="Q174" i="14" s="1"/>
  <c r="U174" i="14" s="1"/>
  <c r="U173" i="14"/>
  <c r="V173" i="14" s="1"/>
  <c r="V172" i="14"/>
  <c r="U172" i="14"/>
  <c r="I171" i="14"/>
  <c r="Q170" i="14"/>
  <c r="U170" i="14" s="1"/>
  <c r="J170" i="14"/>
  <c r="I170" i="14"/>
  <c r="V170" i="14" s="1"/>
  <c r="J169" i="14"/>
  <c r="C169" i="11" s="1"/>
  <c r="W79" i="7" s="1"/>
  <c r="I169" i="14"/>
  <c r="Q169" i="14" s="1"/>
  <c r="U169" i="14" s="1"/>
  <c r="V169" i="14" s="1"/>
  <c r="J168" i="14"/>
  <c r="C168" i="11" s="1"/>
  <c r="W84" i="7" s="1"/>
  <c r="I168" i="14"/>
  <c r="Q168" i="14" s="1"/>
  <c r="U168" i="14" s="1"/>
  <c r="J167" i="14"/>
  <c r="I167" i="14"/>
  <c r="Q167" i="14" s="1"/>
  <c r="U167" i="14" s="1"/>
  <c r="Q166" i="14"/>
  <c r="U166" i="14" s="1"/>
  <c r="V166" i="14" s="1"/>
  <c r="J166" i="14"/>
  <c r="I166" i="14"/>
  <c r="Q165" i="14"/>
  <c r="U165" i="14" s="1"/>
  <c r="V165" i="14" s="1"/>
  <c r="J165" i="14"/>
  <c r="I165" i="14"/>
  <c r="J164" i="14"/>
  <c r="I164" i="14"/>
  <c r="J163" i="14"/>
  <c r="I163" i="14"/>
  <c r="J162" i="14"/>
  <c r="I162" i="14"/>
  <c r="Q162" i="14" s="1"/>
  <c r="U162" i="14" s="1"/>
  <c r="V162" i="14" s="1"/>
  <c r="K161" i="14"/>
  <c r="J161" i="14"/>
  <c r="C161" i="11" s="1"/>
  <c r="W80" i="7" s="1"/>
  <c r="I161" i="14"/>
  <c r="Q161" i="14" s="1"/>
  <c r="U161" i="14" s="1"/>
  <c r="V161" i="14" s="1"/>
  <c r="J160" i="14"/>
  <c r="C160" i="11" s="1"/>
  <c r="I160" i="14"/>
  <c r="Q160" i="14" s="1"/>
  <c r="U160" i="14" s="1"/>
  <c r="J159" i="14"/>
  <c r="I159" i="14"/>
  <c r="J158" i="14"/>
  <c r="I158" i="14"/>
  <c r="Q158" i="14" s="1"/>
  <c r="U158" i="14" s="1"/>
  <c r="V158" i="14" s="1"/>
  <c r="J157" i="14"/>
  <c r="I157" i="14"/>
  <c r="Q157" i="14" s="1"/>
  <c r="U157" i="14" s="1"/>
  <c r="V157" i="14" s="1"/>
  <c r="J156" i="14"/>
  <c r="I156" i="14"/>
  <c r="Q156" i="14" s="1"/>
  <c r="U156" i="14" s="1"/>
  <c r="J155" i="14"/>
  <c r="I155" i="14"/>
  <c r="J154" i="14"/>
  <c r="I154" i="14"/>
  <c r="Q154" i="14" s="1"/>
  <c r="U154" i="14" s="1"/>
  <c r="V154" i="14" s="1"/>
  <c r="K153" i="14"/>
  <c r="J153" i="14"/>
  <c r="C153" i="11" s="1"/>
  <c r="W73" i="7" s="1"/>
  <c r="I153" i="14"/>
  <c r="Q153" i="14" s="1"/>
  <c r="U153" i="14" s="1"/>
  <c r="V153" i="14" s="1"/>
  <c r="J152" i="14"/>
  <c r="C152" i="11" s="1"/>
  <c r="W72" i="7" s="1"/>
  <c r="I152" i="14"/>
  <c r="Q152" i="14" s="1"/>
  <c r="U152" i="14" s="1"/>
  <c r="V151" i="14"/>
  <c r="J151" i="14"/>
  <c r="I151" i="14"/>
  <c r="Q151" i="14" s="1"/>
  <c r="U151" i="14" s="1"/>
  <c r="Q150" i="14"/>
  <c r="U150" i="14" s="1"/>
  <c r="V150" i="14" s="1"/>
  <c r="J150" i="14"/>
  <c r="I150" i="14"/>
  <c r="Q149" i="14"/>
  <c r="U149" i="14" s="1"/>
  <c r="V149" i="14" s="1"/>
  <c r="J149" i="14"/>
  <c r="I149" i="14"/>
  <c r="J148" i="14"/>
  <c r="I148" i="14"/>
  <c r="J147" i="14"/>
  <c r="I147" i="14"/>
  <c r="J146" i="14"/>
  <c r="I146" i="14"/>
  <c r="Q146" i="14" s="1"/>
  <c r="U146" i="14" s="1"/>
  <c r="V146" i="14" s="1"/>
  <c r="J145" i="14"/>
  <c r="C145" i="11" s="1"/>
  <c r="W65" i="7" s="1"/>
  <c r="I145" i="14"/>
  <c r="Q145" i="14" s="1"/>
  <c r="U145" i="14" s="1"/>
  <c r="V145" i="14" s="1"/>
  <c r="J144" i="14"/>
  <c r="I144" i="14"/>
  <c r="J143" i="14"/>
  <c r="I143" i="14"/>
  <c r="Q143" i="14" s="1"/>
  <c r="U143" i="14" s="1"/>
  <c r="J142" i="14"/>
  <c r="I142" i="14"/>
  <c r="Q142" i="14" s="1"/>
  <c r="U142" i="14" s="1"/>
  <c r="V142" i="14" s="1"/>
  <c r="J141" i="14"/>
  <c r="I141" i="14"/>
  <c r="J140" i="14"/>
  <c r="C140" i="11" s="1"/>
  <c r="W61" i="7" s="1"/>
  <c r="I140" i="14"/>
  <c r="Q140" i="14" s="1"/>
  <c r="U140" i="14" s="1"/>
  <c r="J139" i="14"/>
  <c r="I139" i="14"/>
  <c r="U138" i="14"/>
  <c r="V138" i="14" s="1"/>
  <c r="V137" i="14"/>
  <c r="U137" i="14"/>
  <c r="J136" i="14"/>
  <c r="I136" i="14"/>
  <c r="J135" i="14"/>
  <c r="I135" i="14"/>
  <c r="Q135" i="14" s="1"/>
  <c r="U135" i="14" s="1"/>
  <c r="J134" i="14"/>
  <c r="I134" i="14"/>
  <c r="J133" i="14"/>
  <c r="C133" i="11" s="1"/>
  <c r="W58" i="7" s="1"/>
  <c r="I133" i="14"/>
  <c r="Q133" i="14" s="1"/>
  <c r="U133" i="14" s="1"/>
  <c r="V133" i="14" s="1"/>
  <c r="J132" i="14"/>
  <c r="I132" i="14"/>
  <c r="Q132" i="14" s="1"/>
  <c r="U132" i="14" s="1"/>
  <c r="V131" i="14"/>
  <c r="J131" i="14"/>
  <c r="I131" i="14"/>
  <c r="Q131" i="14" s="1"/>
  <c r="U131" i="14" s="1"/>
  <c r="U130" i="14"/>
  <c r="V130" i="14" s="1"/>
  <c r="V129" i="14"/>
  <c r="J129" i="14"/>
  <c r="I129" i="14"/>
  <c r="Q129" i="14" s="1"/>
  <c r="U129" i="14" s="1"/>
  <c r="U128" i="14"/>
  <c r="V128" i="14" s="1"/>
  <c r="V127" i="14"/>
  <c r="J127" i="14"/>
  <c r="I127" i="14"/>
  <c r="Q127" i="14" s="1"/>
  <c r="U127" i="14" s="1"/>
  <c r="Q126" i="14"/>
  <c r="U126" i="14" s="1"/>
  <c r="J126" i="14"/>
  <c r="I126" i="14"/>
  <c r="J125" i="14"/>
  <c r="I125" i="14"/>
  <c r="Q125" i="14" s="1"/>
  <c r="U125" i="14" s="1"/>
  <c r="V125" i="14" s="1"/>
  <c r="J124" i="14"/>
  <c r="C124" i="11" s="1"/>
  <c r="I124" i="14"/>
  <c r="Q124" i="14" s="1"/>
  <c r="U124" i="14" s="1"/>
  <c r="J123" i="14"/>
  <c r="I123" i="14"/>
  <c r="J122" i="14"/>
  <c r="I122" i="14"/>
  <c r="Q122" i="14" s="1"/>
  <c r="U122" i="14" s="1"/>
  <c r="V122" i="14" s="1"/>
  <c r="Q121" i="14"/>
  <c r="U121" i="14" s="1"/>
  <c r="V121" i="14" s="1"/>
  <c r="J120" i="14"/>
  <c r="I120" i="14"/>
  <c r="Q120" i="14" s="1"/>
  <c r="U120" i="14" s="1"/>
  <c r="V120" i="14" s="1"/>
  <c r="K119" i="14"/>
  <c r="J119" i="14"/>
  <c r="C119" i="11" s="1"/>
  <c r="I119" i="14"/>
  <c r="J118" i="14"/>
  <c r="I118" i="14"/>
  <c r="U117" i="14"/>
  <c r="V117" i="14" s="1"/>
  <c r="J116" i="14"/>
  <c r="C116" i="11" s="1"/>
  <c r="W54" i="7" s="1"/>
  <c r="I116" i="14"/>
  <c r="Q116" i="14" s="1"/>
  <c r="U116" i="14" s="1"/>
  <c r="U115" i="14"/>
  <c r="V115" i="14" s="1"/>
  <c r="U114" i="14"/>
  <c r="V114" i="14" s="1"/>
  <c r="U113" i="14"/>
  <c r="V113" i="14" s="1"/>
  <c r="U112" i="14"/>
  <c r="V112" i="14" s="1"/>
  <c r="J111" i="14"/>
  <c r="I111" i="14"/>
  <c r="J110" i="14"/>
  <c r="K110" i="14" s="1"/>
  <c r="I110" i="14"/>
  <c r="J109" i="14"/>
  <c r="C109" i="11" s="1"/>
  <c r="W50" i="7" s="1"/>
  <c r="I109" i="14"/>
  <c r="J108" i="14"/>
  <c r="C108" i="11" s="1"/>
  <c r="W49" i="7" s="1"/>
  <c r="I108" i="14"/>
  <c r="J107" i="14"/>
  <c r="I107" i="14"/>
  <c r="Q106" i="14"/>
  <c r="U106" i="14" s="1"/>
  <c r="V106" i="14" s="1"/>
  <c r="J105" i="14"/>
  <c r="O105" i="14" s="1"/>
  <c r="I105" i="14"/>
  <c r="K104" i="14"/>
  <c r="J104" i="14"/>
  <c r="C104" i="11" s="1"/>
  <c r="W46" i="7" s="1"/>
  <c r="I104" i="14"/>
  <c r="J103" i="14"/>
  <c r="C103" i="11" s="1"/>
  <c r="W45" i="7" s="1"/>
  <c r="I103" i="14"/>
  <c r="J102" i="14"/>
  <c r="I102" i="14"/>
  <c r="Q102" i="14" s="1"/>
  <c r="U102" i="14" s="1"/>
  <c r="J101" i="14"/>
  <c r="I101" i="14"/>
  <c r="J100" i="14"/>
  <c r="I100" i="14"/>
  <c r="J99" i="14"/>
  <c r="I99" i="14"/>
  <c r="J98" i="14"/>
  <c r="I98" i="14"/>
  <c r="J97" i="14"/>
  <c r="C97" i="11" s="1"/>
  <c r="W41" i="7" s="1"/>
  <c r="I97" i="14"/>
  <c r="J96" i="14"/>
  <c r="I96" i="14"/>
  <c r="J95" i="14"/>
  <c r="C95" i="11" s="1"/>
  <c r="W39" i="7" s="1"/>
  <c r="I95" i="14"/>
  <c r="J94" i="14"/>
  <c r="I94" i="14"/>
  <c r="J93" i="14"/>
  <c r="K93" i="14" s="1"/>
  <c r="I93" i="14"/>
  <c r="J92" i="14"/>
  <c r="I92" i="14"/>
  <c r="J91" i="14"/>
  <c r="C91" i="11" s="1"/>
  <c r="W35" i="7" s="1"/>
  <c r="I91" i="14"/>
  <c r="J90" i="14"/>
  <c r="I90" i="14"/>
  <c r="J89" i="14"/>
  <c r="C89" i="11" s="1"/>
  <c r="I89" i="14"/>
  <c r="J88" i="14"/>
  <c r="I88" i="14"/>
  <c r="U87" i="14"/>
  <c r="V87" i="14" s="1"/>
  <c r="U86" i="14"/>
  <c r="V86" i="14" s="1"/>
  <c r="J85" i="14"/>
  <c r="C85" i="11" s="1"/>
  <c r="W30" i="7" s="1"/>
  <c r="I85" i="14"/>
  <c r="Q85" i="14" s="1"/>
  <c r="U85" i="14" s="1"/>
  <c r="V85" i="14" s="1"/>
  <c r="J84" i="14"/>
  <c r="I84" i="14"/>
  <c r="Q84" i="14" s="1"/>
  <c r="U84" i="14" s="1"/>
  <c r="O83" i="14"/>
  <c r="K83" i="14"/>
  <c r="J83" i="14"/>
  <c r="C83" i="11" s="1"/>
  <c r="W29" i="7" s="1"/>
  <c r="I83" i="14"/>
  <c r="K82" i="14"/>
  <c r="J82" i="14"/>
  <c r="C82" i="11" s="1"/>
  <c r="W28" i="7" s="1"/>
  <c r="I82" i="14"/>
  <c r="Q82" i="14" s="1"/>
  <c r="U82" i="14" s="1"/>
  <c r="V82" i="14" s="1"/>
  <c r="O81" i="14"/>
  <c r="J81" i="14"/>
  <c r="I81" i="14"/>
  <c r="J80" i="14"/>
  <c r="C80" i="11" s="1"/>
  <c r="W26" i="7" s="1"/>
  <c r="I80" i="14"/>
  <c r="Q80" i="14" s="1"/>
  <c r="U80" i="14" s="1"/>
  <c r="V80" i="14" s="1"/>
  <c r="J79" i="14"/>
  <c r="C79" i="11" s="1"/>
  <c r="W25" i="7" s="1"/>
  <c r="I79" i="14"/>
  <c r="J78" i="14"/>
  <c r="C78" i="11" s="1"/>
  <c r="W24" i="7" s="1"/>
  <c r="I78" i="14"/>
  <c r="Q78" i="14" s="1"/>
  <c r="U78" i="14" s="1"/>
  <c r="J77" i="14"/>
  <c r="I77" i="14"/>
  <c r="J76" i="14"/>
  <c r="I76" i="14"/>
  <c r="Q76" i="14" s="1"/>
  <c r="U76" i="14" s="1"/>
  <c r="V75" i="14"/>
  <c r="U75" i="14"/>
  <c r="J74" i="14"/>
  <c r="I74" i="14"/>
  <c r="J73" i="14"/>
  <c r="I73" i="14"/>
  <c r="N73" i="14" s="1"/>
  <c r="U73" i="14" s="1"/>
  <c r="V73" i="14" s="1"/>
  <c r="J72" i="14"/>
  <c r="I72" i="14"/>
  <c r="N72" i="14" s="1"/>
  <c r="U72" i="14" s="1"/>
  <c r="U71" i="14"/>
  <c r="V71" i="14" s="1"/>
  <c r="U70" i="14"/>
  <c r="V70" i="14" s="1"/>
  <c r="J70" i="14"/>
  <c r="I70" i="14"/>
  <c r="Q70" i="14" s="1"/>
  <c r="J69" i="14"/>
  <c r="C69" i="11" s="1"/>
  <c r="I69" i="14"/>
  <c r="Q69" i="14" s="1"/>
  <c r="U69" i="14" s="1"/>
  <c r="V69" i="14" s="1"/>
  <c r="J68" i="14"/>
  <c r="I68" i="14"/>
  <c r="Q68" i="14" s="1"/>
  <c r="U68" i="14" s="1"/>
  <c r="Q67" i="14"/>
  <c r="U67" i="14" s="1"/>
  <c r="V67" i="14" s="1"/>
  <c r="J67" i="14"/>
  <c r="C67" i="11" s="1"/>
  <c r="I67" i="14"/>
  <c r="U66" i="14"/>
  <c r="V66" i="14" s="1"/>
  <c r="J66" i="14"/>
  <c r="I66" i="14"/>
  <c r="Q66" i="14" s="1"/>
  <c r="U65" i="14"/>
  <c r="V65" i="14" s="1"/>
  <c r="J64" i="14"/>
  <c r="I64" i="14"/>
  <c r="U63" i="14"/>
  <c r="J63" i="14"/>
  <c r="I63" i="14"/>
  <c r="N303" i="14" s="1"/>
  <c r="B70" i="16" s="1"/>
  <c r="U62" i="14"/>
  <c r="V62" i="14" s="1"/>
  <c r="J61" i="14"/>
  <c r="C61" i="11" s="1"/>
  <c r="I61" i="14"/>
  <c r="Q61" i="14" s="1"/>
  <c r="U61" i="14" s="1"/>
  <c r="V61" i="14" s="1"/>
  <c r="J60" i="14"/>
  <c r="I60" i="14"/>
  <c r="U59" i="14"/>
  <c r="V59" i="14" s="1"/>
  <c r="J58" i="14"/>
  <c r="C58" i="11" s="1"/>
  <c r="W20" i="7" s="1"/>
  <c r="I58" i="14"/>
  <c r="U57" i="14"/>
  <c r="V57" i="14" s="1"/>
  <c r="K56" i="14"/>
  <c r="J56" i="14"/>
  <c r="C56" i="11" s="1"/>
  <c r="I56" i="14"/>
  <c r="J55" i="14"/>
  <c r="I55" i="14"/>
  <c r="O55" i="14" s="1"/>
  <c r="U54" i="14"/>
  <c r="J54" i="14"/>
  <c r="I54" i="14"/>
  <c r="V53" i="14"/>
  <c r="V52" i="14"/>
  <c r="W51" i="14"/>
  <c r="V51" i="14"/>
  <c r="G50" i="14"/>
  <c r="D50" i="14"/>
  <c r="T49" i="14"/>
  <c r="S49" i="14"/>
  <c r="R49" i="14"/>
  <c r="Q49" i="14"/>
  <c r="O49" i="14"/>
  <c r="G49" i="14"/>
  <c r="G282" i="14" s="1"/>
  <c r="D49" i="14"/>
  <c r="D282" i="14" s="1"/>
  <c r="K48" i="14"/>
  <c r="J48" i="14"/>
  <c r="C48" i="11" s="1"/>
  <c r="W18" i="7" s="1"/>
  <c r="I48" i="14"/>
  <c r="P48" i="14" s="1"/>
  <c r="U48" i="14" s="1"/>
  <c r="J47" i="14"/>
  <c r="C47" i="11" s="1"/>
  <c r="W17" i="7" s="1"/>
  <c r="I47" i="14"/>
  <c r="P47" i="14" s="1"/>
  <c r="U47" i="14" s="1"/>
  <c r="V47" i="14" s="1"/>
  <c r="J46" i="14"/>
  <c r="I46" i="14"/>
  <c r="K45" i="14"/>
  <c r="J45" i="14"/>
  <c r="C45" i="11" s="1"/>
  <c r="W16" i="7" s="1"/>
  <c r="I45" i="14"/>
  <c r="P45" i="14" s="1"/>
  <c r="U45" i="14" s="1"/>
  <c r="V45" i="14" s="1"/>
  <c r="J44" i="14"/>
  <c r="C44" i="11" s="1"/>
  <c r="I44" i="14"/>
  <c r="K43" i="14"/>
  <c r="J43" i="14"/>
  <c r="C43" i="11" s="1"/>
  <c r="W15" i="7" s="1"/>
  <c r="I43" i="14"/>
  <c r="P43" i="14" s="1"/>
  <c r="U43" i="14" s="1"/>
  <c r="J42" i="14"/>
  <c r="C42" i="11" s="1"/>
  <c r="W14" i="7" s="1"/>
  <c r="I42" i="14"/>
  <c r="J41" i="14"/>
  <c r="I41" i="14"/>
  <c r="P41" i="14" s="1"/>
  <c r="U41" i="14" s="1"/>
  <c r="J40" i="14"/>
  <c r="C40" i="11" s="1"/>
  <c r="W12" i="7" s="1"/>
  <c r="I40" i="14"/>
  <c r="J39" i="14"/>
  <c r="I39" i="14"/>
  <c r="M38" i="14"/>
  <c r="J38" i="14"/>
  <c r="I38" i="14"/>
  <c r="P38" i="14" s="1"/>
  <c r="U38" i="14" s="1"/>
  <c r="J37" i="14"/>
  <c r="C37" i="11" s="1"/>
  <c r="W9" i="7" s="1"/>
  <c r="I37" i="14"/>
  <c r="P37" i="14" s="1"/>
  <c r="U37" i="14" s="1"/>
  <c r="V37" i="14" s="1"/>
  <c r="J36" i="14"/>
  <c r="I36" i="14"/>
  <c r="J35" i="14"/>
  <c r="C35" i="11" s="1"/>
  <c r="W7" i="7" s="1"/>
  <c r="I35" i="14"/>
  <c r="P35" i="14" s="1"/>
  <c r="U35" i="14" s="1"/>
  <c r="J34" i="14"/>
  <c r="I34" i="14"/>
  <c r="P34" i="14" s="1"/>
  <c r="U34" i="14" s="1"/>
  <c r="M33" i="14"/>
  <c r="J33" i="14"/>
  <c r="I33" i="14"/>
  <c r="P32" i="14"/>
  <c r="U32" i="14" s="1"/>
  <c r="V32" i="14" s="1"/>
  <c r="J32" i="14"/>
  <c r="I32" i="14"/>
  <c r="U31" i="14"/>
  <c r="V31" i="14" s="1"/>
  <c r="K30" i="14"/>
  <c r="J30" i="14"/>
  <c r="C30" i="11" s="1"/>
  <c r="I30" i="14"/>
  <c r="N30" i="14" s="1"/>
  <c r="U30" i="14" s="1"/>
  <c r="V30" i="14" s="1"/>
  <c r="J29" i="14"/>
  <c r="I29" i="14"/>
  <c r="N29" i="14" s="1"/>
  <c r="U29" i="14" s="1"/>
  <c r="N28" i="14"/>
  <c r="U28" i="14" s="1"/>
  <c r="V28" i="14" s="1"/>
  <c r="J28" i="14"/>
  <c r="I28" i="14"/>
  <c r="J27" i="14"/>
  <c r="I27" i="14"/>
  <c r="N27" i="14" s="1"/>
  <c r="U27" i="14" s="1"/>
  <c r="V27" i="14" s="1"/>
  <c r="J26" i="14"/>
  <c r="I26" i="14"/>
  <c r="N26" i="14" s="1"/>
  <c r="U25" i="14"/>
  <c r="V25" i="14" s="1"/>
  <c r="M24" i="14"/>
  <c r="U24" i="14" s="1"/>
  <c r="V24" i="14" s="1"/>
  <c r="J24" i="14"/>
  <c r="I24" i="14"/>
  <c r="M23" i="14"/>
  <c r="U23" i="14" s="1"/>
  <c r="J23" i="14"/>
  <c r="I23" i="14"/>
  <c r="J22" i="14"/>
  <c r="I22" i="14"/>
  <c r="M21" i="14"/>
  <c r="U21" i="14" s="1"/>
  <c r="V21" i="14" s="1"/>
  <c r="J21" i="14"/>
  <c r="I21" i="14"/>
  <c r="V20" i="14"/>
  <c r="U20" i="14"/>
  <c r="J19" i="14"/>
  <c r="I19" i="14"/>
  <c r="P19" i="14" s="1"/>
  <c r="U19" i="14" s="1"/>
  <c r="V19" i="14" s="1"/>
  <c r="K18" i="14"/>
  <c r="J18" i="14"/>
  <c r="C18" i="11" s="1"/>
  <c r="I18" i="14"/>
  <c r="P18" i="14" s="1"/>
  <c r="U18" i="14" s="1"/>
  <c r="V18" i="14" s="1"/>
  <c r="J17" i="14"/>
  <c r="I17" i="14"/>
  <c r="P17" i="14" s="1"/>
  <c r="U17" i="14" s="1"/>
  <c r="V17" i="14" s="1"/>
  <c r="J16" i="14"/>
  <c r="I16" i="14"/>
  <c r="K15" i="14"/>
  <c r="J15" i="14"/>
  <c r="C15" i="11" s="1"/>
  <c r="I15" i="14"/>
  <c r="J14" i="14"/>
  <c r="C14" i="11" s="1"/>
  <c r="I14" i="14"/>
  <c r="P14" i="14" s="1"/>
  <c r="U14" i="14" s="1"/>
  <c r="V14" i="14" s="1"/>
  <c r="J13" i="14"/>
  <c r="I13" i="14"/>
  <c r="P13" i="14" s="1"/>
  <c r="U13" i="14" s="1"/>
  <c r="V13" i="14" s="1"/>
  <c r="J12" i="14"/>
  <c r="C12" i="11" s="1"/>
  <c r="I12" i="14"/>
  <c r="P12" i="14" s="1"/>
  <c r="U12" i="14" s="1"/>
  <c r="V12" i="14" s="1"/>
  <c r="U11" i="14"/>
  <c r="V11" i="14" s="1"/>
  <c r="J10" i="14"/>
  <c r="I10" i="14"/>
  <c r="P10" i="14" s="1"/>
  <c r="U10" i="14" s="1"/>
  <c r="V10" i="14" s="1"/>
  <c r="V9" i="14"/>
  <c r="U9" i="14"/>
  <c r="K8" i="14"/>
  <c r="J8" i="14"/>
  <c r="C8" i="11" s="1"/>
  <c r="I8" i="14"/>
  <c r="M8" i="14" s="1"/>
  <c r="U8" i="14" s="1"/>
  <c r="V8" i="14" s="1"/>
  <c r="J7" i="14"/>
  <c r="I7" i="14"/>
  <c r="M7" i="14" s="1"/>
  <c r="U6" i="14"/>
  <c r="J6" i="14"/>
  <c r="C6" i="11" s="1"/>
  <c r="I6" i="14"/>
  <c r="N301" i="14" s="1"/>
  <c r="V6" i="14" l="1"/>
  <c r="N302" i="14"/>
  <c r="B69" i="16" s="1"/>
  <c r="Q83" i="14"/>
  <c r="U83" i="14" s="1"/>
  <c r="V83" i="14" s="1"/>
  <c r="K225" i="14"/>
  <c r="K271" i="14"/>
  <c r="O104" i="14"/>
  <c r="Q104" i="14" s="1"/>
  <c r="U104" i="14" s="1"/>
  <c r="V104" i="14" s="1"/>
  <c r="K133" i="14"/>
  <c r="K168" i="14"/>
  <c r="K169" i="14"/>
  <c r="K176" i="14"/>
  <c r="K193" i="14"/>
  <c r="K249" i="14"/>
  <c r="O258" i="14"/>
  <c r="Q258" i="14" s="1"/>
  <c r="U258" i="14" s="1"/>
  <c r="V258" i="14" s="1"/>
  <c r="I295" i="14"/>
  <c r="V63" i="14"/>
  <c r="V135" i="14"/>
  <c r="V167" i="14"/>
  <c r="W100" i="7"/>
  <c r="Q159" i="14"/>
  <c r="U159" i="14" s="1"/>
  <c r="V159" i="14" s="1"/>
  <c r="P16" i="14"/>
  <c r="U16" i="14" s="1"/>
  <c r="V16" i="14" s="1"/>
  <c r="P39" i="14"/>
  <c r="U39" i="14" s="1"/>
  <c r="V39" i="14"/>
  <c r="C94" i="11"/>
  <c r="W38" i="7" s="1"/>
  <c r="O94" i="14"/>
  <c r="K94" i="14"/>
  <c r="C102" i="11"/>
  <c r="K102" i="14"/>
  <c r="V126" i="14"/>
  <c r="K182" i="14"/>
  <c r="C182" i="11"/>
  <c r="W93" i="7" s="1"/>
  <c r="K13" i="14"/>
  <c r="C13" i="11"/>
  <c r="C144" i="11"/>
  <c r="W64" i="7" s="1"/>
  <c r="K144" i="14"/>
  <c r="C231" i="11"/>
  <c r="K231" i="14"/>
  <c r="C26" i="11"/>
  <c r="K26" i="14"/>
  <c r="K157" i="14"/>
  <c r="C157" i="11"/>
  <c r="W76" i="7" s="1"/>
  <c r="K23" i="14"/>
  <c r="C23" i="11"/>
  <c r="C77" i="11"/>
  <c r="W23" i="7" s="1"/>
  <c r="O77" i="14"/>
  <c r="K77" i="14"/>
  <c r="K180" i="14"/>
  <c r="C180" i="11"/>
  <c r="W91" i="7" s="1"/>
  <c r="K21" i="14"/>
  <c r="C21" i="11"/>
  <c r="C54" i="11"/>
  <c r="K54" i="14"/>
  <c r="C99" i="11"/>
  <c r="W42" i="7" s="1"/>
  <c r="O99" i="14"/>
  <c r="K99" i="14"/>
  <c r="C219" i="11"/>
  <c r="K219" i="14"/>
  <c r="C10" i="11"/>
  <c r="K10" i="14"/>
  <c r="K92" i="14"/>
  <c r="C92" i="11"/>
  <c r="W36" i="7" s="1"/>
  <c r="O92" i="14"/>
  <c r="Q92" i="14" s="1"/>
  <c r="U92" i="14" s="1"/>
  <c r="V92" i="14" s="1"/>
  <c r="C120" i="11"/>
  <c r="K120" i="14"/>
  <c r="Q134" i="14"/>
  <c r="U134" i="14" s="1"/>
  <c r="V134" i="14" s="1"/>
  <c r="K7" i="14"/>
  <c r="C7" i="11"/>
  <c r="K41" i="14"/>
  <c r="C41" i="11"/>
  <c r="W13" i="7" s="1"/>
  <c r="C60" i="11"/>
  <c r="W21" i="7" s="1"/>
  <c r="K60" i="14"/>
  <c r="K206" i="14"/>
  <c r="C206" i="11"/>
  <c r="C240" i="11"/>
  <c r="K240" i="14"/>
  <c r="K246" i="14"/>
  <c r="C246" i="11"/>
  <c r="K255" i="14"/>
  <c r="C255" i="11"/>
  <c r="K267" i="14"/>
  <c r="C267" i="11"/>
  <c r="K16" i="14"/>
  <c r="C16" i="11"/>
  <c r="K39" i="14"/>
  <c r="C39" i="11"/>
  <c r="W11" i="7" s="1"/>
  <c r="K74" i="14"/>
  <c r="C74" i="11"/>
  <c r="O90" i="14"/>
  <c r="Q90" i="14" s="1"/>
  <c r="C90" i="11"/>
  <c r="W34" i="7" s="1"/>
  <c r="K96" i="14"/>
  <c r="C96" i="11"/>
  <c r="W40" i="7" s="1"/>
  <c r="O107" i="14"/>
  <c r="Q107" i="14" s="1"/>
  <c r="U107" i="14" s="1"/>
  <c r="V107" i="14" s="1"/>
  <c r="C107" i="11"/>
  <c r="W48" i="7" s="1"/>
  <c r="K123" i="14"/>
  <c r="C123" i="11"/>
  <c r="K134" i="14"/>
  <c r="C134" i="11"/>
  <c r="W59" i="7" s="1"/>
  <c r="K136" i="14"/>
  <c r="C136" i="11"/>
  <c r="K142" i="14"/>
  <c r="C142" i="11"/>
  <c r="W62" i="7" s="1"/>
  <c r="K154" i="14"/>
  <c r="C154" i="11"/>
  <c r="W74" i="7" s="1"/>
  <c r="K159" i="14"/>
  <c r="C159" i="11"/>
  <c r="K164" i="14"/>
  <c r="C164" i="11"/>
  <c r="K177" i="14"/>
  <c r="C177" i="11"/>
  <c r="W88" i="7" s="1"/>
  <c r="K191" i="14"/>
  <c r="C191" i="11"/>
  <c r="W99" i="7" s="1"/>
  <c r="V268" i="14"/>
  <c r="K274" i="14"/>
  <c r="C274" i="11"/>
  <c r="B68" i="16"/>
  <c r="B72" i="16" s="1"/>
  <c r="K34" i="14"/>
  <c r="C34" i="11"/>
  <c r="W6" i="7" s="1"/>
  <c r="K37" i="14"/>
  <c r="K46" i="14"/>
  <c r="C46" i="11"/>
  <c r="K90" i="14"/>
  <c r="O96" i="14"/>
  <c r="K107" i="14"/>
  <c r="O110" i="14"/>
  <c r="Q110" i="14" s="1"/>
  <c r="U110" i="14" s="1"/>
  <c r="V110" i="14" s="1"/>
  <c r="C110" i="11"/>
  <c r="W51" i="7" s="1"/>
  <c r="K126" i="14"/>
  <c r="C126" i="11"/>
  <c r="K132" i="14"/>
  <c r="C132" i="11"/>
  <c r="W57" i="7" s="1"/>
  <c r="K140" i="14"/>
  <c r="K147" i="14"/>
  <c r="C147" i="11"/>
  <c r="W67" i="7" s="1"/>
  <c r="K150" i="14"/>
  <c r="C150" i="11"/>
  <c r="W70" i="7" s="1"/>
  <c r="K152" i="14"/>
  <c r="K175" i="14"/>
  <c r="K185" i="14"/>
  <c r="C185" i="11"/>
  <c r="W95" i="7" s="1"/>
  <c r="K202" i="14"/>
  <c r="K210" i="14"/>
  <c r="C210" i="11"/>
  <c r="K217" i="14"/>
  <c r="K223" i="14"/>
  <c r="K229" i="14"/>
  <c r="K238" i="14"/>
  <c r="C238" i="11"/>
  <c r="K247" i="14"/>
  <c r="C247" i="11"/>
  <c r="K251" i="14"/>
  <c r="R253" i="14"/>
  <c r="U253" i="14" s="1"/>
  <c r="V253" i="14" s="1"/>
  <c r="K258" i="14"/>
  <c r="K268" i="14"/>
  <c r="C268" i="11"/>
  <c r="K272" i="14"/>
  <c r="K19" i="14"/>
  <c r="C19" i="11"/>
  <c r="K129" i="14"/>
  <c r="C129" i="11"/>
  <c r="K167" i="14"/>
  <c r="C167" i="11"/>
  <c r="W83" i="7" s="1"/>
  <c r="K6" i="14"/>
  <c r="K58" i="14"/>
  <c r="K69" i="14"/>
  <c r="K72" i="14"/>
  <c r="C72" i="11"/>
  <c r="K80" i="14"/>
  <c r="K88" i="14"/>
  <c r="C88" i="11"/>
  <c r="W33" i="7" s="1"/>
  <c r="K100" i="14"/>
  <c r="C100" i="11"/>
  <c r="W43" i="7" s="1"/>
  <c r="K141" i="14"/>
  <c r="C141" i="11"/>
  <c r="K148" i="14"/>
  <c r="C148" i="11"/>
  <c r="W68" i="7" s="1"/>
  <c r="K155" i="14"/>
  <c r="C155" i="11"/>
  <c r="K162" i="14"/>
  <c r="C162" i="11"/>
  <c r="W81" i="7" s="1"/>
  <c r="K183" i="14"/>
  <c r="K213" i="14"/>
  <c r="K228" i="14"/>
  <c r="V270" i="14"/>
  <c r="K17" i="14"/>
  <c r="C17" i="11"/>
  <c r="M22" i="14"/>
  <c r="U22" i="14" s="1"/>
  <c r="V22" i="14" s="1"/>
  <c r="K35" i="14"/>
  <c r="K38" i="14"/>
  <c r="C38" i="11"/>
  <c r="W10" i="7" s="1"/>
  <c r="K40" i="14"/>
  <c r="M42" i="14"/>
  <c r="M49" i="14" s="1"/>
  <c r="M282" i="14" s="1"/>
  <c r="K47" i="14"/>
  <c r="K76" i="14"/>
  <c r="C76" i="11"/>
  <c r="W22" i="7" s="1"/>
  <c r="K78" i="14"/>
  <c r="O88" i="14"/>
  <c r="Q88" i="14" s="1"/>
  <c r="U88" i="14" s="1"/>
  <c r="V88" i="14" s="1"/>
  <c r="K91" i="14"/>
  <c r="K95" i="14"/>
  <c r="K108" i="14"/>
  <c r="K122" i="14"/>
  <c r="C122" i="11"/>
  <c r="Q141" i="14"/>
  <c r="U141" i="14" s="1"/>
  <c r="V141" i="14" s="1"/>
  <c r="K143" i="14"/>
  <c r="C143" i="11"/>
  <c r="W63" i="7" s="1"/>
  <c r="K158" i="14"/>
  <c r="C158" i="11"/>
  <c r="W77" i="7" s="1"/>
  <c r="K160" i="14"/>
  <c r="K181" i="14"/>
  <c r="C181" i="11"/>
  <c r="W92" i="7" s="1"/>
  <c r="K205" i="14"/>
  <c r="K224" i="14"/>
  <c r="K235" i="14"/>
  <c r="K239" i="14"/>
  <c r="K241" i="14"/>
  <c r="K248" i="14"/>
  <c r="K259" i="14"/>
  <c r="C259" i="11"/>
  <c r="W32" i="7" s="1"/>
  <c r="K24" i="14"/>
  <c r="C24" i="11"/>
  <c r="K32" i="14"/>
  <c r="C32" i="11"/>
  <c r="W4" i="7" s="1"/>
  <c r="K105" i="14"/>
  <c r="C105" i="11"/>
  <c r="W47" i="7" s="1"/>
  <c r="K27" i="14"/>
  <c r="C27" i="11"/>
  <c r="K42" i="14"/>
  <c r="K178" i="14"/>
  <c r="C178" i="11"/>
  <c r="W89" i="7" s="1"/>
  <c r="K186" i="14"/>
  <c r="C186" i="11"/>
  <c r="W96" i="7" s="1"/>
  <c r="K189" i="14"/>
  <c r="K192" i="14"/>
  <c r="K211" i="14"/>
  <c r="C211" i="11"/>
  <c r="K216" i="14"/>
  <c r="K232" i="14"/>
  <c r="R245" i="14"/>
  <c r="U245" i="14" s="1"/>
  <c r="V245" i="14" s="1"/>
  <c r="K262" i="14"/>
  <c r="C262" i="11"/>
  <c r="T282" i="14"/>
  <c r="P33" i="14"/>
  <c r="U33" i="14" s="1"/>
  <c r="M40" i="14"/>
  <c r="V43" i="14"/>
  <c r="K73" i="14"/>
  <c r="C73" i="11"/>
  <c r="K85" i="14"/>
  <c r="O91" i="14"/>
  <c r="Q91" i="14" s="1"/>
  <c r="U91" i="14" s="1"/>
  <c r="V91" i="14" s="1"/>
  <c r="O95" i="14"/>
  <c r="O98" i="14"/>
  <c r="C98" i="11"/>
  <c r="O101" i="14"/>
  <c r="Q101" i="14" s="1"/>
  <c r="U101" i="14" s="1"/>
  <c r="V101" i="14" s="1"/>
  <c r="C101" i="11"/>
  <c r="W44" i="7" s="1"/>
  <c r="O108" i="14"/>
  <c r="Q108" i="14" s="1"/>
  <c r="U108" i="14" s="1"/>
  <c r="V108" i="14" s="1"/>
  <c r="O111" i="14"/>
  <c r="C111" i="11"/>
  <c r="W52" i="7" s="1"/>
  <c r="K116" i="14"/>
  <c r="K135" i="14"/>
  <c r="C135" i="11"/>
  <c r="V143" i="14"/>
  <c r="K149" i="14"/>
  <c r="C149" i="11"/>
  <c r="W69" i="7" s="1"/>
  <c r="K151" i="14"/>
  <c r="C151" i="11"/>
  <c r="W71" i="7" s="1"/>
  <c r="K156" i="14"/>
  <c r="C156" i="11"/>
  <c r="W75" i="7" s="1"/>
  <c r="K170" i="14"/>
  <c r="C170" i="11"/>
  <c r="W78" i="7" s="1"/>
  <c r="K174" i="14"/>
  <c r="C174" i="11"/>
  <c r="W85" i="7" s="1"/>
  <c r="K179" i="14"/>
  <c r="C179" i="11"/>
  <c r="W90" i="7" s="1"/>
  <c r="K212" i="14"/>
  <c r="C212" i="11"/>
  <c r="K218" i="14"/>
  <c r="C218" i="11"/>
  <c r="K230" i="14"/>
  <c r="C230" i="11"/>
  <c r="K237" i="14"/>
  <c r="K244" i="14"/>
  <c r="K252" i="14"/>
  <c r="K254" i="14"/>
  <c r="C254" i="11"/>
  <c r="K273" i="14"/>
  <c r="K29" i="14"/>
  <c r="C29" i="11"/>
  <c r="K64" i="14"/>
  <c r="C64" i="11"/>
  <c r="K84" i="14"/>
  <c r="C84" i="11"/>
  <c r="K118" i="14"/>
  <c r="C118" i="11"/>
  <c r="W55" i="7" s="1"/>
  <c r="K165" i="14"/>
  <c r="C165" i="11"/>
  <c r="K14" i="14"/>
  <c r="K22" i="14"/>
  <c r="C22" i="11"/>
  <c r="K55" i="14"/>
  <c r="C55" i="11"/>
  <c r="K61" i="14"/>
  <c r="K67" i="14"/>
  <c r="O93" i="14"/>
  <c r="Q93" i="14" s="1"/>
  <c r="C93" i="11"/>
  <c r="W37" i="7" s="1"/>
  <c r="K124" i="14"/>
  <c r="K145" i="14"/>
  <c r="K203" i="14"/>
  <c r="C203" i="11"/>
  <c r="K276" i="14"/>
  <c r="C276" i="11"/>
  <c r="K28" i="14"/>
  <c r="C28" i="11"/>
  <c r="K33" i="14"/>
  <c r="C33" i="11"/>
  <c r="W5" i="7" s="1"/>
  <c r="M36" i="14"/>
  <c r="C36" i="11"/>
  <c r="W8" i="7" s="1"/>
  <c r="K63" i="14"/>
  <c r="C63" i="11"/>
  <c r="K66" i="14"/>
  <c r="C66" i="11"/>
  <c r="K68" i="14"/>
  <c r="C68" i="11"/>
  <c r="K70" i="14"/>
  <c r="C70" i="11"/>
  <c r="K81" i="14"/>
  <c r="C81" i="11"/>
  <c r="W27" i="7" s="1"/>
  <c r="K125" i="14"/>
  <c r="C125" i="11"/>
  <c r="K127" i="14"/>
  <c r="C127" i="11"/>
  <c r="K131" i="14"/>
  <c r="C131" i="11"/>
  <c r="W56" i="7" s="1"/>
  <c r="K139" i="14"/>
  <c r="C139" i="11"/>
  <c r="W60" i="7" s="1"/>
  <c r="K146" i="14"/>
  <c r="C146" i="11"/>
  <c r="W66" i="7" s="1"/>
  <c r="K163" i="14"/>
  <c r="C163" i="11"/>
  <c r="W82" i="7" s="1"/>
  <c r="K166" i="14"/>
  <c r="C166" i="11"/>
  <c r="K222" i="14"/>
  <c r="C222" i="11"/>
  <c r="K250" i="14"/>
  <c r="C250" i="11"/>
  <c r="K260" i="14"/>
  <c r="C260" i="11"/>
  <c r="V273" i="14"/>
  <c r="B36" i="16"/>
  <c r="B27" i="16"/>
  <c r="F25" i="16"/>
  <c r="F27" i="16" s="1"/>
  <c r="G27" i="16" s="1"/>
  <c r="I50" i="14"/>
  <c r="K12" i="14"/>
  <c r="I197" i="14"/>
  <c r="V197" i="14" s="1"/>
  <c r="U7" i="14"/>
  <c r="V7" i="14" s="1"/>
  <c r="R254" i="14"/>
  <c r="U254" i="14" s="1"/>
  <c r="V254" i="14" s="1"/>
  <c r="V41" i="14"/>
  <c r="M44" i="14"/>
  <c r="P44" i="14" s="1"/>
  <c r="K44" i="14"/>
  <c r="V48" i="14"/>
  <c r="U55" i="14"/>
  <c r="V55" i="14" s="1"/>
  <c r="K101" i="14"/>
  <c r="Q123" i="14"/>
  <c r="U123" i="14" s="1"/>
  <c r="V123" i="14" s="1"/>
  <c r="Q171" i="14"/>
  <c r="U171" i="14" s="1"/>
  <c r="V171" i="14" s="1"/>
  <c r="R211" i="14"/>
  <c r="U211" i="14" s="1"/>
  <c r="V211" i="14" s="1"/>
  <c r="R250" i="14"/>
  <c r="U250" i="14" s="1"/>
  <c r="V250" i="14" s="1"/>
  <c r="Q259" i="14"/>
  <c r="U259" i="14" s="1"/>
  <c r="V259" i="14" s="1"/>
  <c r="V262" i="14"/>
  <c r="M46" i="14"/>
  <c r="V76" i="14"/>
  <c r="O79" i="14"/>
  <c r="Q79" i="14" s="1"/>
  <c r="K79" i="14"/>
  <c r="O89" i="14"/>
  <c r="K89" i="14"/>
  <c r="O103" i="14"/>
  <c r="K103" i="14"/>
  <c r="K109" i="14"/>
  <c r="O109" i="14"/>
  <c r="Q148" i="14"/>
  <c r="U148" i="14" s="1"/>
  <c r="V148" i="14" s="1"/>
  <c r="R246" i="14"/>
  <c r="U246" i="14" s="1"/>
  <c r="V246" i="14" s="1"/>
  <c r="U252" i="14"/>
  <c r="V252" i="14" s="1"/>
  <c r="S280" i="14"/>
  <c r="Q147" i="14"/>
  <c r="U147" i="14" s="1"/>
  <c r="V147" i="14" s="1"/>
  <c r="V84" i="14"/>
  <c r="Q163" i="14"/>
  <c r="U163" i="14" s="1"/>
  <c r="V163" i="14" s="1"/>
  <c r="P15" i="14"/>
  <c r="U15" i="14" s="1"/>
  <c r="V15" i="14" s="1"/>
  <c r="N49" i="14"/>
  <c r="U26" i="14"/>
  <c r="V26" i="14" s="1"/>
  <c r="V102" i="14"/>
  <c r="K111" i="14"/>
  <c r="K36" i="14"/>
  <c r="V38" i="14"/>
  <c r="P40" i="14"/>
  <c r="U40" i="14" s="1"/>
  <c r="V40" i="14" s="1"/>
  <c r="I196" i="14"/>
  <c r="Q58" i="14"/>
  <c r="V68" i="14"/>
  <c r="Q96" i="14"/>
  <c r="U96" i="14" s="1"/>
  <c r="V96" i="14" s="1"/>
  <c r="K98" i="14"/>
  <c r="O100" i="14"/>
  <c r="Q105" i="14"/>
  <c r="U105" i="14" s="1"/>
  <c r="V105" i="14" s="1"/>
  <c r="Q119" i="14"/>
  <c r="U119" i="14" s="1"/>
  <c r="V119" i="14" s="1"/>
  <c r="Q136" i="14"/>
  <c r="U136" i="14" s="1"/>
  <c r="V136" i="14" s="1"/>
  <c r="Q164" i="14"/>
  <c r="U164" i="14" s="1"/>
  <c r="V164" i="14" s="1"/>
  <c r="Q178" i="14"/>
  <c r="U178" i="14" s="1"/>
  <c r="V178" i="14"/>
  <c r="V185" i="14"/>
  <c r="Q185" i="14"/>
  <c r="U185" i="14" s="1"/>
  <c r="R218" i="14"/>
  <c r="U218" i="14" s="1"/>
  <c r="V218" i="14" s="1"/>
  <c r="V239" i="14"/>
  <c r="N276" i="14"/>
  <c r="V29" i="14"/>
  <c r="Q60" i="14"/>
  <c r="U60" i="14" s="1"/>
  <c r="V60" i="14" s="1"/>
  <c r="Q139" i="14"/>
  <c r="U139" i="14" s="1"/>
  <c r="V139" i="14" s="1"/>
  <c r="Q98" i="14"/>
  <c r="U98" i="14" s="1"/>
  <c r="V98" i="14" s="1"/>
  <c r="R247" i="14"/>
  <c r="U247" i="14" s="1"/>
  <c r="V247" i="14" s="1"/>
  <c r="T298" i="14"/>
  <c r="U298" i="14" s="1"/>
  <c r="U283" i="14"/>
  <c r="I49" i="14"/>
  <c r="V34" i="14"/>
  <c r="P36" i="14"/>
  <c r="N74" i="14"/>
  <c r="U74" i="14" s="1"/>
  <c r="V74" i="14" s="1"/>
  <c r="Q77" i="14"/>
  <c r="U77" i="14" s="1"/>
  <c r="V77" i="14" s="1"/>
  <c r="Q94" i="14"/>
  <c r="U94" i="14" s="1"/>
  <c r="V94" i="14" s="1"/>
  <c r="Q100" i="14"/>
  <c r="Q155" i="14"/>
  <c r="U155" i="14" s="1"/>
  <c r="V155" i="14" s="1"/>
  <c r="V183" i="14"/>
  <c r="O97" i="14"/>
  <c r="Q97" i="14" s="1"/>
  <c r="K97" i="14"/>
  <c r="Q118" i="14"/>
  <c r="U118" i="14" s="1"/>
  <c r="V118" i="14" s="1"/>
  <c r="R231" i="14"/>
  <c r="U231" i="14" s="1"/>
  <c r="V231" i="14" s="1"/>
  <c r="S282" i="14"/>
  <c r="S294" i="14" s="1"/>
  <c r="S297" i="14" s="1"/>
  <c r="B61" i="16" s="1"/>
  <c r="F61" i="16" s="1"/>
  <c r="V78" i="14"/>
  <c r="Q81" i="14"/>
  <c r="U81" i="14" s="1"/>
  <c r="V81" i="14" s="1"/>
  <c r="V23" i="14"/>
  <c r="V33" i="14"/>
  <c r="V35" i="14"/>
  <c r="O56" i="14"/>
  <c r="U56" i="14" s="1"/>
  <c r="V56" i="14" s="1"/>
  <c r="O64" i="14"/>
  <c r="U64" i="14" s="1"/>
  <c r="V64" i="14" s="1"/>
  <c r="M289" i="14"/>
  <c r="V72" i="14"/>
  <c r="Q99" i="14"/>
  <c r="U99" i="14" s="1"/>
  <c r="V99" i="14" s="1"/>
  <c r="Q144" i="14"/>
  <c r="U144" i="14" s="1"/>
  <c r="V144" i="14" s="1"/>
  <c r="V160" i="14"/>
  <c r="Q186" i="14"/>
  <c r="U186" i="14" s="1"/>
  <c r="V186" i="14" s="1"/>
  <c r="R210" i="14"/>
  <c r="U210" i="14" s="1"/>
  <c r="V210" i="14" s="1"/>
  <c r="O267" i="14"/>
  <c r="U267" i="14" s="1"/>
  <c r="V267" i="14" s="1"/>
  <c r="V54" i="14"/>
  <c r="V280" i="14" s="1"/>
  <c r="Q111" i="14"/>
  <c r="U111" i="14" s="1"/>
  <c r="V111" i="14" s="1"/>
  <c r="V132" i="14"/>
  <c r="Q191" i="14"/>
  <c r="U191" i="14" s="1"/>
  <c r="V191" i="14" s="1"/>
  <c r="V203" i="14"/>
  <c r="R206" i="14"/>
  <c r="U206" i="14" s="1"/>
  <c r="V206" i="14" s="1"/>
  <c r="V260" i="14"/>
  <c r="O271" i="14"/>
  <c r="U271" i="14" s="1"/>
  <c r="V271" i="14" s="1"/>
  <c r="V116" i="14"/>
  <c r="V152" i="14"/>
  <c r="V168" i="14"/>
  <c r="V175" i="14"/>
  <c r="V192" i="14"/>
  <c r="Q195" i="14"/>
  <c r="U195" i="14" s="1"/>
  <c r="V195" i="14" s="1"/>
  <c r="V219" i="14"/>
  <c r="R222" i="14"/>
  <c r="U222" i="14" s="1"/>
  <c r="V222" i="14" s="1"/>
  <c r="V251" i="14"/>
  <c r="V272" i="14"/>
  <c r="V124" i="14"/>
  <c r="V140" i="14"/>
  <c r="V156" i="14"/>
  <c r="V179" i="14"/>
  <c r="I279" i="14"/>
  <c r="R202" i="14"/>
  <c r="V223" i="14"/>
  <c r="R230" i="14"/>
  <c r="U230" i="14" s="1"/>
  <c r="V230" i="14" s="1"/>
  <c r="V235" i="14"/>
  <c r="R238" i="14"/>
  <c r="U238" i="14" s="1"/>
  <c r="V238" i="14" s="1"/>
  <c r="V255" i="14"/>
  <c r="O274" i="14"/>
  <c r="W3" i="7"/>
  <c r="T102" i="7"/>
  <c r="T101" i="7"/>
  <c r="T100" i="7"/>
  <c r="T99" i="7"/>
  <c r="T98" i="7"/>
  <c r="T97" i="7"/>
  <c r="T96" i="7"/>
  <c r="T95" i="7"/>
  <c r="T94" i="7"/>
  <c r="T93" i="7"/>
  <c r="T92" i="7"/>
  <c r="T91" i="7"/>
  <c r="T90" i="7"/>
  <c r="T89" i="7"/>
  <c r="T88" i="7"/>
  <c r="T87" i="7"/>
  <c r="T86" i="7"/>
  <c r="T85" i="7"/>
  <c r="T84" i="7"/>
  <c r="T82" i="7"/>
  <c r="T80" i="7"/>
  <c r="M79" i="7"/>
  <c r="T79" i="7"/>
  <c r="T77" i="7"/>
  <c r="T76" i="7"/>
  <c r="T75" i="7"/>
  <c r="T74" i="7"/>
  <c r="T73" i="7"/>
  <c r="T72" i="7"/>
  <c r="T71" i="7"/>
  <c r="T70" i="7"/>
  <c r="T69" i="7"/>
  <c r="T68" i="7"/>
  <c r="T67" i="7"/>
  <c r="T66" i="7"/>
  <c r="T65" i="7"/>
  <c r="T64" i="7"/>
  <c r="T63" i="7"/>
  <c r="T62" i="7"/>
  <c r="T61" i="7"/>
  <c r="T60" i="7"/>
  <c r="T59" i="7"/>
  <c r="T58" i="7"/>
  <c r="T57" i="7"/>
  <c r="T56" i="7"/>
  <c r="T55" i="7"/>
  <c r="T54" i="7"/>
  <c r="G51" i="7"/>
  <c r="T51" i="7"/>
  <c r="M51" i="7"/>
  <c r="E51" i="7"/>
  <c r="T52" i="7"/>
  <c r="T50" i="7"/>
  <c r="T49" i="7"/>
  <c r="T48" i="7"/>
  <c r="T47" i="7"/>
  <c r="G46" i="7"/>
  <c r="T46" i="7"/>
  <c r="M46" i="7"/>
  <c r="E46" i="7"/>
  <c r="T45" i="7"/>
  <c r="T44" i="7"/>
  <c r="T43" i="7"/>
  <c r="T42" i="7"/>
  <c r="T41" i="7"/>
  <c r="T40" i="7"/>
  <c r="T36" i="7"/>
  <c r="T35" i="7"/>
  <c r="T39" i="7"/>
  <c r="T38" i="7"/>
  <c r="T37" i="7"/>
  <c r="T34" i="7"/>
  <c r="T33" i="7"/>
  <c r="T32" i="7"/>
  <c r="T31" i="7"/>
  <c r="T30" i="7"/>
  <c r="T29" i="7"/>
  <c r="T28" i="7"/>
  <c r="T27" i="7"/>
  <c r="T26" i="7"/>
  <c r="T25" i="7"/>
  <c r="T24" i="7"/>
  <c r="T23" i="7"/>
  <c r="T22" i="7"/>
  <c r="T21" i="7"/>
  <c r="T20" i="7"/>
  <c r="T18" i="7"/>
  <c r="T17" i="7"/>
  <c r="T16" i="7"/>
  <c r="T15" i="7"/>
  <c r="T14" i="7"/>
  <c r="T13" i="7"/>
  <c r="T12" i="7"/>
  <c r="T11" i="7"/>
  <c r="T10" i="7"/>
  <c r="T9" i="7"/>
  <c r="T8" i="7"/>
  <c r="T7" i="7"/>
  <c r="T6" i="7"/>
  <c r="T5" i="7"/>
  <c r="T4" i="7"/>
  <c r="T3" i="7"/>
  <c r="N196" i="14" l="1"/>
  <c r="M288" i="14"/>
  <c r="N305" i="14"/>
  <c r="U36" i="14"/>
  <c r="V36" i="14" s="1"/>
  <c r="U95" i="14"/>
  <c r="V95" i="14" s="1"/>
  <c r="O280" i="14"/>
  <c r="U90" i="14"/>
  <c r="V90" i="14" s="1"/>
  <c r="Q95" i="14"/>
  <c r="M287" i="14"/>
  <c r="P42" i="14"/>
  <c r="U42" i="14" s="1"/>
  <c r="V42" i="14" s="1"/>
  <c r="U93" i="14"/>
  <c r="V93" i="14" s="1"/>
  <c r="Q280" i="14"/>
  <c r="I282" i="14"/>
  <c r="U58" i="14"/>
  <c r="Q109" i="14"/>
  <c r="U109" i="14" s="1"/>
  <c r="V109" i="14" s="1"/>
  <c r="U276" i="14"/>
  <c r="V276" i="14" s="1"/>
  <c r="N280" i="14"/>
  <c r="N282" i="14" s="1"/>
  <c r="O196" i="14"/>
  <c r="O282" i="14" s="1"/>
  <c r="Q295" i="14" s="1"/>
  <c r="B54" i="16" s="1"/>
  <c r="U274" i="14"/>
  <c r="V274" i="14" s="1"/>
  <c r="M290" i="14"/>
  <c r="N295" i="14"/>
  <c r="U202" i="14"/>
  <c r="R280" i="14"/>
  <c r="R282" i="14" s="1"/>
  <c r="R294" i="14" s="1"/>
  <c r="R297" i="14" s="1"/>
  <c r="B58" i="16" s="1"/>
  <c r="F58" i="16" s="1"/>
  <c r="U97" i="14"/>
  <c r="V97" i="14" s="1"/>
  <c r="U100" i="14"/>
  <c r="V100" i="14" s="1"/>
  <c r="U79" i="14"/>
  <c r="V79" i="14" s="1"/>
  <c r="Q89" i="14"/>
  <c r="U44" i="14"/>
  <c r="V44" i="14" s="1"/>
  <c r="P46" i="14"/>
  <c r="U46" i="14" s="1"/>
  <c r="V46" i="14" s="1"/>
  <c r="Q103" i="14"/>
  <c r="U103" i="14" s="1"/>
  <c r="V103" i="14" s="1"/>
  <c r="M76" i="7"/>
  <c r="M75" i="7"/>
  <c r="M68" i="7"/>
  <c r="G58" i="7"/>
  <c r="G57" i="7"/>
  <c r="Q196" i="14" l="1"/>
  <c r="Q282" i="14" s="1"/>
  <c r="Q294" i="14" s="1"/>
  <c r="M291" i="14"/>
  <c r="P49" i="14"/>
  <c r="P282" i="14" s="1"/>
  <c r="N294" i="14" s="1"/>
  <c r="B46" i="16" s="1"/>
  <c r="U295" i="14"/>
  <c r="B47" i="16"/>
  <c r="D81" i="16"/>
  <c r="D82" i="16" s="1"/>
  <c r="Q286" i="14"/>
  <c r="U49" i="14"/>
  <c r="Q297" i="14"/>
  <c r="B53" i="16"/>
  <c r="B55" i="16" s="1"/>
  <c r="N296" i="14"/>
  <c r="U89" i="14"/>
  <c r="V89" i="14" s="1"/>
  <c r="U196" i="14"/>
  <c r="V196" i="14" s="1"/>
  <c r="V58" i="14"/>
  <c r="U280" i="14"/>
  <c r="V202" i="14"/>
  <c r="U296" i="14" l="1"/>
  <c r="U297" i="14" s="1"/>
  <c r="U300" i="14" s="1"/>
  <c r="B48" i="16"/>
  <c r="U294" i="14"/>
  <c r="U282" i="14"/>
  <c r="U284" i="14" s="1"/>
  <c r="U286" i="14" s="1"/>
  <c r="D80" i="16"/>
  <c r="B49" i="16"/>
  <c r="F49" i="16" s="1"/>
  <c r="F55" i="16"/>
  <c r="N297" i="14"/>
  <c r="G18" i="7"/>
  <c r="B63" i="16" l="1"/>
  <c r="B74" i="16" s="1"/>
  <c r="F63" i="16"/>
  <c r="F65" i="16" s="1"/>
  <c r="G65" i="16" s="1"/>
  <c r="G17" i="7"/>
  <c r="M16" i="7"/>
  <c r="G68" i="7"/>
  <c r="E102" i="7"/>
  <c r="E101" i="7"/>
  <c r="E100" i="7"/>
  <c r="E99" i="7"/>
  <c r="E98" i="7"/>
  <c r="E97" i="7"/>
  <c r="E96" i="7"/>
  <c r="E95" i="7"/>
  <c r="D195" i="11"/>
  <c r="D194" i="11"/>
  <c r="G96" i="7"/>
  <c r="E84" i="7"/>
  <c r="E79" i="7"/>
  <c r="E55" i="7"/>
  <c r="E54" i="7"/>
  <c r="E52" i="7"/>
  <c r="E50" i="7"/>
  <c r="E49" i="7"/>
  <c r="E48" i="7"/>
  <c r="E47" i="7"/>
  <c r="E45" i="7"/>
  <c r="D193" i="11"/>
  <c r="E193" i="11" s="1"/>
  <c r="D192" i="11"/>
  <c r="D191" i="11"/>
  <c r="D190" i="11"/>
  <c r="D189" i="11"/>
  <c r="E189" i="11" s="1"/>
  <c r="D187" i="11"/>
  <c r="D186" i="11"/>
  <c r="D185" i="11"/>
  <c r="D183" i="11"/>
  <c r="D182" i="11"/>
  <c r="D181" i="11"/>
  <c r="D180" i="11"/>
  <c r="D179" i="11"/>
  <c r="D178" i="11"/>
  <c r="D177" i="11"/>
  <c r="D176" i="11"/>
  <c r="D175" i="11"/>
  <c r="D174" i="11"/>
  <c r="D171" i="11"/>
  <c r="D170" i="11"/>
  <c r="D169" i="11"/>
  <c r="D168" i="11"/>
  <c r="D167" i="11"/>
  <c r="D166" i="11"/>
  <c r="E166" i="11" s="1"/>
  <c r="D165" i="11"/>
  <c r="E165" i="11" s="1"/>
  <c r="D164" i="11"/>
  <c r="E164" i="11" s="1"/>
  <c r="D163" i="11"/>
  <c r="D162" i="11"/>
  <c r="E162" i="11" s="1"/>
  <c r="D161" i="11"/>
  <c r="D160" i="11"/>
  <c r="E160" i="11" s="1"/>
  <c r="D159" i="11"/>
  <c r="E159" i="11" s="1"/>
  <c r="D158" i="11"/>
  <c r="D157" i="11"/>
  <c r="D156" i="11"/>
  <c r="D155" i="11"/>
  <c r="E155" i="11" s="1"/>
  <c r="D154" i="11"/>
  <c r="D153" i="11"/>
  <c r="D73" i="7" s="1"/>
  <c r="D152" i="11"/>
  <c r="D72" i="7" s="1"/>
  <c r="D151" i="11"/>
  <c r="D71" i="7" s="1"/>
  <c r="D150" i="11"/>
  <c r="D70" i="7" s="1"/>
  <c r="D149" i="11"/>
  <c r="D69" i="7" s="1"/>
  <c r="D148" i="11"/>
  <c r="D68" i="7" s="1"/>
  <c r="D147" i="11"/>
  <c r="D67" i="7" s="1"/>
  <c r="D146" i="11"/>
  <c r="D66" i="7" s="1"/>
  <c r="D145" i="11"/>
  <c r="D65" i="7" s="1"/>
  <c r="D144" i="11"/>
  <c r="D64" i="7" s="1"/>
  <c r="D143" i="11"/>
  <c r="D63" i="7" s="1"/>
  <c r="D142" i="11"/>
  <c r="D62" i="7" s="1"/>
  <c r="D141" i="11"/>
  <c r="E141" i="11" s="1"/>
  <c r="D140" i="11"/>
  <c r="D61" i="7" s="1"/>
  <c r="D139" i="11"/>
  <c r="D60" i="7" s="1"/>
  <c r="D136" i="11"/>
  <c r="E136" i="11" s="1"/>
  <c r="D135" i="11"/>
  <c r="E135" i="11" s="1"/>
  <c r="D134" i="11"/>
  <c r="D59" i="7" s="1"/>
  <c r="D133" i="11"/>
  <c r="D58" i="7" s="1"/>
  <c r="D132" i="11"/>
  <c r="D57" i="7" s="1"/>
  <c r="D131" i="11"/>
  <c r="D56" i="7" s="1"/>
  <c r="D127" i="11"/>
  <c r="E127" i="11" s="1"/>
  <c r="D126" i="11"/>
  <c r="E126" i="11" s="1"/>
  <c r="D125" i="11"/>
  <c r="E125" i="11" s="1"/>
  <c r="D124" i="11"/>
  <c r="E124" i="11" s="1"/>
  <c r="D123" i="11"/>
  <c r="E123" i="11" s="1"/>
  <c r="D122" i="11"/>
  <c r="E122" i="11" s="1"/>
  <c r="D120" i="11"/>
  <c r="E120" i="11" s="1"/>
  <c r="D119" i="11"/>
  <c r="E119" i="11" s="1"/>
  <c r="D118" i="11"/>
  <c r="D55" i="7" s="1"/>
  <c r="D276" i="11"/>
  <c r="E276" i="11" s="1"/>
  <c r="D274" i="11"/>
  <c r="E274" i="11" s="1"/>
  <c r="D273" i="11"/>
  <c r="E273" i="11" s="1"/>
  <c r="D272" i="11"/>
  <c r="E272" i="11" s="1"/>
  <c r="D271" i="11"/>
  <c r="E271" i="11" s="1"/>
  <c r="D270" i="11"/>
  <c r="E270" i="11" s="1"/>
  <c r="D269" i="11"/>
  <c r="E269" i="11" s="1"/>
  <c r="D268" i="11"/>
  <c r="E268" i="11" s="1"/>
  <c r="D267" i="11"/>
  <c r="E267" i="11" s="1"/>
  <c r="D263" i="11"/>
  <c r="E263" i="11" s="1"/>
  <c r="D262" i="11"/>
  <c r="E262" i="11" s="1"/>
  <c r="D260" i="11"/>
  <c r="E260" i="11" s="1"/>
  <c r="D259" i="11"/>
  <c r="D258" i="11"/>
  <c r="D253" i="11"/>
  <c r="E253" i="11" s="1"/>
  <c r="D255" i="11"/>
  <c r="E255" i="11" s="1"/>
  <c r="D254" i="11"/>
  <c r="E254" i="11" s="1"/>
  <c r="D252" i="11"/>
  <c r="E252" i="11" s="1"/>
  <c r="D251" i="11"/>
  <c r="E251" i="11" s="1"/>
  <c r="D250" i="11"/>
  <c r="E250" i="11" s="1"/>
  <c r="D249" i="11"/>
  <c r="E249" i="11" s="1"/>
  <c r="D248" i="11"/>
  <c r="E248" i="11" s="1"/>
  <c r="D247" i="11"/>
  <c r="E247" i="11" s="1"/>
  <c r="D246" i="11"/>
  <c r="E246" i="11" s="1"/>
  <c r="D245" i="11"/>
  <c r="E245" i="11" s="1"/>
  <c r="D244" i="11"/>
  <c r="E244" i="11" s="1"/>
  <c r="D241" i="11"/>
  <c r="E241" i="11" s="1"/>
  <c r="D240" i="11"/>
  <c r="E240" i="11" s="1"/>
  <c r="D239" i="11"/>
  <c r="E239" i="11" s="1"/>
  <c r="D238" i="11"/>
  <c r="E238" i="11" s="1"/>
  <c r="D237" i="11"/>
  <c r="E237" i="11" s="1"/>
  <c r="D236" i="11"/>
  <c r="E236" i="11" s="1"/>
  <c r="D235" i="11"/>
  <c r="E235" i="11" s="1"/>
  <c r="D232" i="11"/>
  <c r="E232" i="11" s="1"/>
  <c r="D231" i="11"/>
  <c r="E231" i="11" s="1"/>
  <c r="D230" i="11"/>
  <c r="E230" i="11" s="1"/>
  <c r="D229" i="11"/>
  <c r="E229" i="11" s="1"/>
  <c r="D228" i="11"/>
  <c r="E228" i="11" s="1"/>
  <c r="D225" i="11"/>
  <c r="E225" i="11" s="1"/>
  <c r="D224" i="11"/>
  <c r="E224" i="11" s="1"/>
  <c r="D223" i="11"/>
  <c r="E223" i="11" s="1"/>
  <c r="D222" i="11"/>
  <c r="E222" i="11" s="1"/>
  <c r="D219" i="11"/>
  <c r="E219" i="11" s="1"/>
  <c r="D218" i="11"/>
  <c r="E218" i="11" s="1"/>
  <c r="D217" i="11"/>
  <c r="E217" i="11" s="1"/>
  <c r="D216" i="11"/>
  <c r="E216" i="11" s="1"/>
  <c r="D213" i="11"/>
  <c r="E213" i="11" s="1"/>
  <c r="D212" i="11"/>
  <c r="E212" i="11" s="1"/>
  <c r="D211" i="11"/>
  <c r="E211" i="11" s="1"/>
  <c r="D210" i="11"/>
  <c r="E210" i="11" s="1"/>
  <c r="D209" i="11"/>
  <c r="E209" i="11" s="1"/>
  <c r="D206" i="11"/>
  <c r="E206" i="11" s="1"/>
  <c r="D205" i="11"/>
  <c r="E205" i="11" s="1"/>
  <c r="D204" i="11"/>
  <c r="E204" i="11" s="1"/>
  <c r="D203" i="11"/>
  <c r="E203" i="11" s="1"/>
  <c r="D202" i="11"/>
  <c r="E202" i="11" s="1"/>
  <c r="E32" i="7"/>
  <c r="E31" i="7"/>
  <c r="D116" i="11"/>
  <c r="D54" i="7" s="1"/>
  <c r="D111" i="11"/>
  <c r="D52" i="7" s="1"/>
  <c r="F52" i="7" s="1"/>
  <c r="D110" i="11"/>
  <c r="D51" i="7" s="1"/>
  <c r="F51" i="7" s="1"/>
  <c r="D109" i="11"/>
  <c r="D108" i="11"/>
  <c r="D107" i="11"/>
  <c r="D105" i="11"/>
  <c r="D104" i="11"/>
  <c r="D103" i="11"/>
  <c r="D102" i="11"/>
  <c r="E102" i="11" s="1"/>
  <c r="D101" i="11"/>
  <c r="D100" i="11"/>
  <c r="D99" i="11"/>
  <c r="D98" i="11"/>
  <c r="E98" i="11" s="1"/>
  <c r="D97" i="11"/>
  <c r="D96" i="11"/>
  <c r="D95" i="11"/>
  <c r="D94" i="11"/>
  <c r="D93" i="11"/>
  <c r="D92" i="11"/>
  <c r="D91" i="11"/>
  <c r="D90" i="11"/>
  <c r="D89" i="11"/>
  <c r="E89" i="11" s="1"/>
  <c r="D88" i="11"/>
  <c r="D33" i="7" s="1"/>
  <c r="D85" i="11"/>
  <c r="D84" i="11"/>
  <c r="E84" i="11" s="1"/>
  <c r="D83" i="11"/>
  <c r="D82" i="11"/>
  <c r="D81" i="11"/>
  <c r="D80" i="11"/>
  <c r="D79" i="11"/>
  <c r="D78" i="11"/>
  <c r="D77" i="11"/>
  <c r="D76" i="11"/>
  <c r="D74" i="11"/>
  <c r="E74" i="11" s="1"/>
  <c r="D73" i="11"/>
  <c r="E73" i="11" s="1"/>
  <c r="D72" i="11"/>
  <c r="E72" i="11" s="1"/>
  <c r="D70" i="11"/>
  <c r="E70" i="11" s="1"/>
  <c r="D69" i="11"/>
  <c r="E69" i="11" s="1"/>
  <c r="D68" i="11"/>
  <c r="E68" i="11" s="1"/>
  <c r="D67" i="11"/>
  <c r="E67" i="11" s="1"/>
  <c r="D66" i="11"/>
  <c r="E66" i="11" s="1"/>
  <c r="D64" i="11"/>
  <c r="E64" i="11" s="1"/>
  <c r="D63" i="11"/>
  <c r="E63" i="11" s="1"/>
  <c r="D61" i="11"/>
  <c r="E61" i="11" s="1"/>
  <c r="D60" i="11"/>
  <c r="D58" i="11"/>
  <c r="D56" i="11"/>
  <c r="E56" i="11" s="1"/>
  <c r="D55" i="11"/>
  <c r="E55" i="11" s="1"/>
  <c r="D54" i="11"/>
  <c r="E54" i="11" s="1"/>
  <c r="D48" i="11"/>
  <c r="D18" i="7" s="1"/>
  <c r="D47" i="11"/>
  <c r="D17" i="7" s="1"/>
  <c r="D46" i="11"/>
  <c r="E46" i="11" s="1"/>
  <c r="E21" i="7"/>
  <c r="E3" i="7"/>
  <c r="E20" i="7"/>
  <c r="C49" i="11"/>
  <c r="B65" i="16" l="1"/>
  <c r="F55" i="7"/>
  <c r="D31" i="7"/>
  <c r="F31" i="7" s="1"/>
  <c r="E258" i="11"/>
  <c r="D77" i="7"/>
  <c r="E158" i="11"/>
  <c r="E83" i="11"/>
  <c r="D29" i="7"/>
  <c r="E93" i="11"/>
  <c r="D37" i="7"/>
  <c r="E101" i="11"/>
  <c r="D44" i="7"/>
  <c r="P51" i="7"/>
  <c r="D32" i="7"/>
  <c r="F32" i="7" s="1"/>
  <c r="E259" i="11"/>
  <c r="D83" i="7"/>
  <c r="E167" i="11"/>
  <c r="D88" i="7"/>
  <c r="E177" i="11"/>
  <c r="D96" i="7"/>
  <c r="F96" i="7" s="1"/>
  <c r="E186" i="11"/>
  <c r="E76" i="11"/>
  <c r="D22" i="7"/>
  <c r="E94" i="11"/>
  <c r="D38" i="7"/>
  <c r="D84" i="7"/>
  <c r="F84" i="7" s="1"/>
  <c r="E168" i="11"/>
  <c r="D89" i="7"/>
  <c r="E178" i="11"/>
  <c r="D97" i="7"/>
  <c r="F97" i="7" s="1"/>
  <c r="E187" i="11"/>
  <c r="E82" i="11"/>
  <c r="D28" i="7"/>
  <c r="D95" i="7"/>
  <c r="F95" i="7" s="1"/>
  <c r="E185" i="11"/>
  <c r="E77" i="11"/>
  <c r="D23" i="7"/>
  <c r="E95" i="11"/>
  <c r="D39" i="7"/>
  <c r="F54" i="7"/>
  <c r="E78" i="11"/>
  <c r="D24" i="7"/>
  <c r="E104" i="11"/>
  <c r="D46" i="7"/>
  <c r="F46" i="7" s="1"/>
  <c r="D74" i="7"/>
  <c r="E154" i="11"/>
  <c r="D78" i="7"/>
  <c r="E170" i="11"/>
  <c r="D91" i="7"/>
  <c r="E180" i="11"/>
  <c r="D98" i="7"/>
  <c r="F98" i="7" s="1"/>
  <c r="E190" i="11"/>
  <c r="D102" i="7"/>
  <c r="F102" i="7" s="1"/>
  <c r="E195" i="11"/>
  <c r="E58" i="11"/>
  <c r="D20" i="7"/>
  <c r="E79" i="11"/>
  <c r="D25" i="7"/>
  <c r="E97" i="11"/>
  <c r="D41" i="7"/>
  <c r="E105" i="11"/>
  <c r="D47" i="7"/>
  <c r="F47" i="7" s="1"/>
  <c r="D82" i="7"/>
  <c r="E163" i="11"/>
  <c r="D81" i="7"/>
  <c r="E171" i="11"/>
  <c r="D92" i="7"/>
  <c r="E181" i="11"/>
  <c r="D99" i="7"/>
  <c r="F99" i="7" s="1"/>
  <c r="E191" i="11"/>
  <c r="E92" i="11"/>
  <c r="D36" i="7"/>
  <c r="E109" i="11"/>
  <c r="D50" i="7"/>
  <c r="F50" i="7" s="1"/>
  <c r="E85" i="11"/>
  <c r="D30" i="7"/>
  <c r="D79" i="7"/>
  <c r="F79" i="7" s="1"/>
  <c r="E169" i="11"/>
  <c r="D101" i="7"/>
  <c r="F101" i="7" s="1"/>
  <c r="E194" i="11"/>
  <c r="E60" i="11"/>
  <c r="D21" i="7"/>
  <c r="E80" i="11"/>
  <c r="D26" i="7"/>
  <c r="E90" i="11"/>
  <c r="D34" i="7"/>
  <c r="E107" i="11"/>
  <c r="D48" i="7"/>
  <c r="F48" i="7" s="1"/>
  <c r="D75" i="7"/>
  <c r="E156" i="11"/>
  <c r="D85" i="7"/>
  <c r="E174" i="11"/>
  <c r="D93" i="7"/>
  <c r="E182" i="11"/>
  <c r="D100" i="7"/>
  <c r="F100" i="7" s="1"/>
  <c r="E192" i="11"/>
  <c r="E100" i="11"/>
  <c r="D43" i="7"/>
  <c r="D87" i="7"/>
  <c r="E176" i="11"/>
  <c r="E103" i="11"/>
  <c r="D45" i="7"/>
  <c r="F45" i="7" s="1"/>
  <c r="D80" i="7"/>
  <c r="E161" i="11"/>
  <c r="D90" i="7"/>
  <c r="E179" i="11"/>
  <c r="E96" i="11"/>
  <c r="D40" i="7"/>
  <c r="E81" i="11"/>
  <c r="D27" i="7"/>
  <c r="E91" i="11"/>
  <c r="D35" i="7"/>
  <c r="E99" i="11"/>
  <c r="D42" i="7"/>
  <c r="E108" i="11"/>
  <c r="D49" i="7"/>
  <c r="F49" i="7" s="1"/>
  <c r="P56" i="7"/>
  <c r="D76" i="7"/>
  <c r="E157" i="11"/>
  <c r="D86" i="7"/>
  <c r="E175" i="11"/>
  <c r="D94" i="7"/>
  <c r="E183" i="11"/>
  <c r="E131" i="11"/>
  <c r="E149" i="11"/>
  <c r="E48" i="11"/>
  <c r="E110" i="11"/>
  <c r="E132" i="11"/>
  <c r="E142" i="11"/>
  <c r="E150" i="11"/>
  <c r="E111" i="11"/>
  <c r="E133" i="11"/>
  <c r="E143" i="11"/>
  <c r="E151" i="11"/>
  <c r="E134" i="11"/>
  <c r="E152" i="11"/>
  <c r="E153" i="11"/>
  <c r="E146" i="11"/>
  <c r="E47" i="11"/>
  <c r="E116" i="11"/>
  <c r="E144" i="11"/>
  <c r="E145" i="11"/>
  <c r="E139" i="11"/>
  <c r="E147" i="11"/>
  <c r="E88" i="11"/>
  <c r="E118" i="11"/>
  <c r="E140" i="11"/>
  <c r="E148" i="11"/>
  <c r="F20" i="7" l="1"/>
  <c r="F21" i="7"/>
  <c r="P21" i="7"/>
  <c r="D104" i="7"/>
  <c r="P46" i="7"/>
  <c r="H46" i="7"/>
  <c r="P79" i="7"/>
  <c r="P96" i="7"/>
  <c r="H96" i="7"/>
  <c r="H51" i="7"/>
  <c r="G21" i="7"/>
  <c r="G55" i="7"/>
  <c r="C50" i="4"/>
  <c r="C49" i="4"/>
  <c r="C47" i="4"/>
  <c r="C46" i="4"/>
  <c r="G76" i="7" s="1"/>
  <c r="C45" i="4"/>
  <c r="C43" i="4"/>
  <c r="G80" i="7" s="1"/>
  <c r="C42" i="4"/>
  <c r="C41" i="4"/>
  <c r="G83" i="7" s="1"/>
  <c r="C40" i="4"/>
  <c r="C38" i="4"/>
  <c r="C37" i="4"/>
  <c r="G75" i="7" s="1"/>
  <c r="C36" i="4"/>
  <c r="G74" i="7" s="1"/>
  <c r="G84" i="7" l="1"/>
  <c r="G81" i="7"/>
  <c r="G82" i="7"/>
  <c r="G78" i="7"/>
  <c r="G77" i="7"/>
  <c r="G79" i="7"/>
  <c r="H79" i="7" s="1"/>
  <c r="M128" i="7"/>
  <c r="M127" i="7"/>
  <c r="M126" i="7"/>
  <c r="M124" i="7"/>
  <c r="M123" i="7"/>
  <c r="M122" i="7"/>
  <c r="M121" i="7"/>
  <c r="M119" i="7"/>
  <c r="M118" i="7"/>
  <c r="M117" i="7"/>
  <c r="M116" i="7"/>
  <c r="M115" i="7"/>
  <c r="M102" i="7"/>
  <c r="M101" i="7"/>
  <c r="M100" i="7"/>
  <c r="M99" i="7"/>
  <c r="M98" i="7"/>
  <c r="M97" i="7"/>
  <c r="M95" i="7"/>
  <c r="M94" i="7"/>
  <c r="M93" i="7"/>
  <c r="M92" i="7"/>
  <c r="M91" i="7"/>
  <c r="M90" i="7"/>
  <c r="M89" i="7"/>
  <c r="M88" i="7"/>
  <c r="M87" i="7"/>
  <c r="M86" i="7"/>
  <c r="M85" i="7"/>
  <c r="M84" i="7"/>
  <c r="M83" i="7"/>
  <c r="M82" i="7"/>
  <c r="M80" i="7"/>
  <c r="M77" i="7"/>
  <c r="M74" i="7"/>
  <c r="M73" i="7"/>
  <c r="M72" i="7"/>
  <c r="M71" i="7"/>
  <c r="M70" i="7"/>
  <c r="M69" i="7"/>
  <c r="M67" i="7"/>
  <c r="M66" i="7"/>
  <c r="M65" i="7"/>
  <c r="M62" i="7"/>
  <c r="M63" i="7" s="1"/>
  <c r="M61" i="7"/>
  <c r="M60" i="7"/>
  <c r="M59" i="7"/>
  <c r="M58" i="7"/>
  <c r="M57" i="7"/>
  <c r="M55" i="7"/>
  <c r="M54" i="7"/>
  <c r="M52" i="7"/>
  <c r="P52" i="7" s="1"/>
  <c r="M50" i="7"/>
  <c r="P50" i="7" s="1"/>
  <c r="M49" i="7"/>
  <c r="P49" i="7" s="1"/>
  <c r="M48" i="7"/>
  <c r="P48" i="7" s="1"/>
  <c r="M47" i="7"/>
  <c r="P47" i="7" s="1"/>
  <c r="M45" i="7"/>
  <c r="P45" i="7" s="1"/>
  <c r="M42" i="7"/>
  <c r="M43" i="7" s="1"/>
  <c r="M40" i="7"/>
  <c r="M41" i="7" s="1"/>
  <c r="M37" i="7"/>
  <c r="M39" i="7" s="1"/>
  <c r="M34" i="7"/>
  <c r="M36" i="7" s="1"/>
  <c r="M33" i="7"/>
  <c r="M114" i="7"/>
  <c r="M113" i="7"/>
  <c r="M112" i="7"/>
  <c r="M111" i="7"/>
  <c r="G114" i="7"/>
  <c r="G113" i="7"/>
  <c r="G111" i="7"/>
  <c r="G112" i="7" s="1"/>
  <c r="M32" i="7"/>
  <c r="P32" i="7" s="1"/>
  <c r="M31" i="7"/>
  <c r="P31" i="7" s="1"/>
  <c r="M30" i="7"/>
  <c r="M29" i="7"/>
  <c r="P29" i="7" s="1"/>
  <c r="M28" i="7"/>
  <c r="P28" i="7" s="1"/>
  <c r="M27" i="7"/>
  <c r="P27" i="7" s="1"/>
  <c r="M26" i="7"/>
  <c r="P26" i="7" s="1"/>
  <c r="M25" i="7"/>
  <c r="M24" i="7"/>
  <c r="P24" i="7" s="1"/>
  <c r="M23" i="7"/>
  <c r="P23" i="7" s="1"/>
  <c r="M22" i="7"/>
  <c r="P22" i="7" s="1"/>
  <c r="M20" i="7"/>
  <c r="P20" i="7" s="1"/>
  <c r="M110" i="7"/>
  <c r="M109" i="7"/>
  <c r="M18" i="7"/>
  <c r="M17" i="7"/>
  <c r="M15" i="7"/>
  <c r="M14" i="7"/>
  <c r="M13" i="7"/>
  <c r="M12" i="7"/>
  <c r="M11" i="7"/>
  <c r="M10" i="7"/>
  <c r="M9" i="7"/>
  <c r="M8" i="7"/>
  <c r="M7" i="7"/>
  <c r="M6" i="7"/>
  <c r="M5" i="7"/>
  <c r="M4" i="7"/>
  <c r="M3" i="7"/>
  <c r="M44" i="7" l="1"/>
  <c r="M64" i="7"/>
  <c r="M35" i="7"/>
  <c r="M38" i="7"/>
  <c r="D112" i="11" l="1"/>
  <c r="D45" i="11"/>
  <c r="D44" i="11"/>
  <c r="E44" i="11" s="1"/>
  <c r="D43" i="11"/>
  <c r="D15" i="7" s="1"/>
  <c r="D42" i="11"/>
  <c r="D14" i="7" s="1"/>
  <c r="D41" i="11"/>
  <c r="D13" i="7" s="1"/>
  <c r="D40" i="11"/>
  <c r="D12" i="7" s="1"/>
  <c r="D39" i="11"/>
  <c r="D11" i="7" s="1"/>
  <c r="D38" i="11"/>
  <c r="D10" i="7" s="1"/>
  <c r="D37" i="11"/>
  <c r="D9" i="7" s="1"/>
  <c r="D36" i="11"/>
  <c r="D8" i="7" s="1"/>
  <c r="D35" i="11"/>
  <c r="D7" i="7" s="1"/>
  <c r="D34" i="11"/>
  <c r="D6" i="7" s="1"/>
  <c r="D33" i="11"/>
  <c r="D5" i="7" s="1"/>
  <c r="D32" i="11"/>
  <c r="D28" i="11"/>
  <c r="E28" i="11" s="1"/>
  <c r="D27" i="11"/>
  <c r="E27" i="11" s="1"/>
  <c r="D26" i="11"/>
  <c r="E26" i="11" s="1"/>
  <c r="D24" i="11"/>
  <c r="E24" i="11" s="1"/>
  <c r="D23" i="11"/>
  <c r="E23" i="11" s="1"/>
  <c r="D22" i="11"/>
  <c r="E22" i="11" s="1"/>
  <c r="D21" i="11"/>
  <c r="E21" i="11" s="1"/>
  <c r="D18" i="11"/>
  <c r="E18" i="11" s="1"/>
  <c r="D17" i="11"/>
  <c r="E17" i="11" s="1"/>
  <c r="D16" i="11"/>
  <c r="E16" i="11" s="1"/>
  <c r="D15" i="11"/>
  <c r="E15" i="11" s="1"/>
  <c r="D14" i="11"/>
  <c r="E14" i="11" s="1"/>
  <c r="D13" i="11"/>
  <c r="E13" i="11" s="1"/>
  <c r="D12" i="11"/>
  <c r="D3" i="7" s="1"/>
  <c r="F3" i="7" s="1"/>
  <c r="D10" i="11"/>
  <c r="E10" i="11" s="1"/>
  <c r="D8" i="11"/>
  <c r="E8" i="11" s="1"/>
  <c r="D7" i="11"/>
  <c r="E7" i="11" s="1"/>
  <c r="D6" i="11"/>
  <c r="E6" i="11" s="1"/>
  <c r="P11" i="7" l="1"/>
  <c r="E32" i="11"/>
  <c r="D4" i="7"/>
  <c r="P12" i="7"/>
  <c r="P5" i="7"/>
  <c r="P13" i="7"/>
  <c r="P6" i="7"/>
  <c r="P14" i="7"/>
  <c r="P7" i="7"/>
  <c r="P15" i="7"/>
  <c r="P8" i="7"/>
  <c r="P9" i="7"/>
  <c r="E45" i="11"/>
  <c r="D16" i="7"/>
  <c r="P3" i="7"/>
  <c r="P10" i="7"/>
  <c r="E33" i="11"/>
  <c r="E41" i="11"/>
  <c r="E12" i="11"/>
  <c r="E34" i="11"/>
  <c r="E42" i="11"/>
  <c r="E39" i="11"/>
  <c r="E40" i="11"/>
  <c r="E43" i="11"/>
  <c r="E36" i="11"/>
  <c r="E37" i="11"/>
  <c r="E35" i="11"/>
  <c r="E38" i="11"/>
  <c r="D49" i="11"/>
  <c r="P4" i="7" l="1"/>
  <c r="P16" i="7"/>
  <c r="E49" i="11"/>
  <c r="T19" i="7" l="1"/>
  <c r="W19" i="7"/>
  <c r="G124" i="7" l="1"/>
  <c r="H124" i="7" s="1"/>
  <c r="G123" i="7"/>
  <c r="H123" i="7" s="1"/>
  <c r="G122" i="7"/>
  <c r="H122" i="7" s="1"/>
  <c r="G121" i="7"/>
  <c r="H121" i="7" s="1"/>
  <c r="G56" i="7" l="1"/>
  <c r="G128" i="7"/>
  <c r="G127" i="7"/>
  <c r="G126" i="7"/>
  <c r="G125" i="7"/>
  <c r="G119" i="7"/>
  <c r="F119" i="7"/>
  <c r="G4" i="7"/>
  <c r="G3" i="7"/>
  <c r="H3" i="7" s="1"/>
  <c r="D19" i="7"/>
  <c r="G102" i="7"/>
  <c r="H102" i="7" s="1"/>
  <c r="G101" i="7"/>
  <c r="G100" i="7"/>
  <c r="G99" i="7"/>
  <c r="G98" i="7"/>
  <c r="G97" i="7"/>
  <c r="G95" i="7"/>
  <c r="G91" i="7"/>
  <c r="G92" i="7"/>
  <c r="G93" i="7"/>
  <c r="G94" i="7"/>
  <c r="G90" i="7"/>
  <c r="G89" i="7"/>
  <c r="G88" i="7"/>
  <c r="G86" i="7"/>
  <c r="G87" i="7"/>
  <c r="G85" i="7"/>
  <c r="G70" i="7"/>
  <c r="G71" i="7"/>
  <c r="G72" i="7"/>
  <c r="G73" i="7"/>
  <c r="G69" i="7"/>
  <c r="G66" i="7"/>
  <c r="G67" i="7"/>
  <c r="G65" i="7"/>
  <c r="G64" i="7"/>
  <c r="G63" i="7"/>
  <c r="G62" i="7"/>
  <c r="G61" i="7"/>
  <c r="G60" i="7"/>
  <c r="G54" i="7"/>
  <c r="G52" i="7"/>
  <c r="H52" i="7" s="1"/>
  <c r="G118" i="7"/>
  <c r="G50" i="7"/>
  <c r="H50" i="7" s="1"/>
  <c r="G49" i="7"/>
  <c r="H49" i="7" s="1"/>
  <c r="G47" i="7"/>
  <c r="H47" i="7" s="1"/>
  <c r="G117" i="7"/>
  <c r="G43" i="7"/>
  <c r="G44" i="7"/>
  <c r="G116" i="7"/>
  <c r="G42" i="7"/>
  <c r="G41" i="7"/>
  <c r="G115" i="7"/>
  <c r="G40" i="7"/>
  <c r="G38" i="7"/>
  <c r="G39" i="7"/>
  <c r="G37" i="7"/>
  <c r="G35" i="7"/>
  <c r="G36" i="7"/>
  <c r="G34" i="7"/>
  <c r="G45" i="7"/>
  <c r="H45" i="7" s="1"/>
  <c r="G48" i="7"/>
  <c r="H48" i="7" s="1"/>
  <c r="G33" i="7"/>
  <c r="G32" i="7"/>
  <c r="G31" i="7"/>
  <c r="G29" i="7"/>
  <c r="G28" i="7"/>
  <c r="G27" i="7"/>
  <c r="G26" i="7"/>
  <c r="G25" i="7"/>
  <c r="G24" i="7"/>
  <c r="G23" i="7"/>
  <c r="G22" i="7"/>
  <c r="G20" i="7"/>
  <c r="G110" i="7"/>
  <c r="G16" i="7"/>
  <c r="G109" i="7"/>
  <c r="G15" i="7"/>
  <c r="G14" i="7"/>
  <c r="G13" i="7"/>
  <c r="G12" i="7"/>
  <c r="G11" i="7"/>
  <c r="G10" i="7"/>
  <c r="G9" i="7"/>
  <c r="G7" i="7"/>
  <c r="G8" i="7"/>
  <c r="G6" i="7"/>
  <c r="G5" i="7"/>
  <c r="P99" i="7" l="1"/>
  <c r="P98" i="7"/>
  <c r="P100" i="7"/>
  <c r="P102" i="7" l="1"/>
  <c r="P101" i="7"/>
  <c r="P55" i="7"/>
  <c r="P84" i="7"/>
  <c r="P95" i="7"/>
  <c r="P97" i="7"/>
  <c r="P54" i="7"/>
  <c r="H97" i="7"/>
  <c r="H95" i="7"/>
  <c r="H84" i="7"/>
  <c r="H99" i="7"/>
  <c r="H100" i="7"/>
  <c r="C62" i="4"/>
  <c r="H101" i="7" l="1"/>
  <c r="H98" i="7"/>
  <c r="H119" i="7" l="1"/>
  <c r="C3" i="4" l="1"/>
  <c r="C4" i="4"/>
  <c r="C5" i="4"/>
  <c r="C6" i="4"/>
  <c r="E94" i="7" l="1"/>
  <c r="F94" i="7" s="1"/>
  <c r="E73" i="7"/>
  <c r="F73" i="7" s="1"/>
  <c r="E83" i="7"/>
  <c r="F83" i="7" s="1"/>
  <c r="E82" i="7"/>
  <c r="F82" i="7" s="1"/>
  <c r="E57" i="7"/>
  <c r="E18" i="7"/>
  <c r="F18" i="7" s="1"/>
  <c r="P18" i="7" s="1"/>
  <c r="E89" i="7"/>
  <c r="F89" i="7" s="1"/>
  <c r="E80" i="7"/>
  <c r="F80" i="7" s="1"/>
  <c r="E38" i="7"/>
  <c r="F38" i="7" s="1"/>
  <c r="P38" i="7" s="1"/>
  <c r="E86" i="7"/>
  <c r="F86" i="7" s="1"/>
  <c r="E66" i="7"/>
  <c r="F66" i="7" s="1"/>
  <c r="E91" i="7"/>
  <c r="F91" i="7" s="1"/>
  <c r="E41" i="7"/>
  <c r="F41" i="7" s="1"/>
  <c r="P41" i="7" s="1"/>
  <c r="E70" i="7"/>
  <c r="F70" i="7" s="1"/>
  <c r="E63" i="7"/>
  <c r="E43" i="7"/>
  <c r="F43" i="7" s="1"/>
  <c r="P43" i="7" s="1"/>
  <c r="E35" i="7"/>
  <c r="F35" i="7" s="1"/>
  <c r="P35" i="7" s="1"/>
  <c r="E58" i="7"/>
  <c r="E39" i="7"/>
  <c r="F39" i="7" s="1"/>
  <c r="P39" i="7" s="1"/>
  <c r="E87" i="7"/>
  <c r="F87" i="7" s="1"/>
  <c r="E67" i="7"/>
  <c r="F67" i="7" s="1"/>
  <c r="E44" i="7"/>
  <c r="F44" i="7" s="1"/>
  <c r="P44" i="7" s="1"/>
  <c r="E36" i="7"/>
  <c r="F36" i="7" s="1"/>
  <c r="P36" i="7" s="1"/>
  <c r="E92" i="7"/>
  <c r="F92" i="7" s="1"/>
  <c r="E71" i="7"/>
  <c r="F71" i="7" s="1"/>
  <c r="E64" i="7"/>
  <c r="E59" i="7"/>
  <c r="E68" i="7"/>
  <c r="F68" i="7" s="1"/>
  <c r="E93" i="7"/>
  <c r="F93" i="7" s="1"/>
  <c r="E72" i="7"/>
  <c r="F72" i="7" s="1"/>
  <c r="P66" i="7"/>
  <c r="H55" i="7"/>
  <c r="E5" i="4"/>
  <c r="D4" i="4"/>
  <c r="F4" i="4"/>
  <c r="H4" i="4"/>
  <c r="G5" i="4"/>
  <c r="D5" i="4"/>
  <c r="E4" i="4"/>
  <c r="G4" i="4"/>
  <c r="I4" i="4"/>
  <c r="D6" i="4"/>
  <c r="I6" i="4"/>
  <c r="F5" i="4"/>
  <c r="H5" i="4"/>
  <c r="I5" i="4"/>
  <c r="D3" i="4"/>
  <c r="E3" i="4"/>
  <c r="F3" i="4"/>
  <c r="G3" i="4"/>
  <c r="H3" i="4"/>
  <c r="I3" i="4"/>
  <c r="F57" i="7" l="1"/>
  <c r="P57" i="7" s="1"/>
  <c r="F64" i="7"/>
  <c r="P64" i="7" s="1"/>
  <c r="F58" i="7"/>
  <c r="P58" i="7" s="1"/>
  <c r="F59" i="7"/>
  <c r="P59" i="7" s="1"/>
  <c r="F63" i="7"/>
  <c r="P63" i="7" s="1"/>
  <c r="P68" i="7"/>
  <c r="H68" i="7"/>
  <c r="H91" i="7"/>
  <c r="P91" i="7"/>
  <c r="P73" i="7"/>
  <c r="H73" i="7"/>
  <c r="P70" i="7"/>
  <c r="H70" i="7"/>
  <c r="P89" i="7"/>
  <c r="H89" i="7"/>
  <c r="P67" i="7"/>
  <c r="H67" i="7"/>
  <c r="H87" i="7"/>
  <c r="P87" i="7"/>
  <c r="P72" i="7"/>
  <c r="H72" i="7"/>
  <c r="P92" i="7"/>
  <c r="H92" i="7"/>
  <c r="H94" i="7"/>
  <c r="P94" i="7"/>
  <c r="H80" i="7"/>
  <c r="P80" i="7"/>
  <c r="H82" i="7"/>
  <c r="P82" i="7"/>
  <c r="P71" i="7"/>
  <c r="H71" i="7"/>
  <c r="H86" i="7"/>
  <c r="P86" i="7"/>
  <c r="P93" i="7"/>
  <c r="H93" i="7"/>
  <c r="H6" i="4"/>
  <c r="G6" i="4"/>
  <c r="F6" i="4"/>
  <c r="E6" i="4"/>
  <c r="H55" i="4" l="1"/>
  <c r="H56" i="4"/>
  <c r="C57" i="4"/>
  <c r="D56" i="4"/>
  <c r="D55" i="4"/>
  <c r="C9" i="4"/>
  <c r="C8" i="4"/>
  <c r="E78" i="7" s="1"/>
  <c r="F78" i="7" s="1"/>
  <c r="C7" i="4"/>
  <c r="E57" i="4" l="1"/>
  <c r="B47" i="21"/>
  <c r="E77" i="7"/>
  <c r="F77" i="7" s="1"/>
  <c r="E76" i="7"/>
  <c r="F76" i="7" s="1"/>
  <c r="E81" i="7"/>
  <c r="F81" i="7" s="1"/>
  <c r="E69" i="7"/>
  <c r="F69" i="7" s="1"/>
  <c r="E61" i="7"/>
  <c r="E16" i="7"/>
  <c r="F16" i="7" s="1"/>
  <c r="E88" i="7"/>
  <c r="F88" i="7" s="1"/>
  <c r="E60" i="7"/>
  <c r="F60" i="7" s="1"/>
  <c r="E56" i="7"/>
  <c r="F56" i="7" s="1"/>
  <c r="E37" i="7"/>
  <c r="F37" i="7" s="1"/>
  <c r="P37" i="7" s="1"/>
  <c r="E75" i="7"/>
  <c r="F75" i="7" s="1"/>
  <c r="E30" i="7"/>
  <c r="F30" i="7" s="1"/>
  <c r="P30" i="7" s="1"/>
  <c r="E34" i="7"/>
  <c r="F34" i="7" s="1"/>
  <c r="P34" i="7" s="1"/>
  <c r="E65" i="7"/>
  <c r="E62" i="7"/>
  <c r="E40" i="7"/>
  <c r="F40" i="7" s="1"/>
  <c r="P40" i="7" s="1"/>
  <c r="E85" i="7"/>
  <c r="F85" i="7" s="1"/>
  <c r="E74" i="7"/>
  <c r="F74" i="7" s="1"/>
  <c r="E17" i="7"/>
  <c r="F17" i="7" s="1"/>
  <c r="P17" i="7" s="1"/>
  <c r="E42" i="7"/>
  <c r="F42" i="7" s="1"/>
  <c r="P42" i="7" s="1"/>
  <c r="E33" i="7"/>
  <c r="E90" i="7"/>
  <c r="F90" i="7" s="1"/>
  <c r="P78" i="7"/>
  <c r="H78" i="7"/>
  <c r="E111" i="7"/>
  <c r="F111" i="7" s="1"/>
  <c r="H111" i="7" s="1"/>
  <c r="E114" i="7"/>
  <c r="F114" i="7" s="1"/>
  <c r="H114" i="7" s="1"/>
  <c r="E113" i="7"/>
  <c r="F113" i="7" s="1"/>
  <c r="H113" i="7" s="1"/>
  <c r="E112" i="7"/>
  <c r="F112" i="7" s="1"/>
  <c r="H112" i="7" s="1"/>
  <c r="C60" i="4"/>
  <c r="D87" i="12"/>
  <c r="E87" i="12" s="1"/>
  <c r="E4" i="7"/>
  <c r="F4" i="7" s="1"/>
  <c r="E115" i="7"/>
  <c r="F115" i="7" s="1"/>
  <c r="H115" i="7" s="1"/>
  <c r="E116" i="7"/>
  <c r="F116" i="7" s="1"/>
  <c r="H116" i="7" s="1"/>
  <c r="E117" i="7"/>
  <c r="F117" i="7" s="1"/>
  <c r="H117" i="7" s="1"/>
  <c r="E126" i="7"/>
  <c r="F126" i="7" s="1"/>
  <c r="H126" i="7" s="1"/>
  <c r="E125" i="7"/>
  <c r="F125" i="7" s="1"/>
  <c r="H125" i="7" s="1"/>
  <c r="E120" i="7"/>
  <c r="F120" i="7" s="1"/>
  <c r="H120" i="7" s="1"/>
  <c r="E118" i="7"/>
  <c r="F118" i="7" s="1"/>
  <c r="H118" i="7" s="1"/>
  <c r="E127" i="7"/>
  <c r="F127" i="7" s="1"/>
  <c r="H127" i="7" s="1"/>
  <c r="E128" i="7"/>
  <c r="F128" i="7" s="1"/>
  <c r="H128" i="7" s="1"/>
  <c r="E24" i="7"/>
  <c r="F24" i="7" s="1"/>
  <c r="E26" i="7"/>
  <c r="F26" i="7" s="1"/>
  <c r="E28" i="7"/>
  <c r="F28" i="7" s="1"/>
  <c r="E22" i="7"/>
  <c r="F22" i="7" s="1"/>
  <c r="E10" i="7"/>
  <c r="F10" i="7" s="1"/>
  <c r="E12" i="7"/>
  <c r="F12" i="7" s="1"/>
  <c r="E14" i="7"/>
  <c r="F14" i="7" s="1"/>
  <c r="E109" i="7"/>
  <c r="F109" i="7" s="1"/>
  <c r="E110" i="7"/>
  <c r="F110" i="7" s="1"/>
  <c r="E23" i="7"/>
  <c r="F23" i="7" s="1"/>
  <c r="E25" i="7"/>
  <c r="F25" i="7" s="1"/>
  <c r="E27" i="7"/>
  <c r="F27" i="7" s="1"/>
  <c r="E29" i="7"/>
  <c r="F29" i="7" s="1"/>
  <c r="E11" i="7"/>
  <c r="F11" i="7" s="1"/>
  <c r="E13" i="7"/>
  <c r="F13" i="7" s="1"/>
  <c r="E15" i="7"/>
  <c r="F15" i="7" s="1"/>
  <c r="E9" i="7"/>
  <c r="F9" i="7" s="1"/>
  <c r="E6" i="7"/>
  <c r="F6" i="7" s="1"/>
  <c r="E8" i="7"/>
  <c r="F8" i="7" s="1"/>
  <c r="E7" i="7"/>
  <c r="F7" i="7" s="1"/>
  <c r="E5" i="7"/>
  <c r="F5" i="7" s="1"/>
  <c r="I8" i="4"/>
  <c r="H8" i="4"/>
  <c r="G8" i="4"/>
  <c r="F8" i="4"/>
  <c r="E8" i="4"/>
  <c r="D8" i="4"/>
  <c r="I7" i="4"/>
  <c r="D7" i="4"/>
  <c r="H7" i="4"/>
  <c r="G7" i="4"/>
  <c r="F7" i="4"/>
  <c r="E7" i="4"/>
  <c r="I9" i="4"/>
  <c r="H9" i="4"/>
  <c r="G9" i="4"/>
  <c r="F9" i="4"/>
  <c r="H59" i="7" s="1"/>
  <c r="E9" i="4"/>
  <c r="H58" i="7" s="1"/>
  <c r="D9" i="4"/>
  <c r="H57" i="7" s="1"/>
  <c r="H58" i="4"/>
  <c r="H60" i="4" s="1"/>
  <c r="D57" i="4"/>
  <c r="G41" i="21" l="1"/>
  <c r="G42" i="21" s="1"/>
  <c r="B41" i="21"/>
  <c r="D26" i="21"/>
  <c r="D27" i="21" s="1"/>
  <c r="C26" i="21"/>
  <c r="C27" i="21" s="1"/>
  <c r="D41" i="21"/>
  <c r="E26" i="21"/>
  <c r="E27" i="21" s="1"/>
  <c r="B48" i="21"/>
  <c r="B26" i="21"/>
  <c r="G26" i="21"/>
  <c r="C48" i="21"/>
  <c r="F33" i="7"/>
  <c r="P33" i="7" s="1"/>
  <c r="F61" i="7"/>
  <c r="P61" i="7" s="1"/>
  <c r="F62" i="7"/>
  <c r="H62" i="7" s="1"/>
  <c r="P81" i="7"/>
  <c r="H81" i="7"/>
  <c r="F65" i="7"/>
  <c r="P65" i="7" s="1"/>
  <c r="P19" i="7"/>
  <c r="H17" i="7"/>
  <c r="P76" i="7"/>
  <c r="H76" i="7"/>
  <c r="H56" i="7"/>
  <c r="H77" i="7"/>
  <c r="P77" i="7"/>
  <c r="P88" i="7"/>
  <c r="H88" i="7"/>
  <c r="H90" i="7"/>
  <c r="P90" i="7"/>
  <c r="H75" i="7"/>
  <c r="P75" i="7"/>
  <c r="P60" i="7"/>
  <c r="P74" i="7"/>
  <c r="H74" i="7"/>
  <c r="P83" i="7"/>
  <c r="H83" i="7"/>
  <c r="P25" i="7"/>
  <c r="H22" i="7"/>
  <c r="P69" i="7"/>
  <c r="H69" i="7"/>
  <c r="P85" i="7"/>
  <c r="H85" i="7"/>
  <c r="H15" i="7"/>
  <c r="H13" i="7"/>
  <c r="H11" i="7"/>
  <c r="H10" i="7"/>
  <c r="H12" i="7"/>
  <c r="H6" i="7"/>
  <c r="H14" i="7"/>
  <c r="H4" i="7"/>
  <c r="H9" i="7"/>
  <c r="H16" i="7"/>
  <c r="H33" i="7"/>
  <c r="H42" i="7"/>
  <c r="H34" i="7"/>
  <c r="H37" i="7"/>
  <c r="H40" i="7"/>
  <c r="H109" i="7"/>
  <c r="H110" i="7"/>
  <c r="H7" i="7"/>
  <c r="H8" i="7"/>
  <c r="H32" i="7"/>
  <c r="H20" i="7"/>
  <c r="H30" i="7"/>
  <c r="H5" i="7"/>
  <c r="H21" i="7"/>
  <c r="H31" i="7"/>
  <c r="H18" i="7"/>
  <c r="H60" i="7"/>
  <c r="H54" i="7"/>
  <c r="H64" i="7"/>
  <c r="C61" i="4"/>
  <c r="C63" i="4" s="1"/>
  <c r="P62" i="7" l="1"/>
  <c r="X115" i="7"/>
  <c r="D42" i="21"/>
  <c r="B42" i="21"/>
  <c r="U115" i="7"/>
  <c r="G31" i="21"/>
  <c r="G33" i="21" s="1"/>
  <c r="G35" i="21" s="1"/>
  <c r="G27" i="21"/>
  <c r="F104" i="7"/>
  <c r="P104" i="7"/>
  <c r="H26" i="7"/>
  <c r="H28" i="7"/>
  <c r="H23" i="7"/>
  <c r="H24" i="7"/>
  <c r="D53" i="7"/>
  <c r="D105" i="7" s="1"/>
  <c r="H29" i="7"/>
  <c r="H25" i="7"/>
  <c r="H27" i="7"/>
  <c r="H41" i="7"/>
  <c r="H43" i="7"/>
  <c r="H38" i="7"/>
  <c r="H35" i="7"/>
  <c r="H36" i="7"/>
  <c r="H44" i="7"/>
  <c r="H39" i="7"/>
  <c r="F19" i="7"/>
  <c r="H19" i="7"/>
  <c r="H61" i="7"/>
  <c r="H63" i="7"/>
  <c r="H66" i="7"/>
  <c r="H65" i="7"/>
  <c r="H104" i="7" l="1"/>
  <c r="F53" i="7"/>
  <c r="F105" i="7" s="1"/>
  <c r="H53" i="7"/>
  <c r="P53" i="7"/>
  <c r="P105" i="7" s="1"/>
  <c r="D136" i="7" l="1"/>
  <c r="H105" i="7"/>
  <c r="D137" i="7" s="1"/>
  <c r="I96" i="7" s="1"/>
  <c r="J96" i="7" s="1"/>
  <c r="K96" i="7" s="1"/>
  <c r="L96" i="7" l="1"/>
  <c r="N96" i="7" s="1"/>
  <c r="Q96" i="7" s="1"/>
  <c r="I79" i="7"/>
  <c r="J79" i="7" s="1"/>
  <c r="K79" i="7" s="1"/>
  <c r="L79" i="7" s="1"/>
  <c r="I78" i="7"/>
  <c r="J78" i="7" s="1"/>
  <c r="K78" i="7" s="1"/>
  <c r="I46" i="7"/>
  <c r="J46" i="7" s="1"/>
  <c r="K46" i="7" s="1"/>
  <c r="I51" i="7"/>
  <c r="J51" i="7" s="1"/>
  <c r="K51" i="7" s="1"/>
  <c r="L51" i="7" s="1"/>
  <c r="I68" i="7"/>
  <c r="J68" i="7" s="1"/>
  <c r="K68" i="7" s="1"/>
  <c r="I76" i="7"/>
  <c r="J76" i="7" s="1"/>
  <c r="K76" i="7" s="1"/>
  <c r="L76" i="7" s="1"/>
  <c r="D140" i="12" s="1"/>
  <c r="I111" i="7"/>
  <c r="J111" i="7" s="1"/>
  <c r="K111" i="7" s="1"/>
  <c r="L111" i="7" s="1"/>
  <c r="N111" i="7" s="1"/>
  <c r="I112" i="7"/>
  <c r="J112" i="7" s="1"/>
  <c r="K112" i="7" s="1"/>
  <c r="L112" i="7" s="1"/>
  <c r="N112" i="7" s="1"/>
  <c r="I113" i="7"/>
  <c r="J113" i="7" s="1"/>
  <c r="K113" i="7" s="1"/>
  <c r="L113" i="7" s="1"/>
  <c r="N113" i="7" s="1"/>
  <c r="I114" i="7"/>
  <c r="J114" i="7" s="1"/>
  <c r="K114" i="7" s="1"/>
  <c r="L114" i="7" s="1"/>
  <c r="N114" i="7" s="1"/>
  <c r="I124" i="7"/>
  <c r="J124" i="7" s="1"/>
  <c r="K124" i="7" s="1"/>
  <c r="L124" i="7" s="1"/>
  <c r="D139" i="12" s="1"/>
  <c r="I122" i="7"/>
  <c r="J122" i="7" s="1"/>
  <c r="K122" i="7" s="1"/>
  <c r="L122" i="7" s="1"/>
  <c r="D128" i="12" s="1"/>
  <c r="I123" i="7"/>
  <c r="J123" i="7" s="1"/>
  <c r="K123" i="7" s="1"/>
  <c r="L123" i="7" s="1"/>
  <c r="D130" i="12" s="1"/>
  <c r="I3" i="7"/>
  <c r="I121" i="7"/>
  <c r="J121" i="7" s="1"/>
  <c r="K121" i="7" s="1"/>
  <c r="L121" i="7" s="1"/>
  <c r="D121" i="12" s="1"/>
  <c r="I4" i="7"/>
  <c r="J4" i="7" s="1"/>
  <c r="K4" i="7" s="1"/>
  <c r="I58" i="7"/>
  <c r="J58" i="7" s="1"/>
  <c r="K58" i="7" s="1"/>
  <c r="I59" i="7"/>
  <c r="J59" i="7" s="1"/>
  <c r="K59" i="7" s="1"/>
  <c r="L59" i="7" s="1"/>
  <c r="I33" i="7"/>
  <c r="J33" i="7" s="1"/>
  <c r="K33" i="7" s="1"/>
  <c r="L33" i="7" s="1"/>
  <c r="D54" i="12" s="1"/>
  <c r="I36" i="7"/>
  <c r="J36" i="7" s="1"/>
  <c r="K36" i="7" s="1"/>
  <c r="I40" i="7"/>
  <c r="J40" i="7" s="1"/>
  <c r="K40" i="7" s="1"/>
  <c r="L40" i="7" s="1"/>
  <c r="D57" i="12" s="1"/>
  <c r="I43" i="7"/>
  <c r="J43" i="7" s="1"/>
  <c r="K43" i="7" s="1"/>
  <c r="L43" i="7" s="1"/>
  <c r="I37" i="7"/>
  <c r="J37" i="7" s="1"/>
  <c r="K37" i="7" s="1"/>
  <c r="L37" i="7" s="1"/>
  <c r="D56" i="12" s="1"/>
  <c r="I41" i="7"/>
  <c r="J41" i="7" s="1"/>
  <c r="K41" i="7" s="1"/>
  <c r="L41" i="7" s="1"/>
  <c r="I44" i="7"/>
  <c r="J44" i="7" s="1"/>
  <c r="K44" i="7" s="1"/>
  <c r="L44" i="7" s="1"/>
  <c r="I47" i="7"/>
  <c r="J47" i="7" s="1"/>
  <c r="K47" i="7" s="1"/>
  <c r="L47" i="7" s="1"/>
  <c r="I118" i="7"/>
  <c r="J118" i="7" s="1"/>
  <c r="K118" i="7" s="1"/>
  <c r="L118" i="7" s="1"/>
  <c r="N118" i="7" s="1"/>
  <c r="I48" i="7"/>
  <c r="J48" i="7" s="1"/>
  <c r="K48" i="7" s="1"/>
  <c r="L48" i="7" s="1"/>
  <c r="I52" i="7"/>
  <c r="J52" i="7" s="1"/>
  <c r="K52" i="7" s="1"/>
  <c r="L52" i="7" s="1"/>
  <c r="I23" i="7"/>
  <c r="J23" i="7" s="1"/>
  <c r="K23" i="7" s="1"/>
  <c r="I27" i="7"/>
  <c r="J27" i="7" s="1"/>
  <c r="K27" i="7" s="1"/>
  <c r="I30" i="7"/>
  <c r="J30" i="7" s="1"/>
  <c r="K30" i="7" s="1"/>
  <c r="L30" i="7" s="1"/>
  <c r="I20" i="7"/>
  <c r="J20" i="7" s="1"/>
  <c r="K20" i="7" s="1"/>
  <c r="L20" i="7" s="1"/>
  <c r="D46" i="12" s="1"/>
  <c r="I24" i="7"/>
  <c r="J24" i="7" s="1"/>
  <c r="K24" i="7" s="1"/>
  <c r="L24" i="7" s="1"/>
  <c r="I28" i="7"/>
  <c r="J28" i="7" s="1"/>
  <c r="K28" i="7" s="1"/>
  <c r="I31" i="7"/>
  <c r="J31" i="7" s="1"/>
  <c r="K31" i="7" s="1"/>
  <c r="I87" i="7"/>
  <c r="J87" i="7" s="1"/>
  <c r="K87" i="7" s="1"/>
  <c r="I89" i="7"/>
  <c r="J89" i="7" s="1"/>
  <c r="K89" i="7" s="1"/>
  <c r="I91" i="7"/>
  <c r="J91" i="7" s="1"/>
  <c r="K91" i="7" s="1"/>
  <c r="I93" i="7"/>
  <c r="J93" i="7" s="1"/>
  <c r="K93" i="7" s="1"/>
  <c r="I95" i="7"/>
  <c r="J95" i="7" s="1"/>
  <c r="K95" i="7" s="1"/>
  <c r="I97" i="7"/>
  <c r="J97" i="7" s="1"/>
  <c r="K97" i="7" s="1"/>
  <c r="I98" i="7"/>
  <c r="J98" i="7" s="1"/>
  <c r="K98" i="7" s="1"/>
  <c r="I128" i="7"/>
  <c r="J128" i="7" s="1"/>
  <c r="K128" i="7" s="1"/>
  <c r="L128" i="7" s="1"/>
  <c r="N128" i="7" s="1"/>
  <c r="I101" i="7"/>
  <c r="J101" i="7" s="1"/>
  <c r="K101" i="7" s="1"/>
  <c r="I84" i="7"/>
  <c r="J84" i="7" s="1"/>
  <c r="K84" i="7" s="1"/>
  <c r="I125" i="7"/>
  <c r="J125" i="7" s="1"/>
  <c r="K125" i="7" s="1"/>
  <c r="L125" i="7" s="1"/>
  <c r="D149" i="12" s="1"/>
  <c r="I75" i="7"/>
  <c r="J75" i="7" s="1"/>
  <c r="K75" i="7" s="1"/>
  <c r="L75" i="7" s="1"/>
  <c r="D120" i="12" s="1"/>
  <c r="I72" i="7"/>
  <c r="J72" i="7" s="1"/>
  <c r="K72" i="7" s="1"/>
  <c r="L72" i="7" s="1"/>
  <c r="I83" i="7"/>
  <c r="J83" i="7" s="1"/>
  <c r="K83" i="7" s="1"/>
  <c r="L83" i="7" s="1"/>
  <c r="I80" i="7"/>
  <c r="J80" i="7" s="1"/>
  <c r="K80" i="7" s="1"/>
  <c r="L80" i="7" s="1"/>
  <c r="D131" i="12" s="1"/>
  <c r="I6" i="7"/>
  <c r="J6" i="7" s="1"/>
  <c r="K6" i="7" s="1"/>
  <c r="I10" i="7"/>
  <c r="J10" i="7" s="1"/>
  <c r="K10" i="7" s="1"/>
  <c r="I14" i="7"/>
  <c r="J14" i="7" s="1"/>
  <c r="K14" i="7" s="1"/>
  <c r="I110" i="7"/>
  <c r="J110" i="7" s="1"/>
  <c r="K110" i="7" s="1"/>
  <c r="L110" i="7" s="1"/>
  <c r="D42" i="12" s="1"/>
  <c r="I5" i="7"/>
  <c r="J5" i="7" s="1"/>
  <c r="K5" i="7" s="1"/>
  <c r="I9" i="7"/>
  <c r="J9" i="7" s="1"/>
  <c r="K9" i="7" s="1"/>
  <c r="I13" i="7"/>
  <c r="J13" i="7" s="1"/>
  <c r="K13" i="7" s="1"/>
  <c r="I16" i="7"/>
  <c r="J16" i="7" s="1"/>
  <c r="K16" i="7" s="1"/>
  <c r="I54" i="7"/>
  <c r="I71" i="7"/>
  <c r="J71" i="7" s="1"/>
  <c r="K71" i="7" s="1"/>
  <c r="L71" i="7" s="1"/>
  <c r="I63" i="7"/>
  <c r="J63" i="7" s="1"/>
  <c r="K63" i="7" s="1"/>
  <c r="L63" i="7" s="1"/>
  <c r="I120" i="7"/>
  <c r="J120" i="7" s="1"/>
  <c r="K120" i="7" s="1"/>
  <c r="L120" i="7" s="1"/>
  <c r="I67" i="7"/>
  <c r="J67" i="7" s="1"/>
  <c r="K67" i="7" s="1"/>
  <c r="L67" i="7" s="1"/>
  <c r="I70" i="7"/>
  <c r="J70" i="7" s="1"/>
  <c r="K70" i="7" s="1"/>
  <c r="L70" i="7" s="1"/>
  <c r="I62" i="7"/>
  <c r="J62" i="7" s="1"/>
  <c r="K62" i="7" s="1"/>
  <c r="L62" i="7" s="1"/>
  <c r="D93" i="12" s="1"/>
  <c r="I65" i="7"/>
  <c r="J65" i="7" s="1"/>
  <c r="K65" i="7" s="1"/>
  <c r="L65" i="7" s="1"/>
  <c r="D94" i="12" s="1"/>
  <c r="I119" i="7"/>
  <c r="J119" i="7" s="1"/>
  <c r="K119" i="7" s="1"/>
  <c r="L119" i="7" s="1"/>
  <c r="N119" i="7" s="1"/>
  <c r="I56" i="7"/>
  <c r="J56" i="7" s="1"/>
  <c r="K56" i="7" s="1"/>
  <c r="L56" i="7" s="1"/>
  <c r="D115" i="12" s="1"/>
  <c r="I57" i="7"/>
  <c r="J57" i="7" s="1"/>
  <c r="K57" i="7" s="1"/>
  <c r="L57" i="7" s="1"/>
  <c r="I102" i="7"/>
  <c r="J102" i="7" s="1"/>
  <c r="K102" i="7" s="1"/>
  <c r="I34" i="7"/>
  <c r="J34" i="7" s="1"/>
  <c r="K34" i="7" s="1"/>
  <c r="I38" i="7"/>
  <c r="J38" i="7" s="1"/>
  <c r="K38" i="7" s="1"/>
  <c r="L38" i="7" s="1"/>
  <c r="I115" i="7"/>
  <c r="J115" i="7" s="1"/>
  <c r="K115" i="7" s="1"/>
  <c r="L115" i="7" s="1"/>
  <c r="N115" i="7" s="1"/>
  <c r="I116" i="7"/>
  <c r="J116" i="7" s="1"/>
  <c r="K116" i="7" s="1"/>
  <c r="L116" i="7" s="1"/>
  <c r="N116" i="7" s="1"/>
  <c r="I35" i="7"/>
  <c r="J35" i="7" s="1"/>
  <c r="K35" i="7" s="1"/>
  <c r="L35" i="7" s="1"/>
  <c r="L36" i="7" s="1"/>
  <c r="I39" i="7"/>
  <c r="J39" i="7" s="1"/>
  <c r="K39" i="7" s="1"/>
  <c r="L39" i="7" s="1"/>
  <c r="I42" i="7"/>
  <c r="J42" i="7" s="1"/>
  <c r="K42" i="7" s="1"/>
  <c r="L42" i="7" s="1"/>
  <c r="D58" i="12" s="1"/>
  <c r="I45" i="7"/>
  <c r="J45" i="7" s="1"/>
  <c r="K45" i="7" s="1"/>
  <c r="L45" i="7" s="1"/>
  <c r="I49" i="7"/>
  <c r="J49" i="7" s="1"/>
  <c r="K49" i="7" s="1"/>
  <c r="L49" i="7" s="1"/>
  <c r="I117" i="7"/>
  <c r="J117" i="7" s="1"/>
  <c r="K117" i="7" s="1"/>
  <c r="L117" i="7" s="1"/>
  <c r="N117" i="7" s="1"/>
  <c r="I50" i="7"/>
  <c r="J50" i="7" s="1"/>
  <c r="K50" i="7" s="1"/>
  <c r="L50" i="7" s="1"/>
  <c r="I21" i="7"/>
  <c r="J21" i="7" s="1"/>
  <c r="K21" i="7" s="1"/>
  <c r="I25" i="7"/>
  <c r="J25" i="7" s="1"/>
  <c r="K25" i="7" s="1"/>
  <c r="I29" i="7"/>
  <c r="J29" i="7" s="1"/>
  <c r="K29" i="7" s="1"/>
  <c r="I32" i="7"/>
  <c r="J32" i="7" s="1"/>
  <c r="K32" i="7" s="1"/>
  <c r="L32" i="7" s="1"/>
  <c r="D51" i="12" s="1"/>
  <c r="I22" i="7"/>
  <c r="J22" i="7" s="1"/>
  <c r="K22" i="7" s="1"/>
  <c r="I26" i="7"/>
  <c r="J26" i="7" s="1"/>
  <c r="K26" i="7" s="1"/>
  <c r="I88" i="7"/>
  <c r="J88" i="7" s="1"/>
  <c r="K88" i="7" s="1"/>
  <c r="L88" i="7" s="1"/>
  <c r="I90" i="7"/>
  <c r="J90" i="7" s="1"/>
  <c r="K90" i="7" s="1"/>
  <c r="I92" i="7"/>
  <c r="J92" i="7" s="1"/>
  <c r="K92" i="7" s="1"/>
  <c r="I94" i="7"/>
  <c r="J94" i="7" s="1"/>
  <c r="K94" i="7" s="1"/>
  <c r="I126" i="7"/>
  <c r="J126" i="7" s="1"/>
  <c r="K126" i="7" s="1"/>
  <c r="L126" i="7" s="1"/>
  <c r="N126" i="7" s="1"/>
  <c r="I127" i="7"/>
  <c r="J127" i="7" s="1"/>
  <c r="K127" i="7" s="1"/>
  <c r="L127" i="7" s="1"/>
  <c r="N127" i="7" s="1"/>
  <c r="I99" i="7"/>
  <c r="J99" i="7" s="1"/>
  <c r="K99" i="7" s="1"/>
  <c r="L99" i="7" s="1"/>
  <c r="I100" i="7"/>
  <c r="J100" i="7" s="1"/>
  <c r="K100" i="7" s="1"/>
  <c r="I86" i="7"/>
  <c r="J86" i="7" s="1"/>
  <c r="K86" i="7" s="1"/>
  <c r="I82" i="7"/>
  <c r="J82" i="7" s="1"/>
  <c r="K82" i="7" s="1"/>
  <c r="I74" i="7"/>
  <c r="J74" i="7" s="1"/>
  <c r="K74" i="7" s="1"/>
  <c r="L74" i="7" s="1"/>
  <c r="D119" i="12" s="1"/>
  <c r="I85" i="7"/>
  <c r="J85" i="7" s="1"/>
  <c r="K85" i="7" s="1"/>
  <c r="I81" i="7"/>
  <c r="J81" i="7" s="1"/>
  <c r="K81" i="7" s="1"/>
  <c r="L81" i="7" s="1"/>
  <c r="I77" i="7"/>
  <c r="J77" i="7" s="1"/>
  <c r="K77" i="7" s="1"/>
  <c r="I73" i="7"/>
  <c r="J73" i="7" s="1"/>
  <c r="K73" i="7" s="1"/>
  <c r="L73" i="7" s="1"/>
  <c r="I8" i="7"/>
  <c r="J8" i="7" s="1"/>
  <c r="K8" i="7" s="1"/>
  <c r="I12" i="7"/>
  <c r="J12" i="7" s="1"/>
  <c r="K12" i="7" s="1"/>
  <c r="I109" i="7"/>
  <c r="J109" i="7" s="1"/>
  <c r="K109" i="7" s="1"/>
  <c r="L109" i="7" s="1"/>
  <c r="D40" i="12" s="1"/>
  <c r="I18" i="7"/>
  <c r="J18" i="7" s="1"/>
  <c r="K18" i="7" s="1"/>
  <c r="L18" i="7" s="1"/>
  <c r="I7" i="7"/>
  <c r="J7" i="7" s="1"/>
  <c r="K7" i="7" s="1"/>
  <c r="I11" i="7"/>
  <c r="J11" i="7" s="1"/>
  <c r="K11" i="7" s="1"/>
  <c r="I15" i="7"/>
  <c r="J15" i="7" s="1"/>
  <c r="K15" i="7" s="1"/>
  <c r="I17" i="7"/>
  <c r="J17" i="7" s="1"/>
  <c r="K17" i="7" s="1"/>
  <c r="L17" i="7" s="1"/>
  <c r="D8" i="12" s="1"/>
  <c r="I55" i="7"/>
  <c r="J55" i="7" s="1"/>
  <c r="K55" i="7" s="1"/>
  <c r="L55" i="7" s="1"/>
  <c r="D79" i="12" s="1"/>
  <c r="I64" i="7"/>
  <c r="J64" i="7" s="1"/>
  <c r="K64" i="7" s="1"/>
  <c r="L64" i="7" s="1"/>
  <c r="I69" i="7"/>
  <c r="J69" i="7" s="1"/>
  <c r="K69" i="7" s="1"/>
  <c r="L69" i="7" s="1"/>
  <c r="D95" i="12" s="1"/>
  <c r="I61" i="7"/>
  <c r="J61" i="7" s="1"/>
  <c r="K61" i="7" s="1"/>
  <c r="L61" i="7" s="1"/>
  <c r="D92" i="12" s="1"/>
  <c r="I60" i="7"/>
  <c r="J60" i="7" s="1"/>
  <c r="K60" i="7" s="1"/>
  <c r="L60" i="7" s="1"/>
  <c r="D91" i="12" s="1"/>
  <c r="I66" i="7"/>
  <c r="J66" i="7" s="1"/>
  <c r="K66" i="7" s="1"/>
  <c r="L66" i="7" s="1"/>
  <c r="X96" i="7" l="1"/>
  <c r="U96" i="7"/>
  <c r="L85" i="7"/>
  <c r="X85" i="7" s="1"/>
  <c r="L16" i="7"/>
  <c r="D23" i="12" s="1"/>
  <c r="L98" i="7"/>
  <c r="X98" i="7" s="1"/>
  <c r="L28" i="7"/>
  <c r="D38" i="12" s="1"/>
  <c r="L46" i="7"/>
  <c r="X46" i="7" s="1"/>
  <c r="L82" i="7"/>
  <c r="D141" i="12" s="1"/>
  <c r="L90" i="7"/>
  <c r="X90" i="7" s="1"/>
  <c r="L13" i="7"/>
  <c r="D19" i="12" s="1"/>
  <c r="E19" i="12" s="1"/>
  <c r="O13" i="7" s="1"/>
  <c r="D129" i="12"/>
  <c r="L84" i="7"/>
  <c r="L97" i="7"/>
  <c r="X97" i="7" s="1"/>
  <c r="L25" i="7"/>
  <c r="D35" i="12" s="1"/>
  <c r="D34" i="12"/>
  <c r="L78" i="7"/>
  <c r="N78" i="7" s="1"/>
  <c r="Q78" i="7" s="1"/>
  <c r="L94" i="7"/>
  <c r="X94" i="7" s="1"/>
  <c r="L58" i="7"/>
  <c r="X58" i="7" s="1"/>
  <c r="L100" i="7"/>
  <c r="X100" i="7" s="1"/>
  <c r="L34" i="7"/>
  <c r="D55" i="12" s="1"/>
  <c r="L5" i="7"/>
  <c r="D12" i="12" s="1"/>
  <c r="E12" i="12" s="1"/>
  <c r="O5" i="7" s="1"/>
  <c r="L22" i="7"/>
  <c r="D32" i="12" s="1"/>
  <c r="L102" i="7"/>
  <c r="X102" i="7" s="1"/>
  <c r="N120" i="7"/>
  <c r="D75" i="12"/>
  <c r="L91" i="7"/>
  <c r="X91" i="7" s="1"/>
  <c r="L27" i="7"/>
  <c r="D37" i="12" s="1"/>
  <c r="L7" i="7"/>
  <c r="D13" i="12" s="1"/>
  <c r="E13" i="12" s="1"/>
  <c r="O7" i="7" s="1"/>
  <c r="L21" i="7"/>
  <c r="X21" i="7" s="1"/>
  <c r="L86" i="7"/>
  <c r="X86" i="7" s="1"/>
  <c r="L93" i="7"/>
  <c r="X93" i="7" s="1"/>
  <c r="L4" i="7"/>
  <c r="D11" i="12" s="1"/>
  <c r="L15" i="7"/>
  <c r="D21" i="12" s="1"/>
  <c r="L77" i="7"/>
  <c r="D148" i="12" s="1"/>
  <c r="L14" i="7"/>
  <c r="D20" i="12" s="1"/>
  <c r="L89" i="7"/>
  <c r="X89" i="7" s="1"/>
  <c r="L23" i="7"/>
  <c r="D33" i="12" s="1"/>
  <c r="L6" i="7"/>
  <c r="D25" i="12" s="1"/>
  <c r="E25" i="12" s="1"/>
  <c r="O6" i="7" s="1"/>
  <c r="L31" i="7"/>
  <c r="D50" i="12" s="1"/>
  <c r="L92" i="7"/>
  <c r="X92" i="7" s="1"/>
  <c r="L12" i="7"/>
  <c r="D18" i="12" s="1"/>
  <c r="E18" i="12" s="1"/>
  <c r="O12" i="7" s="1"/>
  <c r="L9" i="7"/>
  <c r="D15" i="12" s="1"/>
  <c r="L95" i="7"/>
  <c r="X95" i="7" s="1"/>
  <c r="L8" i="7"/>
  <c r="D14" i="12" s="1"/>
  <c r="E14" i="12" s="1"/>
  <c r="O8" i="7" s="1"/>
  <c r="L26" i="7"/>
  <c r="D36" i="12" s="1"/>
  <c r="L11" i="7"/>
  <c r="D17" i="12" s="1"/>
  <c r="E17" i="12" s="1"/>
  <c r="O11" i="7" s="1"/>
  <c r="L29" i="7"/>
  <c r="D39" i="12" s="1"/>
  <c r="L10" i="7"/>
  <c r="D16" i="12" s="1"/>
  <c r="E16" i="12" s="1"/>
  <c r="O10" i="7" s="1"/>
  <c r="L101" i="7"/>
  <c r="X101" i="7" s="1"/>
  <c r="L87" i="7"/>
  <c r="X87" i="7" s="1"/>
  <c r="L68" i="7"/>
  <c r="X68" i="7" s="1"/>
  <c r="J54" i="7"/>
  <c r="K54" i="7" s="1"/>
  <c r="L54" i="7" s="1"/>
  <c r="I104" i="7"/>
  <c r="U56" i="7"/>
  <c r="X56" i="7"/>
  <c r="X76" i="7"/>
  <c r="X20" i="7"/>
  <c r="D47" i="12"/>
  <c r="X32" i="7"/>
  <c r="N125" i="7"/>
  <c r="U84" i="7"/>
  <c r="X84" i="7"/>
  <c r="X99" i="7"/>
  <c r="X88" i="7"/>
  <c r="U70" i="7"/>
  <c r="X70" i="7"/>
  <c r="X24" i="7"/>
  <c r="U67" i="7"/>
  <c r="X67" i="7"/>
  <c r="U72" i="7"/>
  <c r="X72" i="7"/>
  <c r="U44" i="7"/>
  <c r="X44" i="7"/>
  <c r="U45" i="7"/>
  <c r="X45" i="7"/>
  <c r="U75" i="7"/>
  <c r="X75" i="7"/>
  <c r="U30" i="7"/>
  <c r="X30" i="7"/>
  <c r="U41" i="7"/>
  <c r="X41" i="7"/>
  <c r="U51" i="7"/>
  <c r="X51" i="7"/>
  <c r="U38" i="7"/>
  <c r="X38" i="7"/>
  <c r="U39" i="7"/>
  <c r="X39" i="7"/>
  <c r="U43" i="7"/>
  <c r="X43" i="7"/>
  <c r="U61" i="7"/>
  <c r="X61" i="7"/>
  <c r="U74" i="7"/>
  <c r="X74" i="7"/>
  <c r="X36" i="7"/>
  <c r="X35" i="7"/>
  <c r="U52" i="7"/>
  <c r="X52" i="7"/>
  <c r="U40" i="7"/>
  <c r="X40" i="7"/>
  <c r="N79" i="7"/>
  <c r="Q79" i="7" s="1"/>
  <c r="X79" i="7"/>
  <c r="U47" i="7"/>
  <c r="X47" i="7"/>
  <c r="U73" i="7"/>
  <c r="X73" i="7"/>
  <c r="U42" i="7"/>
  <c r="X42" i="7"/>
  <c r="U63" i="7"/>
  <c r="X63" i="7"/>
  <c r="U71" i="7"/>
  <c r="X71" i="7"/>
  <c r="U69" i="7"/>
  <c r="X69" i="7"/>
  <c r="U65" i="7"/>
  <c r="X65" i="7"/>
  <c r="U48" i="7"/>
  <c r="X48" i="7"/>
  <c r="U83" i="7"/>
  <c r="X83" i="7"/>
  <c r="U66" i="7"/>
  <c r="X66" i="7"/>
  <c r="U57" i="7"/>
  <c r="X57" i="7"/>
  <c r="U37" i="7"/>
  <c r="X37" i="7"/>
  <c r="U60" i="7"/>
  <c r="X60" i="7"/>
  <c r="U64" i="7"/>
  <c r="X64" i="7"/>
  <c r="U50" i="7"/>
  <c r="X50" i="7"/>
  <c r="U62" i="7"/>
  <c r="X62" i="7"/>
  <c r="U33" i="7"/>
  <c r="X33" i="7"/>
  <c r="U80" i="7"/>
  <c r="X80" i="7"/>
  <c r="U81" i="7"/>
  <c r="U79" i="7"/>
  <c r="U77" i="7"/>
  <c r="N76" i="7"/>
  <c r="Q76" i="7" s="1"/>
  <c r="U76" i="7"/>
  <c r="U58" i="7"/>
  <c r="U68" i="7"/>
  <c r="N51" i="7"/>
  <c r="Q51" i="7" s="1"/>
  <c r="X18" i="7"/>
  <c r="X17" i="7"/>
  <c r="J3" i="7"/>
  <c r="N90" i="7"/>
  <c r="Q90" i="7" s="1"/>
  <c r="N88" i="7"/>
  <c r="Q88" i="7" s="1"/>
  <c r="X55" i="7"/>
  <c r="U55" i="7"/>
  <c r="N70" i="7"/>
  <c r="Q70" i="7" s="1"/>
  <c r="N67" i="7"/>
  <c r="Q67" i="7" s="1"/>
  <c r="U35" i="7"/>
  <c r="N40" i="7"/>
  <c r="Q40" i="7" s="1"/>
  <c r="N33" i="7"/>
  <c r="Q33" i="7" s="1"/>
  <c r="N20" i="7"/>
  <c r="Q20" i="7" s="1"/>
  <c r="U20" i="7"/>
  <c r="U32" i="7"/>
  <c r="N42" i="7"/>
  <c r="Q42" i="7" s="1"/>
  <c r="N37" i="7"/>
  <c r="Q37" i="7" s="1"/>
  <c r="N52" i="7"/>
  <c r="Q52" i="7" s="1"/>
  <c r="N48" i="7"/>
  <c r="Q48" i="7" s="1"/>
  <c r="N50" i="7"/>
  <c r="Q50" i="7" s="1"/>
  <c r="N38" i="7"/>
  <c r="Q38" i="7" s="1"/>
  <c r="X9" i="7"/>
  <c r="N9" i="7"/>
  <c r="Q9" i="7" s="1"/>
  <c r="N44" i="7"/>
  <c r="Q44" i="7" s="1"/>
  <c r="N75" i="7"/>
  <c r="Q75" i="7" s="1"/>
  <c r="N30" i="7"/>
  <c r="Q30" i="7" s="1"/>
  <c r="N41" i="7"/>
  <c r="Q41" i="7" s="1"/>
  <c r="N32" i="7"/>
  <c r="Q32" i="7" s="1"/>
  <c r="N14" i="7"/>
  <c r="Q14" i="7" s="1"/>
  <c r="N35" i="7"/>
  <c r="Q35" i="7" s="1"/>
  <c r="N43" i="7"/>
  <c r="Q43" i="7" s="1"/>
  <c r="N39" i="7"/>
  <c r="Q39" i="7" s="1"/>
  <c r="X10" i="7"/>
  <c r="N10" i="7"/>
  <c r="Q10" i="7" s="1"/>
  <c r="N124" i="7"/>
  <c r="N123" i="7"/>
  <c r="D166" i="12"/>
  <c r="N122" i="7"/>
  <c r="D164" i="12"/>
  <c r="D167" i="12"/>
  <c r="N83" i="7"/>
  <c r="Q83" i="7" s="1"/>
  <c r="D165" i="12"/>
  <c r="N121" i="7"/>
  <c r="D157" i="12"/>
  <c r="N55" i="7"/>
  <c r="Q55" i="7" s="1"/>
  <c r="N62" i="7"/>
  <c r="Q62" i="7" s="1"/>
  <c r="N110" i="7"/>
  <c r="N60" i="7"/>
  <c r="Q60" i="7" s="1"/>
  <c r="N74" i="7"/>
  <c r="Q74" i="7" s="1"/>
  <c r="D155" i="12"/>
  <c r="E15" i="12"/>
  <c r="O9" i="7" s="1"/>
  <c r="E20" i="12"/>
  <c r="O14" i="7" s="1"/>
  <c r="N69" i="7"/>
  <c r="Q69" i="7" s="1"/>
  <c r="N61" i="7"/>
  <c r="Q61" i="7" s="1"/>
  <c r="N109" i="7"/>
  <c r="N65" i="7"/>
  <c r="Q65" i="7" s="1"/>
  <c r="N82" i="7"/>
  <c r="Q82" i="7" s="1"/>
  <c r="I53" i="7"/>
  <c r="I19" i="7"/>
  <c r="X5" i="7" l="1"/>
  <c r="X14" i="7"/>
  <c r="N98" i="7"/>
  <c r="Q98" i="7" s="1"/>
  <c r="U8" i="7"/>
  <c r="N6" i="7"/>
  <c r="Q6" i="7" s="1"/>
  <c r="X6" i="7"/>
  <c r="U82" i="7"/>
  <c r="N7" i="7"/>
  <c r="Q7" i="7" s="1"/>
  <c r="U21" i="7"/>
  <c r="N16" i="7"/>
  <c r="Q16" i="7" s="1"/>
  <c r="Z96" i="7"/>
  <c r="U78" i="7"/>
  <c r="N46" i="7"/>
  <c r="Q46" i="7" s="1"/>
  <c r="N11" i="7"/>
  <c r="Q11" i="7" s="1"/>
  <c r="X11" i="7"/>
  <c r="N68" i="7"/>
  <c r="Q68" i="7" s="1"/>
  <c r="X7" i="7"/>
  <c r="N5" i="7"/>
  <c r="Q5" i="7" s="1"/>
  <c r="X16" i="7"/>
  <c r="U7" i="7"/>
  <c r="Z7" i="7" s="1"/>
  <c r="U10" i="7"/>
  <c r="U4" i="7"/>
  <c r="N21" i="7"/>
  <c r="Q21" i="7" s="1"/>
  <c r="X26" i="7"/>
  <c r="X23" i="7"/>
  <c r="U15" i="7"/>
  <c r="X34" i="7"/>
  <c r="X78" i="7"/>
  <c r="U13" i="7"/>
  <c r="X28" i="7"/>
  <c r="N12" i="7"/>
  <c r="Q12" i="7" s="1"/>
  <c r="R12" i="7" s="1"/>
  <c r="K3" i="7"/>
  <c r="J105" i="7"/>
  <c r="D116" i="12"/>
  <c r="E116" i="12" s="1"/>
  <c r="D112" i="12"/>
  <c r="D114" i="12" s="1"/>
  <c r="E114" i="12" s="1"/>
  <c r="X29" i="7"/>
  <c r="X31" i="7"/>
  <c r="U14" i="7"/>
  <c r="Z14" i="7" s="1"/>
  <c r="X27" i="7"/>
  <c r="X22" i="7"/>
  <c r="X82" i="7"/>
  <c r="U16" i="7"/>
  <c r="X12" i="7"/>
  <c r="N34" i="7"/>
  <c r="Q34" i="7" s="1"/>
  <c r="N54" i="7"/>
  <c r="Q54" i="7" s="1"/>
  <c r="N15" i="7"/>
  <c r="Q15" i="7" s="1"/>
  <c r="U54" i="7"/>
  <c r="Z54" i="7" s="1"/>
  <c r="U12" i="7"/>
  <c r="X25" i="7"/>
  <c r="N13" i="7"/>
  <c r="Q13" i="7" s="1"/>
  <c r="R13" i="7" s="1"/>
  <c r="N8" i="7"/>
  <c r="Q8" i="7" s="1"/>
  <c r="R8" i="7" s="1"/>
  <c r="U31" i="7"/>
  <c r="X13" i="7"/>
  <c r="X15" i="7"/>
  <c r="X8" i="7"/>
  <c r="N31" i="7"/>
  <c r="Q31" i="7" s="1"/>
  <c r="X54" i="7"/>
  <c r="U46" i="7"/>
  <c r="Z46" i="7" s="1"/>
  <c r="U34" i="7"/>
  <c r="Z34" i="7" s="1"/>
  <c r="U11" i="7"/>
  <c r="Z11" i="7" s="1"/>
  <c r="U9" i="7"/>
  <c r="Z9" i="7" s="1"/>
  <c r="U6" i="7"/>
  <c r="Z6" i="7" s="1"/>
  <c r="X77" i="7"/>
  <c r="U5" i="7"/>
  <c r="Z76" i="7"/>
  <c r="R10" i="7"/>
  <c r="R9" i="7"/>
  <c r="N81" i="7"/>
  <c r="Q81" i="7" s="1"/>
  <c r="U36" i="7"/>
  <c r="Z36" i="7" s="1"/>
  <c r="N36" i="7"/>
  <c r="R36" i="7" s="1"/>
  <c r="Z79" i="7"/>
  <c r="U59" i="7"/>
  <c r="X59" i="7"/>
  <c r="E149" i="12"/>
  <c r="X81" i="7"/>
  <c r="Z81" i="7" s="1"/>
  <c r="U49" i="7"/>
  <c r="X49" i="7"/>
  <c r="N49" i="7"/>
  <c r="Q49" i="7" s="1"/>
  <c r="Z68" i="7"/>
  <c r="Z51" i="7"/>
  <c r="D156" i="12"/>
  <c r="E156" i="12" s="1"/>
  <c r="E120" i="12"/>
  <c r="O75" i="7" s="1"/>
  <c r="R75" i="7" s="1"/>
  <c r="E8" i="12"/>
  <c r="O17" i="7" s="1"/>
  <c r="U17" i="7"/>
  <c r="Z17" i="7" s="1"/>
  <c r="N18" i="7"/>
  <c r="Q18" i="7" s="1"/>
  <c r="U18" i="7"/>
  <c r="Z18" i="7" s="1"/>
  <c r="N17" i="7"/>
  <c r="Q17" i="7" s="1"/>
  <c r="N47" i="7"/>
  <c r="Q47" i="7" s="1"/>
  <c r="Z74" i="7"/>
  <c r="Z60" i="7"/>
  <c r="Z75" i="7"/>
  <c r="Z61" i="7"/>
  <c r="Z83" i="7"/>
  <c r="N45" i="7"/>
  <c r="Q45" i="7" s="1"/>
  <c r="Z40" i="7"/>
  <c r="D169" i="12"/>
  <c r="E169" i="12" s="1"/>
  <c r="E164" i="12"/>
  <c r="D161" i="12"/>
  <c r="E161" i="12" s="1"/>
  <c r="E157" i="12"/>
  <c r="D171" i="12"/>
  <c r="E171" i="12" s="1"/>
  <c r="E166" i="12"/>
  <c r="Z47" i="7"/>
  <c r="Z45" i="7"/>
  <c r="D172" i="12"/>
  <c r="E172" i="12" s="1"/>
  <c r="E167" i="12"/>
  <c r="Z55" i="7"/>
  <c r="Z10" i="7"/>
  <c r="Z52" i="7"/>
  <c r="Z62" i="7"/>
  <c r="D159" i="12"/>
  <c r="E159" i="12" s="1"/>
  <c r="E155" i="12"/>
  <c r="Z69" i="7"/>
  <c r="D170" i="12"/>
  <c r="E170" i="12" s="1"/>
  <c r="E165" i="12"/>
  <c r="Z42" i="7"/>
  <c r="E141" i="12"/>
  <c r="D145" i="12"/>
  <c r="E145" i="12" s="1"/>
  <c r="D177" i="12"/>
  <c r="U95" i="7"/>
  <c r="N72" i="7"/>
  <c r="Q72" i="7" s="1"/>
  <c r="N95" i="7"/>
  <c r="Q95" i="7" s="1"/>
  <c r="N57" i="7"/>
  <c r="Q57" i="7" s="1"/>
  <c r="N59" i="7"/>
  <c r="Q59" i="7" s="1"/>
  <c r="N84" i="7"/>
  <c r="Z65" i="7"/>
  <c r="N56" i="7"/>
  <c r="Q56" i="7" s="1"/>
  <c r="U102" i="7"/>
  <c r="U90" i="7"/>
  <c r="N63" i="7"/>
  <c r="Q63" i="7" s="1"/>
  <c r="N102" i="7"/>
  <c r="Q102" i="7" s="1"/>
  <c r="Z50" i="7"/>
  <c r="U98" i="7"/>
  <c r="U88" i="7"/>
  <c r="U85" i="7"/>
  <c r="U93" i="7"/>
  <c r="U99" i="7"/>
  <c r="U100" i="7"/>
  <c r="U87" i="7"/>
  <c r="U86" i="7"/>
  <c r="U92" i="7"/>
  <c r="U94" i="7"/>
  <c r="U89" i="7"/>
  <c r="N71" i="7"/>
  <c r="Q71" i="7" s="1"/>
  <c r="N89" i="7"/>
  <c r="Q89" i="7" s="1"/>
  <c r="N58" i="7"/>
  <c r="Q58" i="7" s="1"/>
  <c r="N85" i="7"/>
  <c r="Q85" i="7" s="1"/>
  <c r="N77" i="7"/>
  <c r="Q77" i="7" s="1"/>
  <c r="N93" i="7"/>
  <c r="Q93" i="7" s="1"/>
  <c r="N66" i="7"/>
  <c r="Q66" i="7" s="1"/>
  <c r="N99" i="7"/>
  <c r="Q99" i="7" s="1"/>
  <c r="N100" i="7"/>
  <c r="Q100" i="7" s="1"/>
  <c r="N87" i="7"/>
  <c r="Q87" i="7" s="1"/>
  <c r="N80" i="7"/>
  <c r="Q80" i="7" s="1"/>
  <c r="N86" i="7"/>
  <c r="Q86" i="7" s="1"/>
  <c r="N92" i="7"/>
  <c r="Q92" i="7" s="1"/>
  <c r="N94" i="7"/>
  <c r="Q94" i="7" s="1"/>
  <c r="U91" i="7"/>
  <c r="U101" i="7"/>
  <c r="U97" i="7"/>
  <c r="N91" i="7"/>
  <c r="Q91" i="7" s="1"/>
  <c r="N101" i="7"/>
  <c r="Q101" i="7" s="1"/>
  <c r="N64" i="7"/>
  <c r="Q64" i="7" s="1"/>
  <c r="N97" i="7"/>
  <c r="Q97" i="7" s="1"/>
  <c r="N73" i="7"/>
  <c r="Q73" i="7" s="1"/>
  <c r="Z48" i="7"/>
  <c r="Z30" i="7"/>
  <c r="Z20" i="7"/>
  <c r="Z38" i="7"/>
  <c r="Z41" i="7"/>
  <c r="Z44" i="7"/>
  <c r="N27" i="7"/>
  <c r="Q27" i="7" s="1"/>
  <c r="U27" i="7"/>
  <c r="N28" i="7"/>
  <c r="Q28" i="7" s="1"/>
  <c r="U28" i="7"/>
  <c r="Z37" i="7"/>
  <c r="N25" i="7"/>
  <c r="U25" i="7"/>
  <c r="Z32" i="7"/>
  <c r="Z35" i="7"/>
  <c r="N26" i="7"/>
  <c r="Q26" i="7" s="1"/>
  <c r="U26" i="7"/>
  <c r="Z33" i="7"/>
  <c r="N23" i="7"/>
  <c r="Q23" i="7" s="1"/>
  <c r="U23" i="7"/>
  <c r="N24" i="7"/>
  <c r="Q24" i="7" s="1"/>
  <c r="U24" i="7"/>
  <c r="N29" i="7"/>
  <c r="Q29" i="7" s="1"/>
  <c r="U29" i="7"/>
  <c r="Z21" i="7"/>
  <c r="Z39" i="7"/>
  <c r="N22" i="7"/>
  <c r="Q22" i="7" s="1"/>
  <c r="U22" i="7"/>
  <c r="Z43" i="7"/>
  <c r="Z5" i="7"/>
  <c r="Z8" i="7"/>
  <c r="D184" i="12"/>
  <c r="E148" i="12"/>
  <c r="O78" i="7" s="1"/>
  <c r="R78" i="7" s="1"/>
  <c r="D151" i="12"/>
  <c r="E151" i="12" s="1"/>
  <c r="O79" i="7" s="1"/>
  <c r="R79" i="7" s="1"/>
  <c r="X4" i="7"/>
  <c r="N4" i="7"/>
  <c r="Q4" i="7" s="1"/>
  <c r="D143" i="12"/>
  <c r="E143" i="12" s="1"/>
  <c r="E139" i="12"/>
  <c r="O124" i="7" s="1"/>
  <c r="D175" i="12"/>
  <c r="D176" i="12"/>
  <c r="D144" i="12"/>
  <c r="E144" i="12" s="1"/>
  <c r="E140" i="12"/>
  <c r="R5" i="7"/>
  <c r="D134" i="12"/>
  <c r="E134" i="12" s="1"/>
  <c r="O84" i="7" s="1"/>
  <c r="E129" i="12"/>
  <c r="O83" i="7" s="1"/>
  <c r="R83" i="7" s="1"/>
  <c r="D136" i="12"/>
  <c r="E136" i="12" s="1"/>
  <c r="E131" i="12"/>
  <c r="R6" i="7"/>
  <c r="E128" i="12"/>
  <c r="O122" i="7" s="1"/>
  <c r="D133" i="12"/>
  <c r="E133" i="12" s="1"/>
  <c r="R14" i="7"/>
  <c r="D135" i="12"/>
  <c r="E135" i="12" s="1"/>
  <c r="E130" i="12"/>
  <c r="O123" i="7" s="1"/>
  <c r="D124" i="12"/>
  <c r="E124" i="12" s="1"/>
  <c r="E119" i="12"/>
  <c r="O74" i="7" s="1"/>
  <c r="R74" i="7" s="1"/>
  <c r="D123" i="12"/>
  <c r="E123" i="12" s="1"/>
  <c r="E121" i="12"/>
  <c r="O121" i="7" s="1"/>
  <c r="D125" i="12"/>
  <c r="E125" i="12" s="1"/>
  <c r="E33" i="12"/>
  <c r="O23" i="7" s="1"/>
  <c r="E34" i="12"/>
  <c r="O24" i="7" s="1"/>
  <c r="D102" i="12"/>
  <c r="E95" i="12"/>
  <c r="D61" i="12"/>
  <c r="E54" i="12"/>
  <c r="E42" i="12"/>
  <c r="O114" i="7" s="1"/>
  <c r="D43" i="12"/>
  <c r="E43" i="12" s="1"/>
  <c r="O113" i="7" s="1"/>
  <c r="E35" i="12"/>
  <c r="O25" i="7" s="1"/>
  <c r="Q25" i="7" s="1"/>
  <c r="E57" i="12"/>
  <c r="D64" i="12"/>
  <c r="E50" i="12"/>
  <c r="O31" i="7" s="1"/>
  <c r="R31" i="7" s="1"/>
  <c r="E51" i="12"/>
  <c r="O32" i="7" s="1"/>
  <c r="R32" i="7" s="1"/>
  <c r="D113" i="12"/>
  <c r="E113" i="12" s="1"/>
  <c r="E115" i="12"/>
  <c r="O56" i="7" s="1"/>
  <c r="D100" i="12"/>
  <c r="E93" i="12"/>
  <c r="E32" i="12"/>
  <c r="O22" i="7" s="1"/>
  <c r="O54" i="7"/>
  <c r="D101" i="12"/>
  <c r="E94" i="12"/>
  <c r="O68" i="7" s="1"/>
  <c r="R68" i="7" s="1"/>
  <c r="E36" i="12"/>
  <c r="O26" i="7" s="1"/>
  <c r="D41" i="12"/>
  <c r="E41" i="12" s="1"/>
  <c r="O111" i="7" s="1"/>
  <c r="E40" i="12"/>
  <c r="O112" i="7" s="1"/>
  <c r="E37" i="12"/>
  <c r="O27" i="7" s="1"/>
  <c r="D24" i="12"/>
  <c r="E24" i="12" s="1"/>
  <c r="O110" i="7" s="1"/>
  <c r="E23" i="12"/>
  <c r="E92" i="12"/>
  <c r="D99" i="12"/>
  <c r="E75" i="12"/>
  <c r="O120" i="7" s="1"/>
  <c r="D76" i="12"/>
  <c r="E76" i="12" s="1"/>
  <c r="E91" i="12"/>
  <c r="D98" i="12"/>
  <c r="D80" i="12"/>
  <c r="E79" i="12"/>
  <c r="E11" i="12"/>
  <c r="O4" i="7" s="1"/>
  <c r="E56" i="12"/>
  <c r="D63" i="12"/>
  <c r="E21" i="12"/>
  <c r="D22" i="12"/>
  <c r="E22" i="12" s="1"/>
  <c r="O109" i="7" s="1"/>
  <c r="E39" i="12"/>
  <c r="O29" i="7" s="1"/>
  <c r="E38" i="12"/>
  <c r="O28" i="7" s="1"/>
  <c r="R11" i="7"/>
  <c r="R7" i="7"/>
  <c r="E55" i="12"/>
  <c r="D62" i="12"/>
  <c r="E58" i="12"/>
  <c r="D65" i="12"/>
  <c r="I105" i="7"/>
  <c r="J106" i="7" s="1"/>
  <c r="K106" i="7" s="1"/>
  <c r="Z78" i="7" l="1"/>
  <c r="Z16" i="7"/>
  <c r="E112" i="12"/>
  <c r="O57" i="7" s="1"/>
  <c r="R57" i="7" s="1"/>
  <c r="Z12" i="7"/>
  <c r="Z13" i="7"/>
  <c r="Z15" i="7"/>
  <c r="Z31" i="7"/>
  <c r="X104" i="7"/>
  <c r="E82" i="16" s="1"/>
  <c r="L3" i="7"/>
  <c r="X3" i="7" s="1"/>
  <c r="K105" i="7"/>
  <c r="R25" i="7"/>
  <c r="U104" i="7"/>
  <c r="C82" i="16" s="1"/>
  <c r="R4" i="7"/>
  <c r="R17" i="7"/>
  <c r="R28" i="7"/>
  <c r="D185" i="12"/>
  <c r="E185" i="12" s="1"/>
  <c r="Z49" i="7"/>
  <c r="D152" i="12"/>
  <c r="E152" i="12" s="1"/>
  <c r="O125" i="7" s="1"/>
  <c r="O82" i="7"/>
  <c r="R82" i="7" s="1"/>
  <c r="O81" i="7"/>
  <c r="R81" i="7" s="1"/>
  <c r="D160" i="12"/>
  <c r="E160" i="12" s="1"/>
  <c r="O77" i="7"/>
  <c r="R77" i="7" s="1"/>
  <c r="O76" i="7"/>
  <c r="R76" i="7" s="1"/>
  <c r="O16" i="7"/>
  <c r="O15" i="7"/>
  <c r="Z22" i="7"/>
  <c r="Z82" i="7"/>
  <c r="Z90" i="7"/>
  <c r="Z89" i="7"/>
  <c r="Z99" i="7"/>
  <c r="O18" i="7"/>
  <c r="Z95" i="7"/>
  <c r="Z72" i="7"/>
  <c r="D179" i="12"/>
  <c r="E179" i="12" s="1"/>
  <c r="E175" i="12"/>
  <c r="O30" i="7"/>
  <c r="R30" i="7" s="1"/>
  <c r="D180" i="12"/>
  <c r="E180" i="12" s="1"/>
  <c r="E176" i="12"/>
  <c r="Z102" i="7"/>
  <c r="Z66" i="7"/>
  <c r="Z97" i="7"/>
  <c r="Z91" i="7"/>
  <c r="Z87" i="7"/>
  <c r="D181" i="12"/>
  <c r="E181" i="12" s="1"/>
  <c r="E177" i="12"/>
  <c r="Z58" i="7"/>
  <c r="D187" i="12"/>
  <c r="E187" i="12" s="1"/>
  <c r="E184" i="12"/>
  <c r="Z64" i="7"/>
  <c r="Z100" i="7"/>
  <c r="Z77" i="7"/>
  <c r="Z88" i="7"/>
  <c r="Z56" i="7"/>
  <c r="Z92" i="7"/>
  <c r="Z85" i="7"/>
  <c r="Z71" i="7"/>
  <c r="Z80" i="7"/>
  <c r="Z98" i="7"/>
  <c r="R84" i="7"/>
  <c r="Z59" i="7"/>
  <c r="Z86" i="7"/>
  <c r="Z67" i="7"/>
  <c r="Z57" i="7"/>
  <c r="Z73" i="7"/>
  <c r="Z101" i="7"/>
  <c r="Z94" i="7"/>
  <c r="Z93" i="7"/>
  <c r="Z70" i="7"/>
  <c r="Z63" i="7"/>
  <c r="Z84" i="7"/>
  <c r="X53" i="7"/>
  <c r="E81" i="16" s="1"/>
  <c r="Z28" i="7"/>
  <c r="U53" i="7"/>
  <c r="C81" i="16" s="1"/>
  <c r="Z4" i="7"/>
  <c r="Z25" i="7"/>
  <c r="Z23" i="7"/>
  <c r="Z29" i="7"/>
  <c r="Z26" i="7"/>
  <c r="Z27" i="7"/>
  <c r="Z24" i="7"/>
  <c r="R26" i="7"/>
  <c r="O80" i="7"/>
  <c r="R80" i="7" s="1"/>
  <c r="R29" i="7"/>
  <c r="R23" i="7"/>
  <c r="R22" i="7"/>
  <c r="R24" i="7"/>
  <c r="R27" i="7"/>
  <c r="D105" i="12"/>
  <c r="E98" i="12"/>
  <c r="D107" i="12"/>
  <c r="E107" i="12" s="1"/>
  <c r="O97" i="7" s="1"/>
  <c r="R97" i="7" s="1"/>
  <c r="E100" i="12"/>
  <c r="O43" i="7"/>
  <c r="R43" i="7" s="1"/>
  <c r="O44" i="7"/>
  <c r="R44" i="7" s="1"/>
  <c r="O42" i="7"/>
  <c r="R42" i="7" s="1"/>
  <c r="O116" i="7"/>
  <c r="E63" i="12"/>
  <c r="O50" i="7" s="1"/>
  <c r="R50" i="7" s="1"/>
  <c r="D70" i="12"/>
  <c r="E70" i="12" s="1"/>
  <c r="O47" i="7" s="1"/>
  <c r="R47" i="7" s="1"/>
  <c r="O41" i="7"/>
  <c r="R41" i="7" s="1"/>
  <c r="O40" i="7"/>
  <c r="R40" i="7" s="1"/>
  <c r="O115" i="7"/>
  <c r="O89" i="7"/>
  <c r="R89" i="7" s="1"/>
  <c r="O61" i="7"/>
  <c r="R61" i="7" s="1"/>
  <c r="O88" i="7"/>
  <c r="R88" i="7" s="1"/>
  <c r="O92" i="7"/>
  <c r="R92" i="7" s="1"/>
  <c r="O62" i="7"/>
  <c r="R62" i="7" s="1"/>
  <c r="O64" i="7"/>
  <c r="R64" i="7" s="1"/>
  <c r="O93" i="7"/>
  <c r="R93" i="7" s="1"/>
  <c r="O94" i="7"/>
  <c r="R94" i="7" s="1"/>
  <c r="O90" i="7"/>
  <c r="R90" i="7" s="1"/>
  <c r="O91" i="7"/>
  <c r="R91" i="7" s="1"/>
  <c r="O63" i="7"/>
  <c r="R63" i="7" s="1"/>
  <c r="E102" i="12"/>
  <c r="O102" i="7" s="1"/>
  <c r="R102" i="7" s="1"/>
  <c r="D109" i="12"/>
  <c r="E109" i="12" s="1"/>
  <c r="E64" i="12"/>
  <c r="D71" i="12"/>
  <c r="E71" i="12" s="1"/>
  <c r="E62" i="12"/>
  <c r="O49" i="7" s="1"/>
  <c r="R49" i="7" s="1"/>
  <c r="D69" i="12"/>
  <c r="E69" i="12" s="1"/>
  <c r="O36" i="7"/>
  <c r="O35" i="7"/>
  <c r="R35" i="7" s="1"/>
  <c r="O34" i="7"/>
  <c r="R34" i="7" s="1"/>
  <c r="O59" i="7"/>
  <c r="R59" i="7" s="1"/>
  <c r="R56" i="7"/>
  <c r="O33" i="7"/>
  <c r="R33" i="7" s="1"/>
  <c r="E80" i="12"/>
  <c r="D81" i="12"/>
  <c r="O85" i="7"/>
  <c r="R85" i="7" s="1"/>
  <c r="O60" i="7"/>
  <c r="R60" i="7" s="1"/>
  <c r="O87" i="7"/>
  <c r="R87" i="7" s="1"/>
  <c r="O86" i="7"/>
  <c r="R86" i="7" s="1"/>
  <c r="O37" i="7"/>
  <c r="R37" i="7" s="1"/>
  <c r="O38" i="7"/>
  <c r="R38" i="7" s="1"/>
  <c r="O39" i="7"/>
  <c r="R39" i="7" s="1"/>
  <c r="O67" i="7"/>
  <c r="R67" i="7" s="1"/>
  <c r="O66" i="7"/>
  <c r="R66" i="7" s="1"/>
  <c r="O65" i="7"/>
  <c r="D68" i="12"/>
  <c r="E68" i="12" s="1"/>
  <c r="O45" i="7" s="1"/>
  <c r="R45" i="7" s="1"/>
  <c r="E61" i="12"/>
  <c r="O48" i="7" s="1"/>
  <c r="R48" i="7" s="1"/>
  <c r="E65" i="12"/>
  <c r="O52" i="7" s="1"/>
  <c r="R52" i="7" s="1"/>
  <c r="D72" i="12"/>
  <c r="E72" i="12" s="1"/>
  <c r="D106" i="12"/>
  <c r="E106" i="12" s="1"/>
  <c r="E99" i="12"/>
  <c r="O99" i="7" s="1"/>
  <c r="R99" i="7" s="1"/>
  <c r="D108" i="12"/>
  <c r="E108" i="12" s="1"/>
  <c r="E101" i="12"/>
  <c r="O101" i="7" s="1"/>
  <c r="R101" i="7" s="1"/>
  <c r="O70" i="7"/>
  <c r="R70" i="7" s="1"/>
  <c r="O71" i="7"/>
  <c r="R71" i="7" s="1"/>
  <c r="O72" i="7"/>
  <c r="R72" i="7" s="1"/>
  <c r="O73" i="7"/>
  <c r="R73" i="7" s="1"/>
  <c r="O69" i="7"/>
  <c r="R69" i="7" s="1"/>
  <c r="O58" i="7" l="1"/>
  <c r="R58" i="7" s="1"/>
  <c r="O119" i="7"/>
  <c r="D29" i="12"/>
  <c r="N3" i="7"/>
  <c r="Q3" i="7" s="1"/>
  <c r="X110" i="7"/>
  <c r="D28" i="12"/>
  <c r="E28" i="12" s="1"/>
  <c r="U3" i="7"/>
  <c r="U19" i="7" s="1"/>
  <c r="U105" i="7" s="1"/>
  <c r="R16" i="7"/>
  <c r="R15" i="7"/>
  <c r="R18" i="7"/>
  <c r="Z104" i="7"/>
  <c r="D188" i="12"/>
  <c r="E188" i="12" s="1"/>
  <c r="O126" i="7"/>
  <c r="O96" i="7"/>
  <c r="R96" i="7" s="1"/>
  <c r="U110" i="7"/>
  <c r="X19" i="7"/>
  <c r="O118" i="7"/>
  <c r="O51" i="7"/>
  <c r="R51" i="7" s="1"/>
  <c r="O117" i="7"/>
  <c r="O46" i="7"/>
  <c r="R46" i="7" s="1"/>
  <c r="E46" i="12"/>
  <c r="E29" i="12"/>
  <c r="E47" i="12"/>
  <c r="U109" i="7"/>
  <c r="X109" i="7"/>
  <c r="Z53" i="7"/>
  <c r="E105" i="12"/>
  <c r="O95" i="7" s="1"/>
  <c r="R95" i="7" s="1"/>
  <c r="E81" i="12"/>
  <c r="D82" i="12"/>
  <c r="O21" i="7"/>
  <c r="R21" i="7" s="1"/>
  <c r="O55" i="7"/>
  <c r="O100" i="7"/>
  <c r="R100" i="7" s="1"/>
  <c r="O128" i="7"/>
  <c r="O127" i="7"/>
  <c r="O98" i="7"/>
  <c r="R98" i="7" s="1"/>
  <c r="R54" i="7"/>
  <c r="R65" i="7"/>
  <c r="Z3" i="7" l="1"/>
  <c r="Z19" i="7" s="1"/>
  <c r="Z105" i="7" s="1"/>
  <c r="U108" i="7"/>
  <c r="U111" i="7" s="1"/>
  <c r="C80" i="16"/>
  <c r="X108" i="7"/>
  <c r="E80" i="16"/>
  <c r="R55" i="7"/>
  <c r="R104" i="7" s="1"/>
  <c r="Q104" i="7"/>
  <c r="X111" i="7"/>
  <c r="X105" i="7"/>
  <c r="O20" i="7"/>
  <c r="O3" i="7"/>
  <c r="D83" i="12"/>
  <c r="E82" i="12"/>
  <c r="R20" i="7" l="1"/>
  <c r="Q53" i="7"/>
  <c r="R3" i="7"/>
  <c r="Q19" i="7"/>
  <c r="Z111" i="7"/>
  <c r="U113" i="7" s="1"/>
  <c r="D84" i="12"/>
  <c r="E84" i="12" s="1"/>
  <c r="E83" i="12"/>
  <c r="Q105" i="7" l="1"/>
  <c r="R19" i="7"/>
  <c r="R53" i="7"/>
  <c r="X113" i="7"/>
  <c r="R105" i="7" l="1"/>
  <c r="C68" i="4" l="1"/>
  <c r="C69" i="4" s="1"/>
  <c r="C71" i="4" s="1"/>
  <c r="B25" i="21"/>
  <c r="B27" i="21" s="1"/>
</calcChain>
</file>

<file path=xl/comments1.xml><?xml version="1.0" encoding="utf-8"?>
<comments xmlns="http://schemas.openxmlformats.org/spreadsheetml/2006/main">
  <authors>
    <author>Irmgard R Wilcox</author>
  </authors>
  <commentList>
    <comment ref="E18" authorId="0" shapeId="0">
      <text>
        <r>
          <rPr>
            <b/>
            <sz val="9"/>
            <color indexed="81"/>
            <rFont val="Tahoma"/>
            <family val="2"/>
          </rPr>
          <t>Irmgard R Wilcox:</t>
        </r>
        <r>
          <rPr>
            <sz val="9"/>
            <color indexed="81"/>
            <rFont val="Tahoma"/>
            <family val="2"/>
          </rPr>
          <t xml:space="preserve">
Not on tariff, doubled the pu frequency to adj for second can and left the lbs same as 1-can
</t>
        </r>
      </text>
    </comment>
    <comment ref="E57" authorId="0" shapeId="0">
      <text>
        <r>
          <rPr>
            <b/>
            <sz val="9"/>
            <color indexed="81"/>
            <rFont val="Tahoma"/>
            <family val="2"/>
          </rPr>
          <t>Irmgard R Wilcox:</t>
        </r>
        <r>
          <rPr>
            <sz val="9"/>
            <color indexed="81"/>
            <rFont val="Tahoma"/>
            <family val="2"/>
          </rPr>
          <t xml:space="preserve">
Not on tariff, doubled the pu freguency and left the lbs the same as 1-can.  Also for the  3, 4 can.
</t>
        </r>
      </text>
    </comment>
  </commentList>
</comments>
</file>

<file path=xl/comments2.xml><?xml version="1.0" encoding="utf-8"?>
<comments xmlns="http://schemas.openxmlformats.org/spreadsheetml/2006/main">
  <authors>
    <author>RioF</author>
  </authors>
  <commentList>
    <comment ref="A23" authorId="0" shapeId="0">
      <text>
        <r>
          <rPr>
            <b/>
            <sz val="10"/>
            <color indexed="81"/>
            <rFont val="Tahoma"/>
            <family val="2"/>
          </rPr>
          <t>RioF:</t>
        </r>
        <r>
          <rPr>
            <sz val="10"/>
            <color indexed="81"/>
            <rFont val="Tahoma"/>
            <family val="2"/>
          </rPr>
          <t xml:space="preserve">
TRIPRCARTS-RECYCLE
</t>
        </r>
      </text>
    </comment>
  </commentList>
</comments>
</file>

<file path=xl/comments3.xml><?xml version="1.0" encoding="utf-8"?>
<comments xmlns="http://schemas.openxmlformats.org/spreadsheetml/2006/main">
  <authors>
    <author>RioF</author>
  </authors>
  <commentList>
    <comment ref="A23" authorId="0" shapeId="0">
      <text>
        <r>
          <rPr>
            <b/>
            <sz val="10"/>
            <color indexed="81"/>
            <rFont val="Tahoma"/>
            <family val="2"/>
          </rPr>
          <t>RioF:</t>
        </r>
        <r>
          <rPr>
            <sz val="10"/>
            <color indexed="81"/>
            <rFont val="Tahoma"/>
            <family val="2"/>
          </rPr>
          <t xml:space="preserve">
TRIPRCARTS-RECYCLE
</t>
        </r>
      </text>
    </comment>
  </commentList>
</comments>
</file>

<file path=xl/sharedStrings.xml><?xml version="1.0" encoding="utf-8"?>
<sst xmlns="http://schemas.openxmlformats.org/spreadsheetml/2006/main" count="2399" uniqueCount="893">
  <si>
    <t>Monthly Frequency</t>
  </si>
  <si>
    <t>Annual PU's</t>
  </si>
  <si>
    <t>Gross Up</t>
  </si>
  <si>
    <t>Totals</t>
  </si>
  <si>
    <t>Increase per ton</t>
  </si>
  <si>
    <t>Total Pick Ups</t>
  </si>
  <si>
    <t>Per Ton</t>
  </si>
  <si>
    <t>Per Pound</t>
  </si>
  <si>
    <t xml:space="preserve">Current Rate </t>
  </si>
  <si>
    <t>New Rate per ton</t>
  </si>
  <si>
    <t>Increase</t>
  </si>
  <si>
    <t>Meeks Weights</t>
  </si>
  <si>
    <t>Adjustment factor</t>
  </si>
  <si>
    <t>Collected Revenue Excess/(Deficiency)</t>
  </si>
  <si>
    <t>Residential</t>
  </si>
  <si>
    <t>Commercial</t>
  </si>
  <si>
    <t>Tariff Page</t>
  </si>
  <si>
    <t>Total</t>
  </si>
  <si>
    <t>Scheduled Service</t>
  </si>
  <si>
    <t>Monthly Factor</t>
  </si>
  <si>
    <t>Lbs. per ton</t>
  </si>
  <si>
    <t>Yds. Per ton</t>
  </si>
  <si>
    <t>Weekly Pickup (WG)</t>
  </si>
  <si>
    <t>Monthly (MG)</t>
  </si>
  <si>
    <t>Every Other Week (EOWG)</t>
  </si>
  <si>
    <t>Tons Collected</t>
  </si>
  <si>
    <t>Grossed Up Increase per ton</t>
  </si>
  <si>
    <t>Gross Up Factors</t>
  </si>
  <si>
    <t>B&amp;O tax</t>
  </si>
  <si>
    <t>WUTC fees</t>
  </si>
  <si>
    <t>Factor</t>
  </si>
  <si>
    <t>Disposal Fee Revenue Increase</t>
  </si>
  <si>
    <t>Extras</t>
  </si>
  <si>
    <t>Total Tonnage</t>
  </si>
  <si>
    <t>Total Pounds</t>
  </si>
  <si>
    <t>Calculated Annual Pounds</t>
  </si>
  <si>
    <t>Adjusted Annual Pounds</t>
  </si>
  <si>
    <t>Company Proposed Tariff</t>
  </si>
  <si>
    <t>Company Current Tariff</t>
  </si>
  <si>
    <t>Company Current Revenue</t>
  </si>
  <si>
    <t>Tariff Rate Increase</t>
  </si>
  <si>
    <t>Revised Revenue Increase</t>
  </si>
  <si>
    <t>1 unit</t>
  </si>
  <si>
    <t>2 units</t>
  </si>
  <si>
    <t>3 units</t>
  </si>
  <si>
    <t>n/a</t>
  </si>
  <si>
    <t>4 units</t>
  </si>
  <si>
    <t>5 units</t>
  </si>
  <si>
    <t>6 units</t>
  </si>
  <si>
    <t>Bad Debts</t>
  </si>
  <si>
    <t>Res'l</t>
  </si>
  <si>
    <t>7 unit</t>
  </si>
  <si>
    <t>5 Times per Week</t>
  </si>
  <si>
    <t>3 Times per Week</t>
  </si>
  <si>
    <t>2 Times per Week</t>
  </si>
  <si>
    <t>Pickups:</t>
  </si>
  <si>
    <t>1 can</t>
  </si>
  <si>
    <t>2 cans</t>
  </si>
  <si>
    <t>3 cans</t>
  </si>
  <si>
    <t>4 cans</t>
  </si>
  <si>
    <t>5 cans</t>
  </si>
  <si>
    <t>6 cans</t>
  </si>
  <si>
    <t>Supercan 60</t>
  </si>
  <si>
    <t>Supercan 90</t>
  </si>
  <si>
    <t>Once a month</t>
  </si>
  <si>
    <t>Com'l</t>
  </si>
  <si>
    <t>Cans</t>
  </si>
  <si>
    <t>1 yd container</t>
  </si>
  <si>
    <t>1.5 yd container</t>
  </si>
  <si>
    <t>2 yd container</t>
  </si>
  <si>
    <t>3 yd container</t>
  </si>
  <si>
    <t>4 yd container</t>
  </si>
  <si>
    <t>6 yd container</t>
  </si>
  <si>
    <t>8 yd container</t>
  </si>
  <si>
    <t>3 yd packer/compactor</t>
  </si>
  <si>
    <t>2 yd packer/compactor</t>
  </si>
  <si>
    <t>4 yd packer/compactor</t>
  </si>
  <si>
    <t>6 yd packer/compactor</t>
  </si>
  <si>
    <t>Yards</t>
  </si>
  <si>
    <t>Pounds per Pickup</t>
  </si>
  <si>
    <t>20 gal minican</t>
  </si>
  <si>
    <t>*</t>
  </si>
  <si>
    <t>Annual</t>
  </si>
  <si>
    <t>Revenue</t>
  </si>
  <si>
    <t>Customers</t>
  </si>
  <si>
    <t>Res'l &amp; Com'l</t>
  </si>
  <si>
    <t>Revenue Inc from Co Proposed Rates</t>
  </si>
  <si>
    <t>Company Proposed Rates</t>
  </si>
  <si>
    <t>Adjustment Factor Calculation</t>
  </si>
  <si>
    <t>4 Times per Week</t>
  </si>
  <si>
    <t>No Current Customers</t>
  </si>
  <si>
    <t>Service Code Description</t>
  </si>
  <si>
    <t>Transfer Station</t>
  </si>
  <si>
    <t>1YD CONT 1X WEEKLY</t>
  </si>
  <si>
    <t>1.5YD CONT 1X WEEKLY</t>
  </si>
  <si>
    <t>2YD CONT 1X WEEKLY</t>
  </si>
  <si>
    <t>2YD CONT 2X WEEKLY</t>
  </si>
  <si>
    <t>Check</t>
  </si>
  <si>
    <t>Murrey's Disposal Co., Inc.  G-9</t>
  </si>
  <si>
    <t>American Disposal Co., Inc. G-87</t>
  </si>
  <si>
    <t>Current</t>
  </si>
  <si>
    <t xml:space="preserve">New </t>
  </si>
  <si>
    <t>Tariff</t>
  </si>
  <si>
    <t>Proposed</t>
  </si>
  <si>
    <t>Rate</t>
  </si>
  <si>
    <t>Item 55, Pg 16</t>
  </si>
  <si>
    <t>Over size</t>
  </si>
  <si>
    <t>WG-R</t>
  </si>
  <si>
    <t>Item 100, pg 21</t>
  </si>
  <si>
    <t xml:space="preserve">Mini can </t>
  </si>
  <si>
    <t>Mini can</t>
  </si>
  <si>
    <t>WG-NR</t>
  </si>
  <si>
    <t>One can</t>
  </si>
  <si>
    <t>Two cans</t>
  </si>
  <si>
    <t>Three cans</t>
  </si>
  <si>
    <t>Four cans</t>
  </si>
  <si>
    <t>Five cans</t>
  </si>
  <si>
    <t>Six cans</t>
  </si>
  <si>
    <t>MG</t>
  </si>
  <si>
    <t>Item 100, pg 22</t>
  </si>
  <si>
    <t>Extra Units</t>
  </si>
  <si>
    <t>Each</t>
  </si>
  <si>
    <t>On Call</t>
  </si>
  <si>
    <t>Item 105, pg 25</t>
  </si>
  <si>
    <t>Item 105, pg 26</t>
  </si>
  <si>
    <t>Item 105, pg 27</t>
  </si>
  <si>
    <t>Can Count</t>
  </si>
  <si>
    <t>Item 105, pg 28</t>
  </si>
  <si>
    <t>1 yard</t>
  </si>
  <si>
    <t>1.5 yard</t>
  </si>
  <si>
    <t>2 yard</t>
  </si>
  <si>
    <t>4 yard</t>
  </si>
  <si>
    <t>6 yard</t>
  </si>
  <si>
    <t>Special Pickups</t>
  </si>
  <si>
    <t>Temporary Service</t>
  </si>
  <si>
    <t>Item 120, pg 32</t>
  </si>
  <si>
    <t>Drum</t>
  </si>
  <si>
    <t>Special Pickup</t>
  </si>
  <si>
    <t>Item 150, pg 32</t>
  </si>
  <si>
    <t>Bulky</t>
  </si>
  <si>
    <t>Loose material</t>
  </si>
  <si>
    <t>Additional</t>
  </si>
  <si>
    <t>Minimum</t>
  </si>
  <si>
    <t>Item 230, pg 38</t>
  </si>
  <si>
    <t>Garbage</t>
  </si>
  <si>
    <t>Ton</t>
  </si>
  <si>
    <t>Item 240, pg 39</t>
  </si>
  <si>
    <t>Item 245, pg 40</t>
  </si>
  <si>
    <t>1 32 gal can</t>
  </si>
  <si>
    <t>Special pickups, p/can</t>
  </si>
  <si>
    <t>Temporary p/can</t>
  </si>
  <si>
    <t>Minimum monthly charge</t>
  </si>
  <si>
    <t>Item 255, pg 42  2.25:1 compaction</t>
  </si>
  <si>
    <t>Special and Temporary</t>
  </si>
  <si>
    <t>Item 255, pg 43  3:1 compaction</t>
  </si>
  <si>
    <t>3 yard</t>
  </si>
  <si>
    <t>Item 255, pg 44  4:1 compaction</t>
  </si>
  <si>
    <t>Item 255, pg 45  5:1 compaction</t>
  </si>
  <si>
    <t>Item 255, pg 46  2.25:1 compaction</t>
  </si>
  <si>
    <t>Item 255, pg 47  3:1 compaction</t>
  </si>
  <si>
    <t>Item 255, pg 48  4:1 compaction</t>
  </si>
  <si>
    <t>Item 255, pg 49  5:1 compaction</t>
  </si>
  <si>
    <t>Murrey's/American Disposal Co, Inc.</t>
  </si>
  <si>
    <t>Test Period</t>
  </si>
  <si>
    <t>RESIDENTIAL</t>
  </si>
  <si>
    <t>EXTRA UNITS</t>
  </si>
  <si>
    <t>Returned Trip - Carts</t>
  </si>
  <si>
    <t>1-20 GAL CAN WEEKLY</t>
  </si>
  <si>
    <t>1-20 GAL WKLY NON REC</t>
  </si>
  <si>
    <t>1-32 GAL CAN MONTHLY</t>
  </si>
  <si>
    <t>1-32 GAL CAN WEEKLY</t>
  </si>
  <si>
    <t>1-32 GAL WKLY NON REC</t>
  </si>
  <si>
    <t>2-32 GAL CANS WEEKLY</t>
  </si>
  <si>
    <t>2-32 GAL WKLY NON REC</t>
  </si>
  <si>
    <t>3-32 GAL CANS WEEKLY</t>
  </si>
  <si>
    <t>3-32 GAL WKLY NON REC</t>
  </si>
  <si>
    <t>4-32 GAL CANS WEEKLY</t>
  </si>
  <si>
    <t>4-32 GAL WKLY NON REC</t>
  </si>
  <si>
    <t>5-32 GAL CANS WEEKLY</t>
  </si>
  <si>
    <t>5-32 GAL WKLY NON REC</t>
  </si>
  <si>
    <t>6-32 GAL CANS WEEKLY</t>
  </si>
  <si>
    <t>6-32 GAL WKLY NON REC</t>
  </si>
  <si>
    <t>1 IMPROPER CAN - RESI</t>
  </si>
  <si>
    <t>2 IMPROPER CANS - RESI</t>
  </si>
  <si>
    <t>MULTI-FAMILY</t>
  </si>
  <si>
    <t>MF EXTRA CANS</t>
  </si>
  <si>
    <t>MF EXTRA YARDS</t>
  </si>
  <si>
    <t>1-32 GAL CAN MULTI-FAMILY</t>
  </si>
  <si>
    <t>MF 1 CAN NON RECY</t>
  </si>
  <si>
    <t>2-32 GAL CANS MULTI-FAMILY</t>
  </si>
  <si>
    <t>MF 2 CANS NON RECY</t>
  </si>
  <si>
    <t>3-32 GAL CANS MULTI-FAMILY</t>
  </si>
  <si>
    <t>MF 3 CAN NON RECY</t>
  </si>
  <si>
    <t>4-32 GAL CANS MULTI-FAMILY</t>
  </si>
  <si>
    <t>MF 4 CAN NON RECY</t>
  </si>
  <si>
    <t>6-32 GAL CANS MULTI-FAMILY</t>
  </si>
  <si>
    <t>MF 1 IMPROPER CAN W/ RECY</t>
  </si>
  <si>
    <t>Can Count First P/U w/Recycle</t>
  </si>
  <si>
    <t>Can Count Each Additional</t>
  </si>
  <si>
    <t>MF 1YD CONT 1X WKLY</t>
  </si>
  <si>
    <t>MF 1.5YD CONT 1X WKLY</t>
  </si>
  <si>
    <t>MF 1.5YD CONT 2X WKLY</t>
  </si>
  <si>
    <t>MF 1.5YD CONT 3X WKLY</t>
  </si>
  <si>
    <t>MF 2YD CONT 1X WKLY</t>
  </si>
  <si>
    <t>MF 2YD CONT 2X WKLY</t>
  </si>
  <si>
    <t>MF 2YD CONT 3X WKLY</t>
  </si>
  <si>
    <t>MF 4YD CONT 1X WKLY</t>
  </si>
  <si>
    <t>MF 4YD CONT 2X WKLY</t>
  </si>
  <si>
    <t>MF 4YD CONT 3X WKLY</t>
  </si>
  <si>
    <t>MF 6YD CONT 1X WKLY</t>
  </si>
  <si>
    <t>MF 6YD CONT 2X WKLY</t>
  </si>
  <si>
    <t>MF 6YD CONT 3X WKLY</t>
  </si>
  <si>
    <t>MF 6YD CONT 4X WKLY</t>
  </si>
  <si>
    <t>MF 1YD TEMP CONT</t>
  </si>
  <si>
    <t>MF 1.5YD TEMP CONT</t>
  </si>
  <si>
    <t>MF 2YD TEMP CONT</t>
  </si>
  <si>
    <t>MF 1YD CONT SPECIAL PU</t>
  </si>
  <si>
    <t>MF 1.5YD CONT SPECIAL PU</t>
  </si>
  <si>
    <t>MF 2YD CONT SPECIAL PU</t>
  </si>
  <si>
    <t>MF 4YD CONT SPECIAL PU</t>
  </si>
  <si>
    <t>MF 6YD CONT SPECIAL PU</t>
  </si>
  <si>
    <t>COMMERICAL EXTRA CAN</t>
  </si>
  <si>
    <t>COMMERICAL EXTRA YARD</t>
  </si>
  <si>
    <t>2-32 GAL CANS WKLY</t>
  </si>
  <si>
    <t>3-32 GAL CANS WKLY</t>
  </si>
  <si>
    <t>4-32 GAL CANS WKLY</t>
  </si>
  <si>
    <t xml:space="preserve">5-32 GAL CANS WKLY </t>
  </si>
  <si>
    <t>2YD CONT 3X WEEKLY</t>
  </si>
  <si>
    <t>4YD CONT 1X WEEKLY</t>
  </si>
  <si>
    <t>4YD CONT 2X WEEKLY</t>
  </si>
  <si>
    <t>4YD CONT 3X WEEKLY</t>
  </si>
  <si>
    <t>6YD CONT 1X WEEKLY</t>
  </si>
  <si>
    <t>6YD CONT 2X WEEKLY</t>
  </si>
  <si>
    <t>6YD CONT 3X WEEKLY</t>
  </si>
  <si>
    <t>6YD CONT 4X WEEKLY</t>
  </si>
  <si>
    <t>6YD CONT 5X WEEKLY</t>
  </si>
  <si>
    <t>2YD COMP 1X WEEK 2.25:1</t>
  </si>
  <si>
    <t>6YD COMP 2X WEEK 3:1</t>
  </si>
  <si>
    <t>3YD COMP ONCALL 3:1</t>
  </si>
  <si>
    <t>1YD CONT 1xWEEKLY</t>
  </si>
  <si>
    <t>1YD CONT 2xWEEKLY</t>
  </si>
  <si>
    <t>1YD CONT 3xWEEKLY</t>
  </si>
  <si>
    <t>1.5YD CONT 1xWEEKLY</t>
  </si>
  <si>
    <t>1.5YD CONT 2xWEEKLY</t>
  </si>
  <si>
    <t>2YD CONT 1xWEEKLY</t>
  </si>
  <si>
    <t>2YD CONT 2xWEEKLY</t>
  </si>
  <si>
    <t>2YD CONT 3xWEEKLY</t>
  </si>
  <si>
    <t>2YD CONT 4xWEEKLY</t>
  </si>
  <si>
    <t>2YD CONT 5xWEEKLY</t>
  </si>
  <si>
    <t>1YD TEMP CONTAINER</t>
  </si>
  <si>
    <t>1.5YD TEMP CONTAINER</t>
  </si>
  <si>
    <t>2YD TEMP CONTAINER</t>
  </si>
  <si>
    <t>1YD CONTAINER SPECIAL PU</t>
  </si>
  <si>
    <t>1.5YD CONTAINERSPECIAL PU</t>
  </si>
  <si>
    <t>2YD CONTAINER SPECIAL PU</t>
  </si>
  <si>
    <t>4YD CONTAINER SPECIAL PU</t>
  </si>
  <si>
    <t>6YD CONTAINER SPECIAL PU</t>
  </si>
  <si>
    <t>Multi-Family</t>
  </si>
  <si>
    <t>MF</t>
  </si>
  <si>
    <t>na</t>
  </si>
  <si>
    <t>45 (na)</t>
  </si>
  <si>
    <t>6YD COMP 1X WEEK 2.25:1</t>
  </si>
  <si>
    <t>4YD COMP 1X WEEK 3:1</t>
  </si>
  <si>
    <t>2YD COMP 1X WEEK 3:1</t>
  </si>
  <si>
    <t>3YD Comp 1X Week 4:1</t>
  </si>
  <si>
    <t>Annual Increase</t>
  </si>
  <si>
    <t>Total Increase</t>
  </si>
  <si>
    <t>Murrey's Annual Units</t>
  </si>
  <si>
    <t>American Annual Units</t>
  </si>
  <si>
    <t>Residential:</t>
  </si>
  <si>
    <t>Multi-Family:</t>
  </si>
  <si>
    <t>Commercial:</t>
  </si>
  <si>
    <t>Pierce County</t>
  </si>
  <si>
    <t>DF Effective 3/1/2016</t>
  </si>
  <si>
    <t>Monthly</t>
  </si>
  <si>
    <t>5-32 GAL CANS MULTI-FAMILY</t>
  </si>
  <si>
    <t>Compaction Ratio:   3:1</t>
  </si>
  <si>
    <t>Compaction Ratio:   2:25</t>
  </si>
  <si>
    <t>Compaction Ratio:   4:1</t>
  </si>
  <si>
    <t>Compaction Ratio:   5:1</t>
  </si>
  <si>
    <t>* not on meeks - calculated</t>
  </si>
  <si>
    <t xml:space="preserve">    weight times compaction ratio</t>
  </si>
  <si>
    <t>Recycling Credits</t>
  </si>
  <si>
    <t xml:space="preserve">Recycling </t>
  </si>
  <si>
    <t>Recycling</t>
  </si>
  <si>
    <t>Restart Fee</t>
  </si>
  <si>
    <t>Extra Unit</t>
  </si>
  <si>
    <t>Returned Trip</t>
  </si>
  <si>
    <t>Drive-in</t>
  </si>
  <si>
    <t>Packout</t>
  </si>
  <si>
    <t>Obstraction</t>
  </si>
  <si>
    <t>Steps</t>
  </si>
  <si>
    <t>Sunken</t>
  </si>
  <si>
    <t>Packout-Recycling</t>
  </si>
  <si>
    <t>Recycling Only</t>
  </si>
  <si>
    <t>Delivery - Carts</t>
  </si>
  <si>
    <t>Drive-in Recycling</t>
  </si>
  <si>
    <t>Drive-in Yard Waste</t>
  </si>
  <si>
    <t>Returned Trip YW Tote</t>
  </si>
  <si>
    <t>Yard Waste</t>
  </si>
  <si>
    <t>Delivery - YW Tote</t>
  </si>
  <si>
    <t>Extra Unit YW</t>
  </si>
  <si>
    <t>Mini can w/recycling</t>
  </si>
  <si>
    <t>Mini can wo/recycling</t>
  </si>
  <si>
    <t>32 gal per month</t>
  </si>
  <si>
    <t>1-32 gal per week w/r</t>
  </si>
  <si>
    <t>1-32 gal per week wo/r</t>
  </si>
  <si>
    <t>2-32 gal per week w/r</t>
  </si>
  <si>
    <t>2-32 gal per week wo/r</t>
  </si>
  <si>
    <t>3-32 gal per week w/r</t>
  </si>
  <si>
    <t>3-32 gal per week wo/r</t>
  </si>
  <si>
    <t>4-32 gal per week w/r</t>
  </si>
  <si>
    <t>4-32 gal per week wo/r</t>
  </si>
  <si>
    <t>5-32 gal per week w/r</t>
  </si>
  <si>
    <t>5-32 gal per week wo/r</t>
  </si>
  <si>
    <t>6-32 gal per week w/r</t>
  </si>
  <si>
    <t>6-32 gal per week wo/r</t>
  </si>
  <si>
    <t>1 Improper per week w/r</t>
  </si>
  <si>
    <t>2 Improver per week w/r</t>
  </si>
  <si>
    <t>Recycling Credit</t>
  </si>
  <si>
    <t>Extra Yard</t>
  </si>
  <si>
    <t>Container Delivery</t>
  </si>
  <si>
    <t>Recycling Credit - Yardage</t>
  </si>
  <si>
    <t>Recycling Incentive</t>
  </si>
  <si>
    <t>Roll-out</t>
  </si>
  <si>
    <t>Delivery - Yard Waste Cart</t>
  </si>
  <si>
    <t>MF - Containers:</t>
  </si>
  <si>
    <t>1 yd once per week</t>
  </si>
  <si>
    <t>1 yard twice per week</t>
  </si>
  <si>
    <t>1.5 yard once per week</t>
  </si>
  <si>
    <t>1.5 yard twice per week</t>
  </si>
  <si>
    <t>1.5 yard three times p/wk</t>
  </si>
  <si>
    <t>2 yard once per week</t>
  </si>
  <si>
    <t>2 yard twice per week</t>
  </si>
  <si>
    <t>2 yard three times p/wk</t>
  </si>
  <si>
    <t>4 yard once per week</t>
  </si>
  <si>
    <t>4 yard twice per week</t>
  </si>
  <si>
    <t>4 yard three times p/wk</t>
  </si>
  <si>
    <t>6 yard once per week</t>
  </si>
  <si>
    <t>6 yard twice per week</t>
  </si>
  <si>
    <t>6 yard three times p/wk</t>
  </si>
  <si>
    <t>6 yard four times p/wk</t>
  </si>
  <si>
    <t>1 yard extra pu</t>
  </si>
  <si>
    <t>1/5 yard extra pu</t>
  </si>
  <si>
    <t>2 yard extra pu</t>
  </si>
  <si>
    <t>1 yard extra</t>
  </si>
  <si>
    <t>1.5 yard extra</t>
  </si>
  <si>
    <t>2 yard extra</t>
  </si>
  <si>
    <t>4 yard extra</t>
  </si>
  <si>
    <t>6 yard extra</t>
  </si>
  <si>
    <t>COMMERCIAL</t>
  </si>
  <si>
    <t>Extra unit</t>
  </si>
  <si>
    <t>Extra yard -container</t>
  </si>
  <si>
    <t>Roll-out - container</t>
  </si>
  <si>
    <t>Return trip -container</t>
  </si>
  <si>
    <t>Returned trip</t>
  </si>
  <si>
    <t>Time charge</t>
  </si>
  <si>
    <t>Restart fee</t>
  </si>
  <si>
    <t>1-32 gal once per week</t>
  </si>
  <si>
    <t>2-32 gal once per week</t>
  </si>
  <si>
    <t>3-32 gal once per week</t>
  </si>
  <si>
    <t>4-32 gal once per week</t>
  </si>
  <si>
    <t>5-32 gal once per week</t>
  </si>
  <si>
    <t>Improper can once p/wk</t>
  </si>
  <si>
    <t>1 yard once p/wk</t>
  </si>
  <si>
    <t>1.5 yard once p/wk</t>
  </si>
  <si>
    <t>2 yard once p/wk</t>
  </si>
  <si>
    <t>2 yard twice p/wk</t>
  </si>
  <si>
    <t>4 yard once p/wk</t>
  </si>
  <si>
    <t>4 yard twice p/wk</t>
  </si>
  <si>
    <t>4 yarf four times p/wk</t>
  </si>
  <si>
    <t>6 yard once p/wk</t>
  </si>
  <si>
    <t>6 yard twice p/wk</t>
  </si>
  <si>
    <t>6 yard five times p/wk</t>
  </si>
  <si>
    <t>2 yard comp once p/w 2:25:1</t>
  </si>
  <si>
    <t>2 yard comp twice p/w 2:25:1</t>
  </si>
  <si>
    <t>4 yard comp once p/w 2:25:1</t>
  </si>
  <si>
    <t>4 yard comp once p/w 4:1</t>
  </si>
  <si>
    <t>4 yard comp once p/w 5:1</t>
  </si>
  <si>
    <t>4 yard comp twice p/w 5:1</t>
  </si>
  <si>
    <t>4 yard comp 3X p/w 2.25:1</t>
  </si>
  <si>
    <t>6 yard comp twice p/w 3:1</t>
  </si>
  <si>
    <t>6 yard comp once p/w 5:1</t>
  </si>
  <si>
    <t>6 yard comp twice p/w 4:1</t>
  </si>
  <si>
    <t>6 yard comp twice p/w 5:1</t>
  </si>
  <si>
    <t>6 yard comp 5X p/w 4:1</t>
  </si>
  <si>
    <t>3 yard comp once p/w 3:1</t>
  </si>
  <si>
    <t>3 yard comp twice p/w 3:1</t>
  </si>
  <si>
    <t>3 yard comp on call 3:1</t>
  </si>
  <si>
    <t>4 yard comp on call 5:1</t>
  </si>
  <si>
    <t>4 yard comp eow 5:1</t>
  </si>
  <si>
    <t>6 yard comp once p/w 4:1</t>
  </si>
  <si>
    <t>1 yard twice p/wk</t>
  </si>
  <si>
    <t>1 yard three times p/wk</t>
  </si>
  <si>
    <t>1.5 yard twice p/wk</t>
  </si>
  <si>
    <t>2 yard four times p/wk</t>
  </si>
  <si>
    <t>2 yard five times p/wk</t>
  </si>
  <si>
    <t>ROLL-OFF HAULS:</t>
  </si>
  <si>
    <t>Perm Drop Box Rent</t>
  </si>
  <si>
    <t>20 yard</t>
  </si>
  <si>
    <t>25 yard</t>
  </si>
  <si>
    <t>30 yard</t>
  </si>
  <si>
    <t>40 yard</t>
  </si>
  <si>
    <t>50 yard</t>
  </si>
  <si>
    <t>Permanent Drop Box</t>
  </si>
  <si>
    <t>Temporary DB (rent)</t>
  </si>
  <si>
    <t>Temporary Drop Box</t>
  </si>
  <si>
    <t>Cust owned Drop Box</t>
  </si>
  <si>
    <t>10 yard</t>
  </si>
  <si>
    <t>Cust owned Comp</t>
  </si>
  <si>
    <t>15 yard</t>
  </si>
  <si>
    <t>35 yard</t>
  </si>
  <si>
    <t>Other Charges:</t>
  </si>
  <si>
    <t>Temp DB delivery</t>
  </si>
  <si>
    <t>Mileage</t>
  </si>
  <si>
    <t>Connect/Reconnect</t>
  </si>
  <si>
    <t>Tandem Axle</t>
  </si>
  <si>
    <t>Special Charges</t>
  </si>
  <si>
    <t>Standby</t>
  </si>
  <si>
    <t>Relocate</t>
  </si>
  <si>
    <t>Roclean</t>
  </si>
  <si>
    <t>Tipping Fee</t>
  </si>
  <si>
    <t xml:space="preserve">Returned Trip </t>
  </si>
  <si>
    <t>Haul</t>
  </si>
  <si>
    <t>Pass Thru Dump Fee</t>
  </si>
  <si>
    <t>Rear Load</t>
  </si>
  <si>
    <t>Can Count w/Recycling</t>
  </si>
  <si>
    <t>Can Count - additional</t>
  </si>
  <si>
    <t>Recycling Stations:</t>
  </si>
  <si>
    <t>2 yard pu</t>
  </si>
  <si>
    <t>2 yard rent</t>
  </si>
  <si>
    <t>6 yard pu</t>
  </si>
  <si>
    <t>6 yard rent</t>
  </si>
  <si>
    <t>96 gal cart</t>
  </si>
  <si>
    <t>96 gal rent</t>
  </si>
  <si>
    <t>Damage</t>
  </si>
  <si>
    <t>Roll-Off</t>
  </si>
  <si>
    <t>Medical Waste</t>
  </si>
  <si>
    <t>Average Customer Count 2015</t>
  </si>
  <si>
    <t>Hauls</t>
  </si>
  <si>
    <t>4YD CONT 4X WEEKLY</t>
  </si>
  <si>
    <t>4YD COMP 1X WEEK 2.25:1</t>
  </si>
  <si>
    <t>4YD COMP ONCALL 5:1</t>
  </si>
  <si>
    <t>40 gallon Can</t>
  </si>
  <si>
    <t>American</t>
  </si>
  <si>
    <t>Total Cust-Pickups</t>
  </si>
  <si>
    <t>Resi</t>
  </si>
  <si>
    <t>YW</t>
  </si>
  <si>
    <t>MF-Comm</t>
  </si>
  <si>
    <t>Jan-Feb</t>
  </si>
  <si>
    <t>Mar-Dec</t>
  </si>
  <si>
    <t>Recycl</t>
  </si>
  <si>
    <t>Garb</t>
  </si>
  <si>
    <t>RO</t>
  </si>
  <si>
    <t>PT</t>
  </si>
  <si>
    <t>Med Waste</t>
  </si>
  <si>
    <t>Tariff Rate</t>
  </si>
  <si>
    <t>RECYCLECR</t>
  </si>
  <si>
    <t>RECYR</t>
  </si>
  <si>
    <t>RECYRNB</t>
  </si>
  <si>
    <t>RESTART FEE</t>
  </si>
  <si>
    <t>REXTRA</t>
  </si>
  <si>
    <t>TRIPRCANS</t>
  </si>
  <si>
    <t>DRVNRW1</t>
  </si>
  <si>
    <t>PACKR</t>
  </si>
  <si>
    <t>OBSR</t>
  </si>
  <si>
    <t>STEPSR</t>
  </si>
  <si>
    <t>SUNKENR</t>
  </si>
  <si>
    <t>PACKR-RECYCLE</t>
  </si>
  <si>
    <t>RECYONLY</t>
  </si>
  <si>
    <t>DELIVERY-REC CARTS</t>
  </si>
  <si>
    <t>Returned Trip - R Carts</t>
  </si>
  <si>
    <t>DRIVE-IN RECYCL</t>
  </si>
  <si>
    <t>DRIVE-IN YDW</t>
  </si>
  <si>
    <t>Returned Trip - Y Carts</t>
  </si>
  <si>
    <t>YDW90</t>
  </si>
  <si>
    <t>YDWDEL</t>
  </si>
  <si>
    <t>YDWEX</t>
  </si>
  <si>
    <t>20RW1</t>
  </si>
  <si>
    <t>20RW1NR</t>
  </si>
  <si>
    <t>32RM1</t>
  </si>
  <si>
    <t>32RW1</t>
  </si>
  <si>
    <t>32RW1NR</t>
  </si>
  <si>
    <t>32RW2</t>
  </si>
  <si>
    <t>32RW2NR</t>
  </si>
  <si>
    <t>32RW3</t>
  </si>
  <si>
    <t>32RW3NR</t>
  </si>
  <si>
    <t>32RW4</t>
  </si>
  <si>
    <t>32RW4NR</t>
  </si>
  <si>
    <t>32RW5</t>
  </si>
  <si>
    <t>32RW5NR</t>
  </si>
  <si>
    <t>32RW6</t>
  </si>
  <si>
    <t>32RW6NR</t>
  </si>
  <si>
    <t>IMPCNR1</t>
  </si>
  <si>
    <t>IMPCNR2</t>
  </si>
  <si>
    <t>MRECYRCANS</t>
  </si>
  <si>
    <t>MRECYR</t>
  </si>
  <si>
    <t>MRECYRNB</t>
  </si>
  <si>
    <t>CEX (cans)</t>
  </si>
  <si>
    <t>CEXYD (Containers)</t>
  </si>
  <si>
    <t>CTDEL (Containers)</t>
  </si>
  <si>
    <t>MRECYCLECR</t>
  </si>
  <si>
    <t>MRECYIN (cont)</t>
  </si>
  <si>
    <t>DRVNM</t>
  </si>
  <si>
    <t>PACKM</t>
  </si>
  <si>
    <t>MROLL</t>
  </si>
  <si>
    <t>SUNKENM</t>
  </si>
  <si>
    <t>MYDW90</t>
  </si>
  <si>
    <t>32MW1</t>
  </si>
  <si>
    <t>32MW1NR</t>
  </si>
  <si>
    <t>32MW2</t>
  </si>
  <si>
    <t>32MW2NR</t>
  </si>
  <si>
    <t>32MW3</t>
  </si>
  <si>
    <t>32MW3NR</t>
  </si>
  <si>
    <t>32MW4</t>
  </si>
  <si>
    <t>32MW4NR</t>
  </si>
  <si>
    <t>32MW6</t>
  </si>
  <si>
    <t>MIMPCN</t>
  </si>
  <si>
    <t>Containers:</t>
  </si>
  <si>
    <t>M1YD1W</t>
  </si>
  <si>
    <t>M1YD2W</t>
  </si>
  <si>
    <t>M1.5YD1W</t>
  </si>
  <si>
    <t>M1.5YD2W</t>
  </si>
  <si>
    <t>M1.5YD3W</t>
  </si>
  <si>
    <t>M2YD1W</t>
  </si>
  <si>
    <t>M2YD2W</t>
  </si>
  <si>
    <t>M2YD3W</t>
  </si>
  <si>
    <t>M4YD1W</t>
  </si>
  <si>
    <t>M4YD2W</t>
  </si>
  <si>
    <t>M4YD3W</t>
  </si>
  <si>
    <t>M6YD1W</t>
  </si>
  <si>
    <t>M6YD2W</t>
  </si>
  <si>
    <t>M6YD3W</t>
  </si>
  <si>
    <t>M6YD4W</t>
  </si>
  <si>
    <t>M1YDTPU</t>
  </si>
  <si>
    <t>1 yard temporary pu</t>
  </si>
  <si>
    <t>M1.5YDTPU</t>
  </si>
  <si>
    <t>1/5 yard temporary pu</t>
  </si>
  <si>
    <t>M2YDTPU</t>
  </si>
  <si>
    <t>2 yard temporary pu</t>
  </si>
  <si>
    <t>M1YDEX</t>
  </si>
  <si>
    <t>1 yard special</t>
  </si>
  <si>
    <t>M1.5YDEX</t>
  </si>
  <si>
    <t>1.5 yard special</t>
  </si>
  <si>
    <t>M2YDEX</t>
  </si>
  <si>
    <t>2 yard special</t>
  </si>
  <si>
    <t>M4YDEX</t>
  </si>
  <si>
    <t>4 yard special</t>
  </si>
  <si>
    <t>M6YDEX</t>
  </si>
  <si>
    <t>6 yardspecial</t>
  </si>
  <si>
    <t>CEX  (cans)</t>
  </si>
  <si>
    <t>CEXYD  (containers)</t>
  </si>
  <si>
    <t>CROLL  (containers)</t>
  </si>
  <si>
    <t>CTRIP  (containers)</t>
  </si>
  <si>
    <t>DRVNC</t>
  </si>
  <si>
    <t>PACKC</t>
  </si>
  <si>
    <t>STEPSC</t>
  </si>
  <si>
    <t xml:space="preserve">TIMEC </t>
  </si>
  <si>
    <t>RECYC</t>
  </si>
  <si>
    <t>32CW1</t>
  </si>
  <si>
    <t>32CW2</t>
  </si>
  <si>
    <t>32CW3</t>
  </si>
  <si>
    <t>32CW4</t>
  </si>
  <si>
    <t>32CW5</t>
  </si>
  <si>
    <t>IMPCNC</t>
  </si>
  <si>
    <t>F1YD1W</t>
  </si>
  <si>
    <t>F1.5YD1W</t>
  </si>
  <si>
    <t>F1.5YD3W</t>
  </si>
  <si>
    <t>F2YD1W</t>
  </si>
  <si>
    <t>F2YD2W</t>
  </si>
  <si>
    <t>F2YD3W</t>
  </si>
  <si>
    <t>F4YD1W</t>
  </si>
  <si>
    <t>F4YD2W</t>
  </si>
  <si>
    <t>F4YD3W</t>
  </si>
  <si>
    <t>F4YD4W</t>
  </si>
  <si>
    <t>4 yard four times p/wk</t>
  </si>
  <si>
    <t>F6YD1W</t>
  </si>
  <si>
    <t>F6YD2W</t>
  </si>
  <si>
    <t>F6YD3W</t>
  </si>
  <si>
    <t>F6YD4W</t>
  </si>
  <si>
    <t>F6YD5W</t>
  </si>
  <si>
    <t>FCP2YD1W 2.25:1</t>
  </si>
  <si>
    <t>FCP2YD2W 2.25:1</t>
  </si>
  <si>
    <t>FCP4YD1W 2.25:1</t>
  </si>
  <si>
    <t>FCP4YD1W 4:1</t>
  </si>
  <si>
    <t>FCP4YD1W 5:1</t>
  </si>
  <si>
    <t>FCP4YD2W 5:1</t>
  </si>
  <si>
    <t>FCP4YD3W 2.25:1</t>
  </si>
  <si>
    <t>FCP6YD2W 3:1</t>
  </si>
  <si>
    <t>FCP6YD1W 5:1</t>
  </si>
  <si>
    <t>FCP6YD2W 4:1</t>
  </si>
  <si>
    <t>FCP6YD2W 5:1</t>
  </si>
  <si>
    <t>FCP6YD5W 4:1</t>
  </si>
  <si>
    <t>FL3YDCOMP1W 3:1</t>
  </si>
  <si>
    <t>FL3YDCOMP2W 3:1</t>
  </si>
  <si>
    <t>FL3YDCOMPOC 3:1</t>
  </si>
  <si>
    <t>FCP4YDOC 5:1</t>
  </si>
  <si>
    <t>FCP4YDEOW 5:1</t>
  </si>
  <si>
    <t>FCP6YD1W4:1</t>
  </si>
  <si>
    <t>R1YD1W</t>
  </si>
  <si>
    <t>R1YD2W</t>
  </si>
  <si>
    <t>R1YD3W</t>
  </si>
  <si>
    <t>R1.5YD1W</t>
  </si>
  <si>
    <t>R1.5YD2W</t>
  </si>
  <si>
    <t>R2YD1W</t>
  </si>
  <si>
    <t>R2YD2W</t>
  </si>
  <si>
    <t>R2YD3W</t>
  </si>
  <si>
    <t>R2YD4W</t>
  </si>
  <si>
    <t>R2YD5W</t>
  </si>
  <si>
    <t>R1YDTPU</t>
  </si>
  <si>
    <t>1 yard temporary pickup</t>
  </si>
  <si>
    <t>R1.5YDTPU</t>
  </si>
  <si>
    <t>1/5 yard temporary pickup</t>
  </si>
  <si>
    <t>R2YDTPU</t>
  </si>
  <si>
    <t>2 yard  temporary pickup</t>
  </si>
  <si>
    <t>F1YDEX</t>
  </si>
  <si>
    <t>1 yard special pickup</t>
  </si>
  <si>
    <t>R1YDEX</t>
  </si>
  <si>
    <t>R1.5YDEX</t>
  </si>
  <si>
    <t>1.5 yard special pickup</t>
  </si>
  <si>
    <t>F2YDEX</t>
  </si>
  <si>
    <t>2 yard special pickup</t>
  </si>
  <si>
    <t>R2YDEX</t>
  </si>
  <si>
    <t>F4YDEX</t>
  </si>
  <si>
    <t>4 yard special pickup</t>
  </si>
  <si>
    <t>F6YDEX</t>
  </si>
  <si>
    <t>6 yard special pickup</t>
  </si>
  <si>
    <t xml:space="preserve">Roll-off Hauls </t>
  </si>
  <si>
    <t xml:space="preserve"> </t>
  </si>
  <si>
    <t>Can Count Rec</t>
  </si>
  <si>
    <t>Can Count A</t>
  </si>
  <si>
    <t>Mrecycrcans</t>
  </si>
  <si>
    <t>Drvnm</t>
  </si>
  <si>
    <t>Packm</t>
  </si>
  <si>
    <t>M2YDRECY</t>
  </si>
  <si>
    <t>MRENT2YDRECY</t>
  </si>
  <si>
    <t>M6YDRECY</t>
  </si>
  <si>
    <t>MRENT6YDRECY</t>
  </si>
  <si>
    <t>MSRTOT</t>
  </si>
  <si>
    <t>MRENT90</t>
  </si>
  <si>
    <t>Mrecyin</t>
  </si>
  <si>
    <t>Hauling Revenue</t>
  </si>
  <si>
    <t>Finance Charge</t>
  </si>
  <si>
    <t>NSF</t>
  </si>
  <si>
    <t>Incentive</t>
  </si>
  <si>
    <t>MF Cans</t>
  </si>
  <si>
    <t>MF Container</t>
  </si>
  <si>
    <t>Recycling Stations</t>
  </si>
  <si>
    <t>Comm/MF</t>
  </si>
  <si>
    <t>Pass Thru</t>
  </si>
  <si>
    <t>Recycl Cr</t>
  </si>
  <si>
    <t>MF Recycling</t>
  </si>
  <si>
    <t>Residential Incentive:</t>
  </si>
  <si>
    <t>2 can</t>
  </si>
  <si>
    <t>3 can</t>
  </si>
  <si>
    <t xml:space="preserve">4 can </t>
  </si>
  <si>
    <t xml:space="preserve">5 can </t>
  </si>
  <si>
    <t>6 can</t>
  </si>
  <si>
    <t>Can Count Rate:</t>
  </si>
  <si>
    <t>Service per Month:</t>
  </si>
  <si>
    <t>Weekly Service</t>
  </si>
  <si>
    <t xml:space="preserve">Bi-weekly </t>
  </si>
  <si>
    <t>Three times p/wk</t>
  </si>
  <si>
    <t xml:space="preserve">Once per Month </t>
  </si>
  <si>
    <t>MF Container Imbedded</t>
  </si>
  <si>
    <t>Recycling Rates</t>
  </si>
  <si>
    <t>Yards per Haul:</t>
  </si>
  <si>
    <t>Murrey's</t>
  </si>
  <si>
    <t>(=D+G)</t>
  </si>
  <si>
    <t>(=D/C+G/F)</t>
  </si>
  <si>
    <t>(=J/12)</t>
  </si>
  <si>
    <t>DRIVE-IN YW</t>
  </si>
  <si>
    <t>1.5 yard temporary pickup</t>
  </si>
  <si>
    <t>2 yard temporary pickup</t>
  </si>
  <si>
    <t>10 Gallon</t>
  </si>
  <si>
    <t>20 Gallon</t>
  </si>
  <si>
    <t>35 Gallon</t>
  </si>
  <si>
    <t>Commodity Credit</t>
  </si>
  <si>
    <t>Total Revenue</t>
  </si>
  <si>
    <t>Recycling Rate</t>
  </si>
  <si>
    <t>4YD COMP 1X WEEK 4:1</t>
  </si>
  <si>
    <t>4YD COMP 1X WEEK 5:1</t>
  </si>
  <si>
    <t>6YD COMP 2X WEEK 4:1</t>
  </si>
  <si>
    <t>3YD COMP 2X WEEK 3:1</t>
  </si>
  <si>
    <t>4YD COMP EOW 5:1</t>
  </si>
  <si>
    <t>6YD COMP 1X WEEK 4:1</t>
  </si>
  <si>
    <t>Billing</t>
  </si>
  <si>
    <t>Statements</t>
  </si>
  <si>
    <t>Total Hlg</t>
  </si>
  <si>
    <t>RO Hauls</t>
  </si>
  <si>
    <t>Pass thru</t>
  </si>
  <si>
    <t>Total Billing</t>
  </si>
  <si>
    <t>Resi Comm Cr</t>
  </si>
  <si>
    <t>MF Cr - Cans</t>
  </si>
  <si>
    <t>MF Cr - Cont</t>
  </si>
  <si>
    <t>MF Cr - Rec St</t>
  </si>
  <si>
    <t>Credits:</t>
  </si>
  <si>
    <t>Total Hlg Revenue</t>
  </si>
  <si>
    <t>Residential Cr</t>
  </si>
  <si>
    <t>Total Comm Cr</t>
  </si>
  <si>
    <t>Commodity Credits:</t>
  </si>
  <si>
    <t>Total 3rd Party Hlg</t>
  </si>
  <si>
    <t xml:space="preserve"> Calculated Rate</t>
  </si>
  <si>
    <t>Proposed Revenue</t>
  </si>
  <si>
    <t>Difference</t>
  </si>
  <si>
    <t>WG</t>
  </si>
  <si>
    <t>6YD COMP 1X WEEK 5:1</t>
  </si>
  <si>
    <t>1-32 GAL CAN WEEKLY Min Applies</t>
  </si>
  <si>
    <t>Murrey's Disposal Company, Inc.</t>
  </si>
  <si>
    <t>Income Statement</t>
  </si>
  <si>
    <t/>
  </si>
  <si>
    <t>January 1, 2015 - December 31, 2015</t>
  </si>
  <si>
    <t>Hauling Revenue - Roll Off Permanent</t>
  </si>
  <si>
    <t>Corporate Roll Off Disposal Charge</t>
  </si>
  <si>
    <t>Hauling Revenue - Roll Off Adjustments</t>
  </si>
  <si>
    <t>Hauling Revenue - Roll Off Intercompany</t>
  </si>
  <si>
    <t>Hauling Revenue - Roll Off Extras</t>
  </si>
  <si>
    <t>Hauling Revenue - Residential MSW</t>
  </si>
  <si>
    <t>Hauling Revenue - Residential MSW Extras</t>
  </si>
  <si>
    <t>Hauling Revenue - Commercial FEL</t>
  </si>
  <si>
    <t>Hauling Revenue - Commercial REL Extras</t>
  </si>
  <si>
    <t>Transfer and MRF</t>
  </si>
  <si>
    <t>Proceeds - OCC</t>
  </si>
  <si>
    <t>Proceeds - Other Recyclables</t>
  </si>
  <si>
    <t>Proceeds - Commingled</t>
  </si>
  <si>
    <t>Support - Other Recyclables</t>
  </si>
  <si>
    <t>Recycling Proceeds</t>
  </si>
  <si>
    <t>Landfill Revenue</t>
  </si>
  <si>
    <t>Intermodal</t>
  </si>
  <si>
    <t>Corporate Other Revenue</t>
  </si>
  <si>
    <t>P-Card Rebate</t>
  </si>
  <si>
    <t>Other Revenue</t>
  </si>
  <si>
    <t>Disposal Landfill Intercompany</t>
  </si>
  <si>
    <t>Disposal Incineration</t>
  </si>
  <si>
    <t>Disposal Other</t>
  </si>
  <si>
    <t>Disposal</t>
  </si>
  <si>
    <t>MRF Processing</t>
  </si>
  <si>
    <t>Rebates and Revenue Sharing</t>
  </si>
  <si>
    <t>Taxes and Pass Thru Fees</t>
  </si>
  <si>
    <t>WUTC Taxes</t>
  </si>
  <si>
    <t>Brok. and Taxes</t>
  </si>
  <si>
    <t>Cost of Materials - Other Recyclables</t>
  </si>
  <si>
    <t>Cost of Materials</t>
  </si>
  <si>
    <t>Other Expense</t>
  </si>
  <si>
    <t>Rev Reductions</t>
  </si>
  <si>
    <t>Net Revenue</t>
  </si>
  <si>
    <t>Wages Regular</t>
  </si>
  <si>
    <t>Wages O.T.</t>
  </si>
  <si>
    <t>Safety Bonuses</t>
  </si>
  <si>
    <t>Other Bonus/Commission - Non-Safety</t>
  </si>
  <si>
    <t>Contract Labor</t>
  </si>
  <si>
    <t>Payroll Taxes</t>
  </si>
  <si>
    <t>Group Insurance</t>
  </si>
  <si>
    <t>Vacation Pay</t>
  </si>
  <si>
    <t>Sick Pay</t>
  </si>
  <si>
    <t>Safety and Training</t>
  </si>
  <si>
    <t>Uniforms</t>
  </si>
  <si>
    <t>Pension and Profit Sharing</t>
  </si>
  <si>
    <t>Labor</t>
  </si>
  <si>
    <t>Licenses</t>
  </si>
  <si>
    <t>Truck Fixed</t>
  </si>
  <si>
    <t>Salaries</t>
  </si>
  <si>
    <t>Parts and Materials</t>
  </si>
  <si>
    <t>Operating Supplies</t>
  </si>
  <si>
    <t>Equipment and Maint Repair</t>
  </si>
  <si>
    <t>Tires</t>
  </si>
  <si>
    <t>Fuel Expense</t>
  </si>
  <si>
    <t>Urea Additive Expense</t>
  </si>
  <si>
    <t>Oil and Grease</t>
  </si>
  <si>
    <t>Outside Repairs</t>
  </si>
  <si>
    <t>Utilities</t>
  </si>
  <si>
    <t>Communications</t>
  </si>
  <si>
    <t>Real Estate Rentals</t>
  </si>
  <si>
    <t>Equip/Vehicle Rental</t>
  </si>
  <si>
    <t>Towing Expense</t>
  </si>
  <si>
    <t>Travel</t>
  </si>
  <si>
    <t>Office Supply and Equip</t>
  </si>
  <si>
    <t>Truck Variable</t>
  </si>
  <si>
    <t>Property Taxes</t>
  </si>
  <si>
    <t>Corporate Medical Waste Supplies</t>
  </si>
  <si>
    <t>Container Exp</t>
  </si>
  <si>
    <t>Empl &amp; Commun Activ</t>
  </si>
  <si>
    <t>Employee Relocation</t>
  </si>
  <si>
    <t>Meal and Entertainment</t>
  </si>
  <si>
    <t>Superv. Ex</t>
  </si>
  <si>
    <t>Equip Maintenance and Repair</t>
  </si>
  <si>
    <t>Bldg &amp; Property</t>
  </si>
  <si>
    <t>Equipment Vehicle Rental</t>
  </si>
  <si>
    <t>Drive Cam Fees</t>
  </si>
  <si>
    <t>Penalties and Violations</t>
  </si>
  <si>
    <t>Permits</t>
  </si>
  <si>
    <t>Bonds Expense</t>
  </si>
  <si>
    <t>Other Operating</t>
  </si>
  <si>
    <t>Closure Exp</t>
  </si>
  <si>
    <t>Self Insurance Premium</t>
  </si>
  <si>
    <t>WC - Current Year Claims</t>
  </si>
  <si>
    <t>WC - Prior Year Claims</t>
  </si>
  <si>
    <t>Damages paid by District</t>
  </si>
  <si>
    <t>Workers Comp Prem</t>
  </si>
  <si>
    <t>Insurance Exp</t>
  </si>
  <si>
    <t>Gain/Loss on Sale of Asset</t>
  </si>
  <si>
    <t>G/L on Ops</t>
  </si>
  <si>
    <t>Cost of Ops</t>
  </si>
  <si>
    <t>Gross Profit</t>
  </si>
  <si>
    <t>Bonuses and Commissions</t>
  </si>
  <si>
    <t>Dues and Subscriptions</t>
  </si>
  <si>
    <t>Travel - Auto</t>
  </si>
  <si>
    <t>Advertising and Promotions</t>
  </si>
  <si>
    <t>Sales Exp</t>
  </si>
  <si>
    <t>Contributions</t>
  </si>
  <si>
    <t>Political Contributions</t>
  </si>
  <si>
    <t>Allocated Exp In - District</t>
  </si>
  <si>
    <t>Cellular Telephone</t>
  </si>
  <si>
    <t>Postage</t>
  </si>
  <si>
    <t>Entertainment</t>
  </si>
  <si>
    <t>Excursions Meetings</t>
  </si>
  <si>
    <t>Lodging</t>
  </si>
  <si>
    <t>Meals</t>
  </si>
  <si>
    <t>Office Supplies and Equip</t>
  </si>
  <si>
    <t>Credit Card Fees</t>
  </si>
  <si>
    <t>Bank Charges</t>
  </si>
  <si>
    <t>Outside Storages</t>
  </si>
  <si>
    <t>External Recruiter Fees</t>
  </si>
  <si>
    <t>Recruitment Advertising &amp; Expenses</t>
  </si>
  <si>
    <t>Recruitment Travel Expenses</t>
  </si>
  <si>
    <t>Legal</t>
  </si>
  <si>
    <t>Accounting Professional Fees</t>
  </si>
  <si>
    <t>Payroll Processing Fees</t>
  </si>
  <si>
    <t>Other Prof Fees</t>
  </si>
  <si>
    <t>Data Processing</t>
  </si>
  <si>
    <t>Computer Software</t>
  </si>
  <si>
    <t>Computer Supplies</t>
  </si>
  <si>
    <t>Bad Debt Provision</t>
  </si>
  <si>
    <t>Credit and Collection</t>
  </si>
  <si>
    <t>Miscellaneous</t>
  </si>
  <si>
    <t>Coffee Bar</t>
  </si>
  <si>
    <t>Security Services</t>
  </si>
  <si>
    <t>G&amp;A</t>
  </si>
  <si>
    <t>Corporate Overhead Allocation In</t>
  </si>
  <si>
    <t>Corp Overhead</t>
  </si>
  <si>
    <t>Total SG&amp;A</t>
  </si>
  <si>
    <t>EBITDA</t>
  </si>
  <si>
    <t>Watch list EBITDA</t>
  </si>
  <si>
    <t>Depreciation</t>
  </si>
  <si>
    <t>Airspace Amort</t>
  </si>
  <si>
    <t>Intangible Amort</t>
  </si>
  <si>
    <t>Total DDA</t>
  </si>
  <si>
    <t>EBIT From Ops</t>
  </si>
  <si>
    <t>Interest Exp</t>
  </si>
  <si>
    <t>Interest Income</t>
  </si>
  <si>
    <t>Other Inc/Exp</t>
  </si>
  <si>
    <t>NI b/ Taxes &amp; Extra</t>
  </si>
  <si>
    <t>Extra. Items</t>
  </si>
  <si>
    <t>NI b/ Taxes</t>
  </si>
  <si>
    <t>Taxes</t>
  </si>
  <si>
    <t>Net Income</t>
  </si>
  <si>
    <t>Non Controlling Int</t>
  </si>
  <si>
    <t>Net Income Attrib</t>
  </si>
  <si>
    <t>Data Not Included</t>
  </si>
  <si>
    <t>American Disposal Company, Inc.</t>
  </si>
  <si>
    <t>Transfer Station - Intercompany</t>
  </si>
  <si>
    <t>A&amp;L - Current Year Claims</t>
  </si>
  <si>
    <t>Insurance claim repairs</t>
  </si>
  <si>
    <t>Amortization</t>
  </si>
  <si>
    <t>Dump Fee Schedule</t>
  </si>
  <si>
    <t xml:space="preserve">           American</t>
  </si>
  <si>
    <t>Pass Thru $</t>
  </si>
  <si>
    <t>Packer $</t>
  </si>
  <si>
    <t>Murrey's $</t>
  </si>
  <si>
    <t>American $</t>
  </si>
  <si>
    <t>Tons (Jan-Feb)</t>
  </si>
  <si>
    <t>Tons (Mar-Dec)</t>
  </si>
  <si>
    <t>Total Lbs (Tons * lbs in a ton)</t>
  </si>
  <si>
    <t>Increase per Lbs (Increase/lbs in a Ton)</t>
  </si>
  <si>
    <t>Increase plus Gross-up</t>
  </si>
  <si>
    <t>Roll-Off Pass Thru</t>
  </si>
  <si>
    <t>Pierce County Disposal Rates</t>
  </si>
  <si>
    <t>Rate per ton Jan-Feb 2015</t>
  </si>
  <si>
    <t>Rate per ton March-Dec 2015</t>
  </si>
  <si>
    <t>Increase Effective 3/1/16</t>
  </si>
  <si>
    <t>New Rate Effective 3/1/16</t>
  </si>
  <si>
    <t>Annual Customers</t>
  </si>
  <si>
    <t>Jan 2015 - Dec 2015</t>
  </si>
  <si>
    <t>Disposal Increase:</t>
  </si>
  <si>
    <t>Revenue Reconciliation</t>
  </si>
  <si>
    <t>Jan 2015 - Dec 0215</t>
  </si>
  <si>
    <t>Income</t>
  </si>
  <si>
    <t>Statement</t>
  </si>
  <si>
    <t>Revenue per Billing System</t>
  </si>
  <si>
    <t>American Disposal Co., Inc.  G-87</t>
  </si>
  <si>
    <t>Inter Co. Haul</t>
  </si>
  <si>
    <t>Inter Co. Haul - Not in Billing System</t>
  </si>
  <si>
    <t xml:space="preserve">                Murrey's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</si>
</sst>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2">
    <numFmt numFmtId="5" formatCode="&quot;$&quot;#,##0_);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&quot;$&quot;* #,##0.000_);_(&quot;$&quot;* \(#,##0.000\);_(&quot;$&quot;* &quot;-&quot;??_);_(@_)"/>
    <numFmt numFmtId="166" formatCode="_(* #,##0_);_(* \(#,##0\);_(* &quot;-&quot;??_);_(@_)"/>
    <numFmt numFmtId="167" formatCode="_(* #,##0.000000_);_(* \(#,##0.000000\);_(* &quot;-&quot;??_);_(@_)"/>
    <numFmt numFmtId="168" formatCode="0.0000%"/>
    <numFmt numFmtId="169" formatCode="_(&quot;$&quot;* #,##0.000000_);_(&quot;$&quot;* \(#,##0.000000\);_(&quot;$&quot;* &quot;-&quot;??_);_(@_)"/>
    <numFmt numFmtId="170" formatCode="0.000000"/>
    <numFmt numFmtId="171" formatCode="0.0%"/>
    <numFmt numFmtId="172" formatCode="0.000%"/>
    <numFmt numFmtId="173" formatCode="m/d/yy\ h:mm\ AM/PM"/>
    <numFmt numFmtId="174" formatCode="0%;\(0%\);&quot;&quot;"/>
    <numFmt numFmtId="175" formatCode="_(* #,##0,_);_(* \(#,##0,\);_(* &quot;-&quot;??_);_(@_)"/>
    <numFmt numFmtId="176" formatCode="&quot;$&quot;#,##0.00"/>
    <numFmt numFmtId="177" formatCode="#,##0.0"/>
    <numFmt numFmtId="178" formatCode="&quot;$&quot;#,##0.000000"/>
    <numFmt numFmtId="179" formatCode="&quot;$&quot;#,##0"/>
    <numFmt numFmtId="180" formatCode="_(&quot;$&quot;* #,##0.0000_);_(&quot;$&quot;* \(#,##0.0000\);_(&quot;$&quot;* &quot;-&quot;????_);_(@_)"/>
  </numFmts>
  <fonts count="9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2"/>
      <name val="Arial"/>
      <family val="2"/>
    </font>
    <font>
      <sz val="8"/>
      <color indexed="56"/>
      <name val="Arial"/>
      <family val="2"/>
    </font>
    <font>
      <sz val="10"/>
      <name val="MS Sans Serif"/>
      <family val="2"/>
    </font>
    <font>
      <b/>
      <sz val="10"/>
      <name val="MS Sans Serif"/>
      <family val="2"/>
    </font>
    <font>
      <sz val="11"/>
      <color indexed="8"/>
      <name val="Calibri"/>
      <family val="2"/>
    </font>
    <font>
      <sz val="11"/>
      <color rgb="FFFF0000"/>
      <name val="Calibri"/>
      <family val="2"/>
      <scheme val="minor"/>
    </font>
    <font>
      <sz val="10"/>
      <color indexed="12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sz val="10"/>
      <color indexed="8"/>
      <name val="Arial"/>
      <family val="2"/>
    </font>
    <font>
      <sz val="10"/>
      <name val="Times New Roman"/>
      <family val="1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sz val="12"/>
      <name val="Helv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b/>
      <sz val="11"/>
      <color indexed="51"/>
      <name val="Calibri"/>
      <family val="2"/>
    </font>
    <font>
      <sz val="12"/>
      <name val="Courier"/>
      <family val="3"/>
    </font>
    <font>
      <sz val="9"/>
      <color indexed="8"/>
      <name val="Arial"/>
      <family val="2"/>
    </font>
    <font>
      <b/>
      <sz val="10"/>
      <color indexed="12"/>
      <name val="Arial"/>
      <family val="2"/>
    </font>
    <font>
      <b/>
      <sz val="15"/>
      <color indexed="61"/>
      <name val="Calibri"/>
      <family val="2"/>
    </font>
    <font>
      <b/>
      <sz val="13"/>
      <color indexed="61"/>
      <name val="Calibri"/>
      <family val="2"/>
    </font>
    <font>
      <b/>
      <sz val="11"/>
      <color indexed="61"/>
      <name val="Calibri"/>
      <family val="2"/>
    </font>
    <font>
      <u/>
      <sz val="10"/>
      <color indexed="12"/>
      <name val="Arial"/>
      <family val="2"/>
    </font>
    <font>
      <u/>
      <sz val="11"/>
      <color indexed="12"/>
      <name val="Calibri"/>
      <family val="2"/>
    </font>
    <font>
      <sz val="11"/>
      <color indexed="61"/>
      <name val="Calibri"/>
      <family val="2"/>
    </font>
    <font>
      <sz val="11"/>
      <color indexed="51"/>
      <name val="Calibri"/>
      <family val="2"/>
    </font>
    <font>
      <sz val="11"/>
      <color indexed="59"/>
      <name val="Calibri"/>
      <family val="2"/>
    </font>
    <font>
      <i/>
      <sz val="10"/>
      <color indexed="10"/>
      <name val="Arial"/>
      <family val="2"/>
    </font>
    <font>
      <b/>
      <sz val="18"/>
      <color indexed="61"/>
      <name val="Cambria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</font>
    <font>
      <b/>
      <sz val="10"/>
      <name val="Arial"/>
      <family val="2"/>
    </font>
    <font>
      <b/>
      <sz val="11"/>
      <color indexed="52"/>
      <name val="Calibri"/>
      <family val="2"/>
    </font>
    <font>
      <sz val="8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2"/>
      <name val="Arial MT"/>
    </font>
    <font>
      <b/>
      <u/>
      <sz val="11"/>
      <name val="Arial"/>
      <family val="2"/>
    </font>
    <font>
      <b/>
      <sz val="8"/>
      <name val="Arial"/>
      <family val="2"/>
    </font>
    <font>
      <sz val="10"/>
      <name val="SWISS"/>
    </font>
    <font>
      <sz val="11"/>
      <color theme="3" tint="0.39997558519241921"/>
      <name val="Calibri"/>
      <family val="2"/>
      <scheme val="minor"/>
    </font>
    <font>
      <b/>
      <sz val="10"/>
      <name val="SWISS"/>
    </font>
    <font>
      <sz val="10"/>
      <color theme="1"/>
      <name val="SWISS"/>
    </font>
    <font>
      <sz val="11"/>
      <name val="SWISS"/>
    </font>
    <font>
      <b/>
      <sz val="11"/>
      <name val="SWISS"/>
    </font>
    <font>
      <b/>
      <sz val="10"/>
      <color indexed="81"/>
      <name val="Tahoma"/>
      <family val="2"/>
    </font>
    <font>
      <sz val="10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name val="Arial"/>
      <family val="2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sz val="12"/>
      <color indexed="12"/>
      <name val="Arial"/>
      <family val="2"/>
    </font>
    <font>
      <sz val="12"/>
      <color indexed="16"/>
      <name val="Arial"/>
      <family val="2"/>
    </font>
    <font>
      <b/>
      <sz val="12"/>
      <color indexed="12"/>
      <name val="Arial"/>
      <family val="2"/>
    </font>
    <font>
      <b/>
      <sz val="10"/>
      <color indexed="16"/>
      <name val="Arial"/>
      <family val="2"/>
    </font>
    <font>
      <sz val="7"/>
      <color indexed="8"/>
      <name val="Arial"/>
      <family val="2"/>
    </font>
    <font>
      <sz val="7"/>
      <name val="Arial"/>
      <family val="2"/>
    </font>
    <font>
      <b/>
      <sz val="10"/>
      <color indexed="8"/>
      <name val="Arial"/>
      <family val="2"/>
    </font>
    <font>
      <b/>
      <i/>
      <sz val="10"/>
      <color rgb="FFFF0000"/>
      <name val="Arial"/>
      <family val="2"/>
    </font>
    <font>
      <b/>
      <sz val="12"/>
      <color rgb="FFFF0000"/>
      <name val="Arial"/>
      <family val="2"/>
    </font>
    <font>
      <b/>
      <sz val="10"/>
      <color rgb="FFFF0000"/>
      <name val="Arial"/>
      <family val="2"/>
    </font>
    <font>
      <b/>
      <sz val="9"/>
      <name val="Arial"/>
      <family val="2"/>
    </font>
    <font>
      <b/>
      <u/>
      <sz val="10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12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indexed="8"/>
      <name val="Calibri"/>
      <family val="2"/>
      <scheme val="minor"/>
    </font>
  </fonts>
  <fills count="4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mediumGray">
        <fgColor indexed="22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4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48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63"/>
      </patternFill>
    </fill>
    <fill>
      <patternFill patternType="solid">
        <fgColor indexed="45"/>
        <bgColor indexed="64"/>
      </patternFill>
    </fill>
    <fill>
      <patternFill patternType="solid">
        <fgColor indexed="65"/>
        <bgColor indexed="10"/>
      </patternFill>
    </fill>
    <fill>
      <patternFill patternType="gray125">
        <fgColor indexed="10"/>
      </patternFill>
    </fill>
    <fill>
      <patternFill patternType="solid">
        <fgColor indexed="42"/>
      </patternFill>
    </fill>
    <fill>
      <patternFill patternType="solid">
        <fgColor indexed="2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31"/>
      </patternFill>
    </fill>
    <fill>
      <patternFill patternType="solid">
        <fgColor indexed="30"/>
      </patternFill>
    </fill>
    <fill>
      <patternFill patternType="solid">
        <fgColor indexed="11"/>
      </patternFill>
    </fill>
    <fill>
      <patternFill patternType="solid">
        <fgColor indexed="36"/>
      </patternFill>
    </fill>
    <fill>
      <patternFill patternType="solid">
        <fgColor indexed="62"/>
      </patternFill>
    </fill>
    <fill>
      <patternFill patternType="solid">
        <fgColor indexed="57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62"/>
      </left>
      <right style="double">
        <color indexed="62"/>
      </right>
      <top style="double">
        <color indexed="62"/>
      </top>
      <bottom style="double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7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2" fillId="0" borderId="0" applyFont="0" applyFill="0" applyBorder="0" applyAlignment="0" applyProtection="0"/>
    <xf numFmtId="38" fontId="5" fillId="0" borderId="0" applyNumberFormat="0" applyFont="0" applyFill="0" applyBorder="0">
      <alignment horizontal="left" indent="4"/>
      <protection locked="0"/>
    </xf>
    <xf numFmtId="0" fontId="6" fillId="0" borderId="0" applyNumberFormat="0" applyFont="0" applyFill="0" applyBorder="0" applyAlignment="0" applyProtection="0">
      <alignment horizontal="left"/>
    </xf>
    <xf numFmtId="15" fontId="6" fillId="0" borderId="0" applyFont="0" applyFill="0" applyBorder="0" applyAlignment="0" applyProtection="0"/>
    <xf numFmtId="4" fontId="6" fillId="0" borderId="0" applyFont="0" applyFill="0" applyBorder="0" applyAlignment="0" applyProtection="0"/>
    <xf numFmtId="0" fontId="7" fillId="0" borderId="2">
      <alignment horizontal="center"/>
    </xf>
    <xf numFmtId="3" fontId="6" fillId="0" borderId="0" applyFont="0" applyFill="0" applyBorder="0" applyAlignment="0" applyProtection="0"/>
    <xf numFmtId="0" fontId="6" fillId="3" borderId="0" applyNumberFormat="0" applyFont="0" applyBorder="0" applyAlignment="0" applyProtection="0"/>
    <xf numFmtId="166" fontId="4" fillId="4" borderId="0" applyFont="0" applyFill="0" applyBorder="0" applyAlignment="0" applyProtection="0">
      <alignment wrapText="1"/>
    </xf>
    <xf numFmtId="0" fontId="13" fillId="0" borderId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2" borderId="0" applyNumberFormat="0" applyBorder="0" applyAlignment="0" applyProtection="0"/>
    <xf numFmtId="0" fontId="8" fillId="11" borderId="0" applyNumberFormat="0" applyBorder="0" applyAlignment="0" applyProtection="0"/>
    <xf numFmtId="0" fontId="8" fillId="7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14" fillId="11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9" borderId="0" applyNumberFormat="0" applyBorder="0" applyAlignment="0" applyProtection="0"/>
    <xf numFmtId="0" fontId="14" fillId="17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2" borderId="0" applyNumberFormat="0" applyBorder="0" applyAlignment="0" applyProtection="0"/>
    <xf numFmtId="0" fontId="14" fillId="11" borderId="0" applyNumberFormat="0" applyBorder="0" applyAlignment="0" applyProtection="0"/>
    <xf numFmtId="0" fontId="14" fillId="15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18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9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20" borderId="0" applyNumberFormat="0" applyBorder="0" applyAlignment="0" applyProtection="0"/>
    <xf numFmtId="0" fontId="14" fillId="16" borderId="0" applyNumberFormat="0" applyBorder="0" applyAlignment="0" applyProtection="0"/>
    <xf numFmtId="0" fontId="14" fillId="21" borderId="0" applyNumberFormat="0" applyBorder="0" applyAlignment="0" applyProtection="0"/>
    <xf numFmtId="0" fontId="14" fillId="15" borderId="0" applyNumberFormat="0" applyBorder="0" applyAlignment="0" applyProtection="0"/>
    <xf numFmtId="0" fontId="14" fillId="19" borderId="0" applyNumberFormat="0" applyBorder="0" applyAlignment="0" applyProtection="0"/>
    <xf numFmtId="0" fontId="14" fillId="22" borderId="0" applyNumberFormat="0" applyBorder="0" applyAlignment="0" applyProtection="0"/>
    <xf numFmtId="41" fontId="2" fillId="0" borderId="0"/>
    <xf numFmtId="41" fontId="2" fillId="0" borderId="0"/>
    <xf numFmtId="41" fontId="2" fillId="0" borderId="0"/>
    <xf numFmtId="41" fontId="2" fillId="0" borderId="0"/>
    <xf numFmtId="0" fontId="15" fillId="23" borderId="0" applyNumberFormat="0" applyBorder="0" applyAlignment="0" applyProtection="0"/>
    <xf numFmtId="0" fontId="15" fillId="14" borderId="0" applyNumberFormat="0" applyBorder="0" applyAlignment="0" applyProtection="0"/>
    <xf numFmtId="3" fontId="2" fillId="0" borderId="0"/>
    <xf numFmtId="3" fontId="2" fillId="0" borderId="0"/>
    <xf numFmtId="3" fontId="2" fillId="0" borderId="0"/>
    <xf numFmtId="3" fontId="2" fillId="0" borderId="0"/>
    <xf numFmtId="0" fontId="16" fillId="24" borderId="4" applyNumberFormat="0" applyAlignment="0" applyProtection="0"/>
    <xf numFmtId="0" fontId="32" fillId="24" borderId="4" applyNumberFormat="0" applyAlignment="0" applyProtection="0"/>
    <xf numFmtId="0" fontId="17" fillId="25" borderId="5" applyNumberFormat="0" applyAlignment="0" applyProtection="0"/>
    <xf numFmtId="0" fontId="17" fillId="26" borderId="6" applyNumberFormat="0" applyAlignment="0" applyProtection="0"/>
    <xf numFmtId="0" fontId="2" fillId="27" borderId="0">
      <alignment horizontal="center"/>
    </xf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" fontId="18" fillId="0" borderId="0"/>
    <xf numFmtId="0" fontId="33" fillId="0" borderId="0"/>
    <xf numFmtId="0" fontId="33" fillId="0" borderId="0"/>
    <xf numFmtId="0" fontId="34" fillId="28" borderId="1" applyAlignment="0">
      <alignment horizontal="right"/>
      <protection locked="0"/>
    </xf>
    <xf numFmtId="44" fontId="13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35" fillId="29" borderId="0">
      <alignment horizontal="right"/>
      <protection locked="0"/>
    </xf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2" fontId="35" fillId="29" borderId="0">
      <alignment horizontal="right"/>
      <protection locked="0"/>
    </xf>
    <xf numFmtId="0" fontId="21" fillId="11" borderId="0" applyNumberFormat="0" applyBorder="0" applyAlignment="0" applyProtection="0"/>
    <xf numFmtId="0" fontId="21" fillId="30" borderId="0" applyNumberFormat="0" applyBorder="0" applyAlignment="0" applyProtection="0"/>
    <xf numFmtId="0" fontId="22" fillId="0" borderId="7" applyNumberFormat="0" applyFill="0" applyAlignment="0" applyProtection="0"/>
    <xf numFmtId="0" fontId="36" fillId="0" borderId="8" applyNumberFormat="0" applyFill="0" applyAlignment="0" applyProtection="0"/>
    <xf numFmtId="0" fontId="23" fillId="0" borderId="9" applyNumberFormat="0" applyFill="0" applyAlignment="0" applyProtection="0"/>
    <xf numFmtId="0" fontId="37" fillId="0" borderId="10" applyNumberFormat="0" applyFill="0" applyAlignment="0" applyProtection="0"/>
    <xf numFmtId="0" fontId="24" fillId="0" borderId="11" applyNumberFormat="0" applyFill="0" applyAlignment="0" applyProtection="0"/>
    <xf numFmtId="0" fontId="38" fillId="0" borderId="12" applyNumberFormat="0" applyFill="0" applyAlignment="0" applyProtection="0"/>
    <xf numFmtId="0" fontId="24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25" fillId="13" borderId="4" applyNumberFormat="0" applyAlignment="0" applyProtection="0"/>
    <xf numFmtId="0" fontId="41" fillId="13" borderId="4" applyNumberFormat="0" applyAlignment="0" applyProtection="0"/>
    <xf numFmtId="3" fontId="10" fillId="31" borderId="0">
      <protection locked="0"/>
    </xf>
    <xf numFmtId="4" fontId="10" fillId="31" borderId="0">
      <protection locked="0"/>
    </xf>
    <xf numFmtId="0" fontId="26" fillId="0" borderId="13" applyNumberFormat="0" applyFill="0" applyAlignment="0" applyProtection="0"/>
    <xf numFmtId="0" fontId="42" fillId="0" borderId="14" applyNumberFormat="0" applyFill="0" applyAlignment="0" applyProtection="0"/>
    <xf numFmtId="0" fontId="27" fillId="13" borderId="0" applyNumberFormat="0" applyBorder="0" applyAlignment="0" applyProtection="0"/>
    <xf numFmtId="0" fontId="43" fillId="13" borderId="0" applyNumberFormat="0" applyBorder="0" applyAlignment="0" applyProtection="0"/>
    <xf numFmtId="43" fontId="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8" fillId="0" borderId="0"/>
    <xf numFmtId="0" fontId="2" fillId="0" borderId="0"/>
    <xf numFmtId="0" fontId="18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2" fillId="0" borderId="0"/>
    <xf numFmtId="0" fontId="28" fillId="10" borderId="15" applyNumberFormat="0" applyFont="0" applyAlignment="0" applyProtection="0"/>
    <xf numFmtId="0" fontId="18" fillId="10" borderId="15" applyNumberFormat="0" applyFont="0" applyAlignment="0" applyProtection="0"/>
    <xf numFmtId="171" fontId="44" fillId="0" borderId="0" applyNumberFormat="0"/>
    <xf numFmtId="0" fontId="29" fillId="24" borderId="16" applyNumberFormat="0" applyAlignment="0" applyProtection="0"/>
    <xf numFmtId="0" fontId="24" fillId="24" borderId="17" applyNumberFormat="0" applyAlignment="0" applyProtection="0"/>
    <xf numFmtId="9" fontId="13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8" fillId="0" borderId="0">
      <alignment vertical="top"/>
    </xf>
    <xf numFmtId="0" fontId="18" fillId="0" borderId="0">
      <alignment vertical="top"/>
    </xf>
    <xf numFmtId="0" fontId="18" fillId="0" borderId="0" applyNumberFormat="0" applyBorder="0" applyAlignment="0"/>
    <xf numFmtId="0" fontId="30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31" fillId="0" borderId="18" applyNumberFormat="0" applyFill="0" applyAlignment="0" applyProtection="0"/>
    <xf numFmtId="0" fontId="31" fillId="0" borderId="19" applyNumberFormat="0" applyFill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47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12" borderId="0" applyNumberFormat="0" applyBorder="0" applyAlignment="0" applyProtection="0"/>
    <xf numFmtId="0" fontId="8" fillId="33" borderId="0" applyNumberFormat="0" applyBorder="0" applyAlignment="0" applyProtection="0"/>
    <xf numFmtId="0" fontId="8" fillId="12" borderId="0" applyNumberFormat="0" applyBorder="0" applyAlignment="0" applyProtection="0"/>
    <xf numFmtId="0" fontId="8" fillId="23" borderId="0" applyNumberFormat="0" applyBorder="0" applyAlignment="0" applyProtection="0"/>
    <xf numFmtId="0" fontId="8" fillId="7" borderId="0" applyNumberFormat="0" applyBorder="0" applyAlignment="0" applyProtection="0"/>
    <xf numFmtId="0" fontId="8" fillId="23" borderId="0" applyNumberFormat="0" applyBorder="0" applyAlignment="0" applyProtection="0"/>
    <xf numFmtId="0" fontId="8" fillId="17" borderId="0" applyNumberFormat="0" applyBorder="0" applyAlignment="0" applyProtection="0"/>
    <xf numFmtId="0" fontId="14" fillId="21" borderId="0" applyNumberFormat="0" applyBorder="0" applyAlignment="0" applyProtection="0"/>
    <xf numFmtId="0" fontId="14" fillId="34" borderId="0" applyNumberFormat="0" applyBorder="0" applyAlignment="0" applyProtection="0"/>
    <xf numFmtId="0" fontId="14" fillId="35" borderId="0" applyNumberFormat="0" applyBorder="0" applyAlignment="0" applyProtection="0"/>
    <xf numFmtId="0" fontId="14" fillId="36" borderId="0" applyNumberFormat="0" applyBorder="0" applyAlignment="0" applyProtection="0"/>
    <xf numFmtId="0" fontId="14" fillId="21" borderId="0" applyNumberFormat="0" applyBorder="0" applyAlignment="0" applyProtection="0"/>
    <xf numFmtId="0" fontId="14" fillId="21" borderId="0" applyNumberFormat="0" applyBorder="0" applyAlignment="0" applyProtection="0"/>
    <xf numFmtId="0" fontId="14" fillId="37" borderId="0" applyNumberFormat="0" applyBorder="0" applyAlignment="0" applyProtection="0"/>
    <xf numFmtId="0" fontId="14" fillId="38" borderId="0" applyNumberFormat="0" applyBorder="0" applyAlignment="0" applyProtection="0"/>
    <xf numFmtId="0" fontId="14" fillId="16" borderId="0" applyNumberFormat="0" applyBorder="0" applyAlignment="0" applyProtection="0"/>
    <xf numFmtId="0" fontId="49" fillId="24" borderId="4" applyNumberFormat="0" applyAlignment="0" applyProtection="0"/>
    <xf numFmtId="0" fontId="49" fillId="12" borderId="4" applyNumberFormat="0" applyAlignment="0" applyProtection="0"/>
    <xf numFmtId="43" fontId="8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0" fillId="0" borderId="0" applyFont="0" applyFill="0" applyBorder="0" applyAlignment="0" applyProtection="0"/>
    <xf numFmtId="44" fontId="50" fillId="0" borderId="0" applyFont="0" applyFill="0" applyBorder="0" applyAlignment="0" applyProtection="0"/>
    <xf numFmtId="44" fontId="8" fillId="0" borderId="0" applyFont="0" applyFill="0" applyBorder="0" applyAlignment="0" applyProtection="0"/>
    <xf numFmtId="14" fontId="2" fillId="0" borderId="0"/>
    <xf numFmtId="1" fontId="2" fillId="0" borderId="0">
      <alignment horizontal="center"/>
    </xf>
    <xf numFmtId="0" fontId="22" fillId="0" borderId="25" applyNumberFormat="0" applyFill="0" applyAlignment="0" applyProtection="0"/>
    <xf numFmtId="0" fontId="51" fillId="0" borderId="26" applyNumberFormat="0" applyFill="0" applyAlignment="0" applyProtection="0"/>
    <xf numFmtId="0" fontId="23" fillId="0" borderId="10" applyNumberFormat="0" applyFill="0" applyAlignment="0" applyProtection="0"/>
    <xf numFmtId="0" fontId="52" fillId="0" borderId="10" applyNumberFormat="0" applyFill="0" applyAlignment="0" applyProtection="0"/>
    <xf numFmtId="0" fontId="24" fillId="0" borderId="27" applyNumberFormat="0" applyFill="0" applyAlignment="0" applyProtection="0"/>
    <xf numFmtId="0" fontId="53" fillId="0" borderId="28" applyNumberFormat="0" applyFill="0" applyAlignment="0" applyProtection="0"/>
    <xf numFmtId="0" fontId="54" fillId="0" borderId="29" applyNumberFormat="0" applyFill="0" applyAlignment="0" applyProtection="0"/>
    <xf numFmtId="0" fontId="55" fillId="13" borderId="0" applyNumberFormat="0" applyBorder="0" applyAlignment="0" applyProtection="0"/>
    <xf numFmtId="0" fontId="8" fillId="0" borderId="0"/>
    <xf numFmtId="0" fontId="1" fillId="0" borderId="0"/>
    <xf numFmtId="0" fontId="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" fillId="0" borderId="0"/>
    <xf numFmtId="0" fontId="8" fillId="0" borderId="0"/>
    <xf numFmtId="0" fontId="2" fillId="0" borderId="0"/>
    <xf numFmtId="0" fontId="8" fillId="10" borderId="15" applyNumberFormat="0" applyFont="0" applyAlignment="0" applyProtection="0"/>
    <xf numFmtId="0" fontId="50" fillId="10" borderId="15" applyNumberFormat="0" applyFont="0" applyAlignment="0" applyProtection="0"/>
    <xf numFmtId="9" fontId="50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37" fontId="57" fillId="0" borderId="0"/>
    <xf numFmtId="0" fontId="31" fillId="0" borderId="30" applyNumberFormat="0" applyFill="0" applyAlignment="0" applyProtection="0"/>
    <xf numFmtId="0" fontId="31" fillId="0" borderId="31" applyNumberFormat="0" applyFill="0" applyAlignment="0" applyProtection="0"/>
    <xf numFmtId="0" fontId="2" fillId="0" borderId="0"/>
    <xf numFmtId="43" fontId="8" fillId="0" borderId="0" applyFont="0" applyFill="0" applyBorder="0" applyAlignment="0" applyProtection="0"/>
    <xf numFmtId="0" fontId="8" fillId="0" borderId="0"/>
    <xf numFmtId="0" fontId="2" fillId="0" borderId="0"/>
    <xf numFmtId="37" fontId="4" fillId="43" borderId="0" applyFill="0"/>
  </cellStyleXfs>
  <cellXfs count="440">
    <xf numFmtId="0" fontId="0" fillId="0" borderId="0" xfId="0"/>
    <xf numFmtId="43" fontId="0" fillId="0" borderId="0" xfId="1" applyFont="1"/>
    <xf numFmtId="0" fontId="3" fillId="0" borderId="0" xfId="0" applyFont="1"/>
    <xf numFmtId="0" fontId="0" fillId="0" borderId="0" xfId="0" applyFont="1"/>
    <xf numFmtId="167" fontId="0" fillId="0" borderId="0" xfId="1" applyNumberFormat="1" applyFont="1"/>
    <xf numFmtId="167" fontId="0" fillId="0" borderId="0" xfId="1" applyNumberFormat="1" applyFont="1" applyBorder="1"/>
    <xf numFmtId="167" fontId="0" fillId="0" borderId="1" xfId="1" applyNumberFormat="1" applyFont="1" applyBorder="1"/>
    <xf numFmtId="166" fontId="0" fillId="0" borderId="0" xfId="1" applyNumberFormat="1" applyFont="1"/>
    <xf numFmtId="0" fontId="9" fillId="0" borderId="0" xfId="0" applyFont="1" applyFill="1"/>
    <xf numFmtId="0" fontId="9" fillId="0" borderId="0" xfId="0" applyFont="1" applyFill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43" fontId="0" fillId="0" borderId="0" xfId="0" applyNumberFormat="1" applyFont="1" applyBorder="1" applyAlignment="1">
      <alignment horizontal="center"/>
    </xf>
    <xf numFmtId="43" fontId="0" fillId="0" borderId="0" xfId="0" applyNumberFormat="1" applyFont="1"/>
    <xf numFmtId="0" fontId="0" fillId="0" borderId="0" xfId="0" applyFont="1" applyAlignment="1">
      <alignment horizontal="left" indent="1"/>
    </xf>
    <xf numFmtId="0" fontId="0" fillId="5" borderId="0" xfId="0" applyFont="1" applyFill="1" applyAlignment="1">
      <alignment horizontal="center"/>
    </xf>
    <xf numFmtId="0" fontId="0" fillId="0" borderId="0" xfId="0" applyFont="1" applyAlignment="1">
      <alignment horizontal="left"/>
    </xf>
    <xf numFmtId="168" fontId="0" fillId="0" borderId="0" xfId="0" applyNumberFormat="1" applyFont="1"/>
    <xf numFmtId="44" fontId="0" fillId="0" borderId="0" xfId="0" applyNumberFormat="1" applyFont="1"/>
    <xf numFmtId="170" fontId="0" fillId="0" borderId="0" xfId="0" applyNumberFormat="1" applyFont="1"/>
    <xf numFmtId="0" fontId="0" fillId="6" borderId="1" xfId="0" applyFont="1" applyFill="1" applyBorder="1" applyAlignment="1">
      <alignment horizontal="center"/>
    </xf>
    <xf numFmtId="0" fontId="0" fillId="6" borderId="1" xfId="0" applyFont="1" applyFill="1" applyBorder="1"/>
    <xf numFmtId="0" fontId="3" fillId="6" borderId="1" xfId="0" applyFont="1" applyFill="1" applyBorder="1"/>
    <xf numFmtId="0" fontId="0" fillId="0" borderId="0" xfId="0" applyFont="1"/>
    <xf numFmtId="43" fontId="0" fillId="0" borderId="0" xfId="0" applyNumberFormat="1" applyFont="1"/>
    <xf numFmtId="0" fontId="3" fillId="0" borderId="0" xfId="0" applyFont="1"/>
    <xf numFmtId="166" fontId="0" fillId="0" borderId="0" xfId="1" applyNumberFormat="1" applyFont="1"/>
    <xf numFmtId="43" fontId="0" fillId="0" borderId="0" xfId="0" applyNumberFormat="1" applyFont="1"/>
    <xf numFmtId="0" fontId="0" fillId="0" borderId="0" xfId="0" applyFont="1" applyAlignment="1">
      <alignment horizontal="left" indent="1"/>
    </xf>
    <xf numFmtId="43" fontId="0" fillId="0" borderId="0" xfId="1" applyFont="1" applyAlignment="1">
      <alignment horizontal="center"/>
    </xf>
    <xf numFmtId="44" fontId="0" fillId="0" borderId="3" xfId="2" applyFont="1" applyBorder="1"/>
    <xf numFmtId="164" fontId="0" fillId="0" borderId="0" xfId="2" applyNumberFormat="1" applyFont="1" applyBorder="1"/>
    <xf numFmtId="43" fontId="0" fillId="0" borderId="0" xfId="1" applyFont="1" applyFill="1" applyBorder="1"/>
    <xf numFmtId="43" fontId="0" fillId="0" borderId="0" xfId="1" applyFont="1" applyBorder="1"/>
    <xf numFmtId="165" fontId="0" fillId="0" borderId="0" xfId="2" applyNumberFormat="1" applyFont="1" applyBorder="1"/>
    <xf numFmtId="44" fontId="0" fillId="0" borderId="0" xfId="2" applyFont="1" applyBorder="1" applyAlignment="1">
      <alignment horizontal="right"/>
    </xf>
    <xf numFmtId="10" fontId="0" fillId="0" borderId="0" xfId="3" applyNumberFormat="1" applyFont="1" applyBorder="1" applyAlignment="1">
      <alignment horizontal="right"/>
    </xf>
    <xf numFmtId="166" fontId="0" fillId="0" borderId="0" xfId="1" applyNumberFormat="1" applyFont="1" applyBorder="1" applyAlignment="1">
      <alignment horizontal="right"/>
    </xf>
    <xf numFmtId="166" fontId="0" fillId="0" borderId="0" xfId="1" applyNumberFormat="1" applyFont="1"/>
    <xf numFmtId="0" fontId="3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 wrapText="1"/>
    </xf>
    <xf numFmtId="0" fontId="0" fillId="0" borderId="0" xfId="0" applyFont="1" applyBorder="1" applyAlignment="1">
      <alignment horizontal="right" wrapText="1"/>
    </xf>
    <xf numFmtId="43" fontId="0" fillId="0" borderId="0" xfId="0" applyNumberFormat="1" applyFont="1" applyBorder="1"/>
    <xf numFmtId="0" fontId="0" fillId="0" borderId="0" xfId="0" applyFont="1" applyBorder="1" applyAlignment="1">
      <alignment horizontal="left"/>
    </xf>
    <xf numFmtId="44" fontId="0" fillId="0" borderId="0" xfId="0" applyNumberFormat="1" applyFont="1" applyBorder="1"/>
    <xf numFmtId="0" fontId="11" fillId="0" borderId="0" xfId="4" applyFont="1" applyFill="1" applyBorder="1" applyAlignment="1">
      <alignment horizontal="left"/>
    </xf>
    <xf numFmtId="166" fontId="11" fillId="0" borderId="0" xfId="1" applyNumberFormat="1" applyFont="1" applyFill="1" applyBorder="1" applyAlignment="1">
      <alignment horizontal="left"/>
    </xf>
    <xf numFmtId="43" fontId="0" fillId="0" borderId="0" xfId="0" applyNumberFormat="1" applyFont="1"/>
    <xf numFmtId="0" fontId="0" fillId="0" borderId="0" xfId="0" applyFont="1" applyAlignment="1">
      <alignment horizontal="left" indent="1"/>
    </xf>
    <xf numFmtId="166" fontId="0" fillId="0" borderId="0" xfId="1" applyNumberFormat="1" applyFont="1" applyFill="1" applyBorder="1" applyAlignment="1">
      <alignment horizontal="center" wrapText="1"/>
    </xf>
    <xf numFmtId="0" fontId="0" fillId="0" borderId="0" xfId="0" applyFont="1" applyFill="1" applyBorder="1" applyAlignment="1">
      <alignment horizontal="center" vertical="center"/>
    </xf>
    <xf numFmtId="0" fontId="0" fillId="6" borderId="1" xfId="0" applyFont="1" applyFill="1" applyBorder="1" applyAlignment="1">
      <alignment horizontal="center"/>
    </xf>
    <xf numFmtId="0" fontId="3" fillId="6" borderId="1" xfId="0" applyFont="1" applyFill="1" applyBorder="1"/>
    <xf numFmtId="0" fontId="0" fillId="6" borderId="1" xfId="0" applyFont="1" applyFill="1" applyBorder="1" applyAlignment="1">
      <alignment vertical="center" textRotation="90"/>
    </xf>
    <xf numFmtId="0" fontId="0" fillId="0" borderId="3" xfId="0" applyFont="1" applyFill="1" applyBorder="1" applyAlignment="1">
      <alignment horizontal="center" vertical="center"/>
    </xf>
    <xf numFmtId="0" fontId="12" fillId="6" borderId="1" xfId="4" applyFont="1" applyFill="1" applyBorder="1" applyAlignment="1">
      <alignment horizontal="left"/>
    </xf>
    <xf numFmtId="3" fontId="3" fillId="6" borderId="1" xfId="0" applyNumberFormat="1" applyFont="1" applyFill="1" applyBorder="1" applyAlignment="1">
      <alignment horizontal="right"/>
    </xf>
    <xf numFmtId="43" fontId="0" fillId="6" borderId="1" xfId="1" applyFont="1" applyFill="1" applyBorder="1"/>
    <xf numFmtId="166" fontId="3" fillId="6" borderId="1" xfId="0" applyNumberFormat="1" applyFont="1" applyFill="1" applyBorder="1"/>
    <xf numFmtId="43" fontId="0" fillId="6" borderId="1" xfId="0" applyNumberFormat="1" applyFont="1" applyFill="1" applyBorder="1"/>
    <xf numFmtId="166" fontId="3" fillId="6" borderId="1" xfId="1" applyNumberFormat="1" applyFont="1" applyFill="1" applyBorder="1"/>
    <xf numFmtId="166" fontId="3" fillId="0" borderId="1" xfId="1" applyNumberFormat="1" applyFont="1" applyBorder="1" applyAlignment="1">
      <alignment horizontal="center"/>
    </xf>
    <xf numFmtId="44" fontId="0" fillId="0" borderId="0" xfId="1" applyNumberFormat="1" applyFont="1" applyFill="1" applyBorder="1"/>
    <xf numFmtId="166" fontId="0" fillId="0" borderId="0" xfId="1" applyNumberFormat="1" applyFont="1" applyBorder="1"/>
    <xf numFmtId="0" fontId="0" fillId="0" borderId="0" xfId="0" applyFont="1" applyBorder="1"/>
    <xf numFmtId="0" fontId="0" fillId="0" borderId="0" xfId="0" applyFont="1" applyBorder="1" applyAlignment="1">
      <alignment horizontal="right"/>
    </xf>
    <xf numFmtId="0" fontId="0" fillId="0" borderId="0" xfId="0" applyFont="1" applyFill="1" applyBorder="1"/>
    <xf numFmtId="164" fontId="0" fillId="0" borderId="0" xfId="0" applyNumberFormat="1" applyFont="1" applyBorder="1"/>
    <xf numFmtId="0" fontId="0" fillId="0" borderId="0" xfId="0" applyFont="1" applyBorder="1" applyAlignment="1">
      <alignment horizontal="center"/>
    </xf>
    <xf numFmtId="0" fontId="0" fillId="0" borderId="0" xfId="0" applyFont="1" applyFill="1" applyBorder="1" applyAlignment="1">
      <alignment vertical="center" textRotation="90"/>
    </xf>
    <xf numFmtId="0" fontId="12" fillId="0" borderId="0" xfId="4" applyFont="1" applyFill="1" applyBorder="1" applyAlignment="1">
      <alignment horizontal="left"/>
    </xf>
    <xf numFmtId="166" fontId="3" fillId="0" borderId="0" xfId="1" applyNumberFormat="1" applyFont="1" applyBorder="1" applyAlignment="1">
      <alignment horizontal="right"/>
    </xf>
    <xf numFmtId="0" fontId="9" fillId="0" borderId="0" xfId="274" applyFont="1" applyBorder="1" applyAlignment="1">
      <alignment horizontal="left"/>
    </xf>
    <xf numFmtId="44" fontId="0" fillId="0" borderId="0" xfId="2" applyFont="1" applyFill="1" applyBorder="1"/>
    <xf numFmtId="166" fontId="0" fillId="0" borderId="0" xfId="1" applyNumberFormat="1" applyFont="1" applyFill="1" applyBorder="1"/>
    <xf numFmtId="43" fontId="0" fillId="0" borderId="0" xfId="1" applyNumberFormat="1" applyFont="1" applyFill="1" applyBorder="1"/>
    <xf numFmtId="166" fontId="0" fillId="0" borderId="3" xfId="1" applyNumberFormat="1" applyFont="1" applyFill="1" applyBorder="1"/>
    <xf numFmtId="43" fontId="0" fillId="0" borderId="3" xfId="1" applyNumberFormat="1" applyFont="1" applyFill="1" applyBorder="1"/>
    <xf numFmtId="44" fontId="0" fillId="2" borderId="0" xfId="2" applyFont="1" applyFill="1" applyBorder="1"/>
    <xf numFmtId="44" fontId="0" fillId="0" borderId="3" xfId="2" applyFont="1" applyFill="1" applyBorder="1"/>
    <xf numFmtId="44" fontId="0" fillId="2" borderId="3" xfId="2" applyFont="1" applyFill="1" applyBorder="1"/>
    <xf numFmtId="44" fontId="3" fillId="6" borderId="1" xfId="2" applyFont="1" applyFill="1" applyBorder="1"/>
    <xf numFmtId="44" fontId="0" fillId="6" borderId="1" xfId="2" applyFont="1" applyFill="1" applyBorder="1"/>
    <xf numFmtId="44" fontId="3" fillId="0" borderId="0" xfId="2" applyFont="1" applyBorder="1" applyAlignment="1">
      <alignment horizontal="right"/>
    </xf>
    <xf numFmtId="0" fontId="0" fillId="32" borderId="0" xfId="0" applyFont="1" applyFill="1" applyBorder="1"/>
    <xf numFmtId="0" fontId="0" fillId="32" borderId="0" xfId="0" applyFont="1" applyFill="1" applyBorder="1" applyAlignment="1">
      <alignment horizontal="center"/>
    </xf>
    <xf numFmtId="166" fontId="0" fillId="32" borderId="0" xfId="1" applyNumberFormat="1" applyFont="1" applyFill="1" applyBorder="1"/>
    <xf numFmtId="44" fontId="0" fillId="32" borderId="0" xfId="1" applyNumberFormat="1" applyFont="1" applyFill="1" applyBorder="1"/>
    <xf numFmtId="0" fontId="3" fillId="32" borderId="0" xfId="0" applyFont="1" applyFill="1" applyBorder="1"/>
    <xf numFmtId="166" fontId="0" fillId="0" borderId="1" xfId="1" applyNumberFormat="1" applyFont="1" applyFill="1" applyBorder="1"/>
    <xf numFmtId="0" fontId="3" fillId="6" borderId="1" xfId="0" applyFont="1" applyFill="1" applyBorder="1" applyAlignment="1">
      <alignment horizontal="center" wrapText="1"/>
    </xf>
    <xf numFmtId="0" fontId="3" fillId="6" borderId="1" xfId="0" applyFont="1" applyFill="1" applyBorder="1" applyAlignment="1">
      <alignment horizontal="center" vertical="center"/>
    </xf>
    <xf numFmtId="0" fontId="0" fillId="6" borderId="1" xfId="0" applyFont="1" applyFill="1" applyBorder="1" applyAlignment="1">
      <alignment horizontal="center" vertical="center"/>
    </xf>
    <xf numFmtId="3" fontId="3" fillId="6" borderId="1" xfId="0" applyNumberFormat="1" applyFont="1" applyFill="1" applyBorder="1"/>
    <xf numFmtId="0" fontId="0" fillId="0" borderId="0" xfId="0" applyFont="1" applyFill="1" applyBorder="1" applyAlignment="1"/>
    <xf numFmtId="0" fontId="11" fillId="0" borderId="0" xfId="274" applyFont="1" applyBorder="1" applyAlignment="1">
      <alignment horizontal="left"/>
    </xf>
    <xf numFmtId="0" fontId="9" fillId="0" borderId="0" xfId="4" applyFont="1" applyFill="1" applyBorder="1" applyAlignment="1">
      <alignment horizontal="left"/>
    </xf>
    <xf numFmtId="44" fontId="0" fillId="0" borderId="1" xfId="2" applyFont="1" applyFill="1" applyBorder="1"/>
    <xf numFmtId="44" fontId="0" fillId="0" borderId="0" xfId="2" applyFont="1" applyBorder="1"/>
    <xf numFmtId="0" fontId="3" fillId="0" borderId="20" xfId="0" applyFont="1" applyBorder="1"/>
    <xf numFmtId="0" fontId="0" fillId="0" borderId="21" xfId="0" applyFont="1" applyBorder="1"/>
    <xf numFmtId="0" fontId="0" fillId="0" borderId="22" xfId="0" applyFont="1" applyBorder="1"/>
    <xf numFmtId="43" fontId="3" fillId="0" borderId="0" xfId="1" applyNumberFormat="1" applyFont="1" applyBorder="1" applyAlignment="1">
      <alignment horizontal="right"/>
    </xf>
    <xf numFmtId="43" fontId="0" fillId="0" borderId="1" xfId="1" applyNumberFormat="1" applyFont="1" applyFill="1" applyBorder="1"/>
    <xf numFmtId="166" fontId="0" fillId="0" borderId="1" xfId="1" applyNumberFormat="1" applyFont="1" applyFill="1" applyBorder="1" applyAlignment="1">
      <alignment horizontal="center" wrapText="1"/>
    </xf>
    <xf numFmtId="0" fontId="58" fillId="0" borderId="0" xfId="353" applyFont="1" applyBorder="1"/>
    <xf numFmtId="0" fontId="2" fillId="0" borderId="0" xfId="372"/>
    <xf numFmtId="0" fontId="2" fillId="0" borderId="0" xfId="372" applyFill="1"/>
    <xf numFmtId="0" fontId="2" fillId="0" borderId="0" xfId="372" applyAlignment="1">
      <alignment horizontal="center"/>
    </xf>
    <xf numFmtId="14" fontId="2" fillId="0" borderId="0" xfId="372" applyNumberFormat="1" applyAlignment="1">
      <alignment horizontal="center"/>
    </xf>
    <xf numFmtId="0" fontId="48" fillId="0" borderId="0" xfId="372" applyFont="1"/>
    <xf numFmtId="4" fontId="2" fillId="0" borderId="0" xfId="372" applyNumberFormat="1" applyFill="1"/>
    <xf numFmtId="4" fontId="2" fillId="0" borderId="0" xfId="372" applyNumberFormat="1"/>
    <xf numFmtId="43" fontId="2" fillId="0" borderId="0" xfId="372" applyNumberFormat="1"/>
    <xf numFmtId="0" fontId="48" fillId="0" borderId="0" xfId="353" applyFont="1" applyBorder="1"/>
    <xf numFmtId="0" fontId="48" fillId="0" borderId="0" xfId="372" applyFont="1" applyAlignment="1">
      <alignment horizontal="center"/>
    </xf>
    <xf numFmtId="14" fontId="3" fillId="0" borderId="0" xfId="0" applyNumberFormat="1" applyFont="1"/>
    <xf numFmtId="3" fontId="1" fillId="0" borderId="0" xfId="0" applyNumberFormat="1" applyFont="1" applyFill="1" applyBorder="1"/>
    <xf numFmtId="0" fontId="11" fillId="0" borderId="0" xfId="299" applyFont="1" applyFill="1" applyBorder="1"/>
    <xf numFmtId="0" fontId="0" fillId="0" borderId="0" xfId="0" applyFill="1" applyBorder="1"/>
    <xf numFmtId="3" fontId="1" fillId="0" borderId="0" xfId="0" applyNumberFormat="1" applyFont="1" applyBorder="1"/>
    <xf numFmtId="0" fontId="11" fillId="0" borderId="0" xfId="299" applyFont="1" applyBorder="1"/>
    <xf numFmtId="16" fontId="12" fillId="0" borderId="0" xfId="299" applyNumberFormat="1" applyFont="1" applyBorder="1"/>
    <xf numFmtId="16" fontId="12" fillId="0" borderId="0" xfId="299" quotePrefix="1" applyNumberFormat="1" applyFont="1" applyBorder="1"/>
    <xf numFmtId="3" fontId="3" fillId="39" borderId="0" xfId="0" applyNumberFormat="1" applyFont="1" applyFill="1" applyBorder="1" applyAlignment="1">
      <alignment horizontal="center"/>
    </xf>
    <xf numFmtId="0" fontId="0" fillId="0" borderId="0" xfId="0" applyBorder="1"/>
    <xf numFmtId="3" fontId="3" fillId="0" borderId="0" xfId="0" applyNumberFormat="1" applyFont="1" applyBorder="1"/>
    <xf numFmtId="0" fontId="12" fillId="0" borderId="0" xfId="299" applyFont="1" applyBorder="1"/>
    <xf numFmtId="0" fontId="0" fillId="0" borderId="1" xfId="0" applyFont="1" applyFill="1" applyBorder="1" applyAlignment="1">
      <alignment horizontal="center" vertical="center"/>
    </xf>
    <xf numFmtId="166" fontId="11" fillId="0" borderId="0" xfId="1" applyNumberFormat="1" applyFont="1" applyFill="1" applyBorder="1"/>
    <xf numFmtId="0" fontId="11" fillId="0" borderId="1" xfId="299" applyFont="1" applyBorder="1"/>
    <xf numFmtId="166" fontId="0" fillId="0" borderId="3" xfId="1" applyNumberFormat="1" applyFont="1" applyFill="1" applyBorder="1" applyAlignment="1">
      <alignment horizontal="center" wrapText="1"/>
    </xf>
    <xf numFmtId="0" fontId="11" fillId="0" borderId="3" xfId="299" applyFont="1" applyBorder="1"/>
    <xf numFmtId="166" fontId="3" fillId="6" borderId="1" xfId="1" applyNumberFormat="1" applyFont="1" applyFill="1" applyBorder="1" applyAlignment="1">
      <alignment horizontal="center" wrapText="1"/>
    </xf>
    <xf numFmtId="166" fontId="11" fillId="0" borderId="1" xfId="1" applyNumberFormat="1" applyFont="1" applyFill="1" applyBorder="1"/>
    <xf numFmtId="2" fontId="2" fillId="0" borderId="0" xfId="372" applyNumberFormat="1" applyFill="1"/>
    <xf numFmtId="0" fontId="3" fillId="6" borderId="0" xfId="0" applyFont="1" applyFill="1" applyBorder="1" applyAlignment="1">
      <alignment horizontal="center" wrapText="1"/>
    </xf>
    <xf numFmtId="3" fontId="0" fillId="0" borderId="0" xfId="0" applyNumberFormat="1" applyFont="1" applyFill="1" applyBorder="1"/>
    <xf numFmtId="3" fontId="0" fillId="0" borderId="0" xfId="0" applyNumberFormat="1" applyFont="1" applyBorder="1"/>
    <xf numFmtId="3" fontId="3" fillId="0" borderId="0" xfId="0" applyNumberFormat="1" applyFont="1" applyFill="1" applyBorder="1"/>
    <xf numFmtId="3" fontId="3" fillId="6" borderId="1" xfId="0" applyNumberFormat="1" applyFont="1" applyFill="1" applyBorder="1" applyAlignment="1">
      <alignment horizontal="center" wrapText="1"/>
    </xf>
    <xf numFmtId="3" fontId="3" fillId="0" borderId="0" xfId="2" applyNumberFormat="1" applyFont="1" applyBorder="1" applyAlignment="1">
      <alignment horizontal="right"/>
    </xf>
    <xf numFmtId="3" fontId="0" fillId="0" borderId="0" xfId="2" applyNumberFormat="1" applyFont="1" applyFill="1" applyBorder="1"/>
    <xf numFmtId="3" fontId="0" fillId="0" borderId="0" xfId="0" applyNumberFormat="1" applyFont="1" applyBorder="1" applyAlignment="1">
      <alignment horizontal="right"/>
    </xf>
    <xf numFmtId="3" fontId="0" fillId="0" borderId="0" xfId="0" applyNumberFormat="1" applyFont="1" applyFill="1" applyBorder="1" applyAlignment="1">
      <alignment horizontal="right"/>
    </xf>
    <xf numFmtId="167" fontId="0" fillId="0" borderId="0" xfId="0" applyNumberFormat="1" applyFont="1"/>
    <xf numFmtId="169" fontId="0" fillId="0" borderId="0" xfId="0" applyNumberFormat="1" applyFont="1"/>
    <xf numFmtId="166" fontId="0" fillId="40" borderId="1" xfId="1" applyNumberFormat="1" applyFont="1" applyFill="1" applyBorder="1"/>
    <xf numFmtId="2" fontId="50" fillId="0" borderId="0" xfId="353" applyNumberFormat="1" applyFont="1" applyFill="1" applyBorder="1"/>
    <xf numFmtId="2" fontId="48" fillId="0" borderId="0" xfId="372" applyNumberFormat="1" applyFont="1" applyFill="1" applyAlignment="1">
      <alignment horizontal="center"/>
    </xf>
    <xf numFmtId="2" fontId="2" fillId="0" borderId="0" xfId="372" applyNumberFormat="1"/>
    <xf numFmtId="2" fontId="0" fillId="0" borderId="0" xfId="0" applyNumberFormat="1"/>
    <xf numFmtId="3" fontId="0" fillId="0" borderId="0" xfId="1" applyNumberFormat="1" applyFont="1" applyBorder="1"/>
    <xf numFmtId="3" fontId="3" fillId="0" borderId="0" xfId="1" applyNumberFormat="1" applyFont="1" applyBorder="1" applyAlignment="1">
      <alignment horizontal="right"/>
    </xf>
    <xf numFmtId="3" fontId="0" fillId="32" borderId="0" xfId="0" applyNumberFormat="1" applyFont="1" applyFill="1" applyBorder="1" applyAlignment="1">
      <alignment horizontal="right"/>
    </xf>
    <xf numFmtId="3" fontId="1" fillId="0" borderId="0" xfId="1" applyNumberFormat="1" applyFont="1" applyFill="1" applyBorder="1"/>
    <xf numFmtId="3" fontId="1" fillId="0" borderId="1" xfId="1" applyNumberFormat="1" applyFont="1" applyBorder="1"/>
    <xf numFmtId="3" fontId="0" fillId="0" borderId="3" xfId="1" applyNumberFormat="1" applyFont="1" applyBorder="1"/>
    <xf numFmtId="3" fontId="0" fillId="0" borderId="1" xfId="1" applyNumberFormat="1" applyFont="1" applyBorder="1"/>
    <xf numFmtId="3" fontId="0" fillId="0" borderId="0" xfId="1" applyNumberFormat="1" applyFont="1" applyBorder="1" applyAlignment="1">
      <alignment horizontal="right"/>
    </xf>
    <xf numFmtId="3" fontId="1" fillId="0" borderId="3" xfId="0" applyNumberFormat="1" applyFont="1" applyBorder="1"/>
    <xf numFmtId="0" fontId="11" fillId="0" borderId="0" xfId="0" applyFont="1" applyFill="1"/>
    <xf numFmtId="10" fontId="0" fillId="0" borderId="0" xfId="0" applyNumberFormat="1" applyFont="1"/>
    <xf numFmtId="0" fontId="0" fillId="0" borderId="0" xfId="0" applyFont="1" applyFill="1" applyBorder="1" applyAlignment="1">
      <alignment horizontal="center" vertical="center" textRotation="90"/>
    </xf>
    <xf numFmtId="0" fontId="0" fillId="0" borderId="3" xfId="0" applyFont="1" applyFill="1" applyBorder="1" applyAlignment="1">
      <alignment horizontal="center" vertical="center" textRotation="90"/>
    </xf>
    <xf numFmtId="44" fontId="0" fillId="0" borderId="0" xfId="2" applyFont="1" applyFill="1"/>
    <xf numFmtId="165" fontId="0" fillId="0" borderId="0" xfId="2" applyNumberFormat="1" applyFont="1" applyFill="1"/>
    <xf numFmtId="165" fontId="0" fillId="0" borderId="1" xfId="2" applyNumberFormat="1" applyFont="1" applyFill="1" applyBorder="1"/>
    <xf numFmtId="169" fontId="0" fillId="0" borderId="0" xfId="2" applyNumberFormat="1" applyFont="1" applyFill="1"/>
    <xf numFmtId="3" fontId="1" fillId="0" borderId="0" xfId="1" applyNumberFormat="1" applyFont="1" applyBorder="1"/>
    <xf numFmtId="0" fontId="0" fillId="0" borderId="0" xfId="0" applyFont="1" applyAlignment="1">
      <alignment horizontal="left"/>
    </xf>
    <xf numFmtId="3" fontId="1" fillId="0" borderId="3" xfId="1" applyNumberFormat="1" applyFont="1" applyFill="1" applyBorder="1"/>
    <xf numFmtId="43" fontId="3" fillId="0" borderId="0" xfId="0" applyNumberFormat="1" applyFont="1"/>
    <xf numFmtId="0" fontId="3" fillId="0" borderId="0" xfId="0" applyFont="1" applyAlignment="1">
      <alignment horizontal="left" indent="1"/>
    </xf>
    <xf numFmtId="0" fontId="3" fillId="0" borderId="32" xfId="0" applyFont="1" applyBorder="1"/>
    <xf numFmtId="41" fontId="0" fillId="0" borderId="0" xfId="1" applyNumberFormat="1" applyFont="1"/>
    <xf numFmtId="0" fontId="48" fillId="41" borderId="33" xfId="299" applyFont="1" applyFill="1" applyBorder="1"/>
    <xf numFmtId="0" fontId="2" fillId="0" borderId="33" xfId="299" applyFill="1" applyBorder="1"/>
    <xf numFmtId="0" fontId="2" fillId="0" borderId="33" xfId="299" applyFont="1" applyFill="1" applyBorder="1"/>
    <xf numFmtId="0" fontId="2" fillId="0" borderId="33" xfId="300" applyFill="1" applyBorder="1"/>
    <xf numFmtId="0" fontId="61" fillId="0" borderId="33" xfId="299" applyFont="1" applyFill="1" applyBorder="1" applyAlignment="1"/>
    <xf numFmtId="0" fontId="59" fillId="0" borderId="33" xfId="299" applyFont="1" applyFill="1" applyBorder="1" applyAlignment="1"/>
    <xf numFmtId="0" fontId="11" fillId="41" borderId="0" xfId="0" applyFont="1" applyFill="1" applyAlignment="1">
      <alignment horizontal="right"/>
    </xf>
    <xf numFmtId="0" fontId="0" fillId="0" borderId="33" xfId="0" applyBorder="1"/>
    <xf numFmtId="44" fontId="0" fillId="6" borderId="34" xfId="2" applyFont="1" applyFill="1" applyBorder="1"/>
    <xf numFmtId="0" fontId="48" fillId="0" borderId="33" xfId="299" applyFont="1" applyFill="1" applyBorder="1"/>
    <xf numFmtId="0" fontId="3" fillId="0" borderId="33" xfId="0" applyFont="1" applyBorder="1" applyAlignment="1">
      <alignment horizontal="center"/>
    </xf>
    <xf numFmtId="0" fontId="3" fillId="0" borderId="33" xfId="0" applyFont="1" applyFill="1" applyBorder="1"/>
    <xf numFmtId="10" fontId="3" fillId="0" borderId="0" xfId="0" applyNumberFormat="1" applyFont="1" applyFill="1" applyBorder="1"/>
    <xf numFmtId="0" fontId="10" fillId="0" borderId="33" xfId="299" applyFont="1" applyFill="1" applyBorder="1"/>
    <xf numFmtId="43" fontId="0" fillId="0" borderId="33" xfId="0" applyNumberFormat="1" applyFill="1" applyBorder="1"/>
    <xf numFmtId="0" fontId="0" fillId="0" borderId="33" xfId="0" applyFill="1" applyBorder="1"/>
    <xf numFmtId="0" fontId="62" fillId="0" borderId="33" xfId="299" applyFont="1" applyFill="1" applyBorder="1" applyAlignment="1"/>
    <xf numFmtId="0" fontId="63" fillId="0" borderId="33" xfId="299" applyFont="1" applyFill="1" applyBorder="1" applyAlignment="1"/>
    <xf numFmtId="0" fontId="64" fillId="0" borderId="33" xfId="299" applyFont="1" applyFill="1" applyBorder="1" applyAlignment="1"/>
    <xf numFmtId="0" fontId="3" fillId="0" borderId="0" xfId="0" applyFont="1" applyAlignment="1">
      <alignment horizontal="center"/>
    </xf>
    <xf numFmtId="3" fontId="3" fillId="0" borderId="0" xfId="0" applyNumberFormat="1" applyFont="1"/>
    <xf numFmtId="166" fontId="3" fillId="0" borderId="0" xfId="0" applyNumberFormat="1" applyFont="1"/>
    <xf numFmtId="37" fontId="3" fillId="0" borderId="0" xfId="0" applyNumberFormat="1" applyFont="1"/>
    <xf numFmtId="0" fontId="12" fillId="0" borderId="33" xfId="299" applyFont="1" applyBorder="1"/>
    <xf numFmtId="166" fontId="1" fillId="0" borderId="33" xfId="282" applyNumberFormat="1" applyFont="1" applyFill="1" applyBorder="1"/>
    <xf numFmtId="166" fontId="11" fillId="0" borderId="33" xfId="282" applyNumberFormat="1" applyFont="1" applyBorder="1"/>
    <xf numFmtId="3" fontId="11" fillId="0" borderId="33" xfId="282" applyNumberFormat="1" applyFont="1" applyBorder="1"/>
    <xf numFmtId="3" fontId="12" fillId="0" borderId="33" xfId="299" applyNumberFormat="1" applyFont="1" applyFill="1" applyBorder="1"/>
    <xf numFmtId="3" fontId="12" fillId="0" borderId="33" xfId="299" applyNumberFormat="1" applyFont="1" applyBorder="1"/>
    <xf numFmtId="166" fontId="12" fillId="0" borderId="33" xfId="282" applyNumberFormat="1" applyFont="1" applyBorder="1"/>
    <xf numFmtId="0" fontId="12" fillId="0" borderId="33" xfId="299" applyFont="1" applyBorder="1" applyAlignment="1"/>
    <xf numFmtId="3" fontId="0" fillId="0" borderId="0" xfId="1" applyNumberFormat="1" applyFont="1" applyFill="1" applyBorder="1"/>
    <xf numFmtId="4" fontId="0" fillId="0" borderId="0" xfId="0" applyNumberFormat="1" applyFont="1" applyFill="1" applyBorder="1"/>
    <xf numFmtId="44" fontId="3" fillId="6" borderId="3" xfId="2" applyFont="1" applyFill="1" applyBorder="1"/>
    <xf numFmtId="4" fontId="0" fillId="0" borderId="0" xfId="0" applyNumberFormat="1" applyFont="1" applyBorder="1"/>
    <xf numFmtId="4" fontId="3" fillId="0" borderId="0" xfId="0" applyNumberFormat="1" applyFont="1" applyFill="1" applyBorder="1"/>
    <xf numFmtId="4" fontId="0" fillId="2" borderId="3" xfId="2" applyNumberFormat="1" applyFont="1" applyFill="1" applyBorder="1"/>
    <xf numFmtId="4" fontId="0" fillId="2" borderId="0" xfId="2" applyNumberFormat="1" applyFont="1" applyFill="1" applyBorder="1"/>
    <xf numFmtId="4" fontId="0" fillId="2" borderId="1" xfId="2" applyNumberFormat="1" applyFont="1" applyFill="1" applyBorder="1"/>
    <xf numFmtId="4" fontId="3" fillId="6" borderId="1" xfId="2" applyNumberFormat="1" applyFont="1" applyFill="1" applyBorder="1"/>
    <xf numFmtId="164" fontId="3" fillId="0" borderId="0" xfId="2" applyNumberFormat="1" applyFont="1" applyBorder="1" applyAlignment="1">
      <alignment horizontal="right"/>
    </xf>
    <xf numFmtId="0" fontId="0" fillId="6" borderId="46" xfId="0" applyFont="1" applyFill="1" applyBorder="1" applyAlignment="1">
      <alignment horizontal="center"/>
    </xf>
    <xf numFmtId="0" fontId="3" fillId="0" borderId="23" xfId="0" applyFont="1" applyBorder="1"/>
    <xf numFmtId="0" fontId="3" fillId="0" borderId="2" xfId="0" applyFont="1" applyBorder="1"/>
    <xf numFmtId="10" fontId="0" fillId="6" borderId="24" xfId="0" applyNumberFormat="1" applyFont="1" applyFill="1" applyBorder="1" applyAlignment="1">
      <alignment horizontal="right"/>
    </xf>
    <xf numFmtId="0" fontId="69" fillId="0" borderId="0" xfId="375" applyNumberFormat="1" applyFont="1"/>
    <xf numFmtId="0" fontId="70" fillId="0" borderId="0" xfId="375" applyNumberFormat="1" applyFont="1"/>
    <xf numFmtId="0" fontId="71" fillId="0" borderId="0" xfId="375" applyNumberFormat="1" applyFont="1" applyAlignment="1">
      <alignment horizontal="right"/>
    </xf>
    <xf numFmtId="49" fontId="72" fillId="0" borderId="0" xfId="375" applyNumberFormat="1" applyFont="1" applyAlignment="1">
      <alignment horizontal="right"/>
    </xf>
    <xf numFmtId="0" fontId="72" fillId="0" borderId="0" xfId="375" applyNumberFormat="1" applyFont="1" applyAlignment="1">
      <alignment horizontal="left"/>
    </xf>
    <xf numFmtId="0" fontId="73" fillId="0" borderId="0" xfId="375" applyNumberFormat="1" applyFont="1"/>
    <xf numFmtId="49" fontId="72" fillId="0" borderId="0" xfId="375" applyNumberFormat="1" applyFont="1" applyAlignment="1">
      <alignment horizontal="left"/>
    </xf>
    <xf numFmtId="49" fontId="69" fillId="0" borderId="0" xfId="375" applyNumberFormat="1" applyFont="1"/>
    <xf numFmtId="0" fontId="74" fillId="0" borderId="0" xfId="375" applyNumberFormat="1" applyFont="1"/>
    <xf numFmtId="173" fontId="75" fillId="0" borderId="0" xfId="375" quotePrefix="1" applyNumberFormat="1" applyFont="1" applyAlignment="1">
      <alignment horizontal="left"/>
    </xf>
    <xf numFmtId="0" fontId="18" fillId="0" borderId="0" xfId="375" applyNumberFormat="1" applyFont="1"/>
    <xf numFmtId="166" fontId="48" fillId="0" borderId="1" xfId="9" applyNumberFormat="1" applyFont="1" applyFill="1" applyBorder="1" applyAlignment="1">
      <alignment horizontal="centerContinuous"/>
    </xf>
    <xf numFmtId="0" fontId="48" fillId="0" borderId="1" xfId="375" applyFont="1" applyFill="1" applyBorder="1" applyAlignment="1">
      <alignment horizontal="centerContinuous"/>
    </xf>
    <xf numFmtId="166" fontId="48" fillId="0" borderId="1" xfId="9" quotePrefix="1" applyNumberFormat="1" applyFont="1" applyFill="1" applyBorder="1" applyAlignment="1">
      <alignment horizontal="centerContinuous"/>
    </xf>
    <xf numFmtId="17" fontId="48" fillId="0" borderId="2" xfId="9" applyNumberFormat="1" applyFont="1" applyFill="1" applyBorder="1" applyAlignment="1">
      <alignment horizontal="centerContinuous"/>
    </xf>
    <xf numFmtId="0" fontId="48" fillId="0" borderId="0" xfId="375" applyFont="1" applyBorder="1"/>
    <xf numFmtId="0" fontId="48" fillId="0" borderId="0" xfId="375" applyFont="1"/>
    <xf numFmtId="17" fontId="48" fillId="0" borderId="2" xfId="9" applyNumberFormat="1" applyFont="1" applyBorder="1" applyAlignment="1">
      <alignment horizontal="centerContinuous"/>
    </xf>
    <xf numFmtId="17" fontId="58" fillId="0" borderId="2" xfId="9" applyNumberFormat="1" applyFont="1" applyFill="1" applyBorder="1" applyAlignment="1">
      <alignment horizontal="centerContinuous"/>
    </xf>
    <xf numFmtId="0" fontId="18" fillId="0" borderId="0" xfId="375" applyFont="1"/>
    <xf numFmtId="166" fontId="18" fillId="0" borderId="0" xfId="9" applyNumberFormat="1" applyFont="1"/>
    <xf numFmtId="0" fontId="76" fillId="0" borderId="0" xfId="375" applyFont="1"/>
    <xf numFmtId="166" fontId="76" fillId="0" borderId="0" xfId="9" applyNumberFormat="1" applyFont="1"/>
    <xf numFmtId="0" fontId="18" fillId="0" borderId="0" xfId="375" applyFont="1" applyAlignment="1">
      <alignment horizontal="left"/>
    </xf>
    <xf numFmtId="0" fontId="18" fillId="0" borderId="0" xfId="375" quotePrefix="1" applyFont="1" applyAlignment="1">
      <alignment horizontal="left"/>
    </xf>
    <xf numFmtId="14" fontId="2" fillId="0" borderId="0" xfId="376" applyNumberFormat="1" applyFont="1" applyFill="1"/>
    <xf numFmtId="166" fontId="2" fillId="44" borderId="0" xfId="9" applyNumberFormat="1" applyFont="1" applyFill="1" applyBorder="1"/>
    <xf numFmtId="174" fontId="77" fillId="0" borderId="0" xfId="27" applyNumberFormat="1" applyFont="1" applyFill="1" applyBorder="1"/>
    <xf numFmtId="166" fontId="2" fillId="0" borderId="0" xfId="9" applyNumberFormat="1" applyFont="1" applyBorder="1"/>
    <xf numFmtId="37" fontId="2" fillId="0" borderId="0" xfId="376" applyFont="1" applyFill="1"/>
    <xf numFmtId="166" fontId="18" fillId="0" borderId="1" xfId="9" applyNumberFormat="1" applyFont="1" applyBorder="1"/>
    <xf numFmtId="166" fontId="18" fillId="4" borderId="0" xfId="5" applyNumberFormat="1" applyFont="1" applyFill="1" applyBorder="1"/>
    <xf numFmtId="166" fontId="70" fillId="0" borderId="0" xfId="5" applyNumberFormat="1" applyFont="1"/>
    <xf numFmtId="166" fontId="18" fillId="0" borderId="0" xfId="5" applyNumberFormat="1" applyFont="1"/>
    <xf numFmtId="166" fontId="18" fillId="0" borderId="1" xfId="5" applyNumberFormat="1" applyFont="1" applyBorder="1"/>
    <xf numFmtId="0" fontId="18" fillId="0" borderId="0" xfId="375" quotePrefix="1" applyFont="1"/>
    <xf numFmtId="0" fontId="78" fillId="0" borderId="0" xfId="375" applyFont="1" applyAlignment="1">
      <alignment horizontal="left"/>
    </xf>
    <xf numFmtId="166" fontId="18" fillId="4" borderId="34" xfId="5" applyNumberFormat="1" applyFont="1" applyFill="1" applyBorder="1"/>
    <xf numFmtId="0" fontId="78" fillId="0" borderId="0" xfId="375" applyFont="1"/>
    <xf numFmtId="0" fontId="78" fillId="0" borderId="0" xfId="375" quotePrefix="1" applyFont="1" applyAlignment="1">
      <alignment horizontal="left"/>
    </xf>
    <xf numFmtId="0" fontId="2" fillId="0" borderId="0" xfId="18"/>
    <xf numFmtId="166" fontId="2" fillId="0" borderId="0" xfId="5" applyNumberFormat="1" applyFont="1"/>
    <xf numFmtId="166" fontId="1" fillId="0" borderId="0" xfId="5" applyNumberFormat="1" applyFont="1"/>
    <xf numFmtId="0" fontId="2" fillId="0" borderId="0" xfId="18" applyFont="1"/>
    <xf numFmtId="0" fontId="78" fillId="45" borderId="0" xfId="375" quotePrefix="1" applyFont="1" applyFill="1" applyAlignment="1">
      <alignment horizontal="left"/>
    </xf>
    <xf numFmtId="0" fontId="18" fillId="45" borderId="0" xfId="375" applyFont="1" applyFill="1"/>
    <xf numFmtId="166" fontId="18" fillId="45" borderId="34" xfId="5" applyNumberFormat="1" applyFont="1" applyFill="1" applyBorder="1"/>
    <xf numFmtId="166" fontId="70" fillId="0" borderId="0" xfId="5" applyNumberFormat="1" applyFont="1" applyFill="1"/>
    <xf numFmtId="166" fontId="70" fillId="0" borderId="0" xfId="5" applyNumberFormat="1" applyFont="1" applyFill="1" applyBorder="1"/>
    <xf numFmtId="0" fontId="70" fillId="0" borderId="0" xfId="375" applyNumberFormat="1" applyFont="1" applyFill="1"/>
    <xf numFmtId="0" fontId="2" fillId="0" borderId="0" xfId="169" applyFont="1"/>
    <xf numFmtId="175" fontId="2" fillId="0" borderId="0" xfId="169" applyNumberFormat="1" applyFont="1"/>
    <xf numFmtId="166" fontId="76" fillId="0" borderId="0" xfId="5" applyNumberFormat="1" applyFont="1"/>
    <xf numFmtId="0" fontId="78" fillId="2" borderId="0" xfId="375" applyFont="1" applyFill="1" applyAlignment="1">
      <alignment horizontal="left"/>
    </xf>
    <xf numFmtId="0" fontId="18" fillId="2" borderId="0" xfId="375" applyFont="1" applyFill="1"/>
    <xf numFmtId="175" fontId="18" fillId="2" borderId="34" xfId="5" quotePrefix="1" applyNumberFormat="1" applyFont="1" applyFill="1" applyBorder="1"/>
    <xf numFmtId="166" fontId="77" fillId="0" borderId="0" xfId="5" applyNumberFormat="1" applyFont="1" applyFill="1" applyBorder="1"/>
    <xf numFmtId="166" fontId="2" fillId="0" borderId="0" xfId="5" applyNumberFormat="1" applyFont="1" applyFill="1"/>
    <xf numFmtId="166" fontId="18" fillId="4" borderId="47" xfId="5" applyNumberFormat="1" applyFont="1" applyFill="1" applyBorder="1"/>
    <xf numFmtId="166" fontId="2" fillId="0" borderId="0" xfId="9" applyNumberFormat="1" applyFont="1" applyFill="1"/>
    <xf numFmtId="166" fontId="18" fillId="46" borderId="0" xfId="5" applyNumberFormat="1" applyFont="1" applyFill="1" applyBorder="1"/>
    <xf numFmtId="166" fontId="18" fillId="46" borderId="0" xfId="5" applyNumberFormat="1" applyFont="1" applyFill="1"/>
    <xf numFmtId="166" fontId="77" fillId="46" borderId="0" xfId="5" applyNumberFormat="1" applyFont="1" applyFill="1" applyBorder="1"/>
    <xf numFmtId="37" fontId="2" fillId="0" borderId="0" xfId="376" applyFont="1" applyFill="1" applyBorder="1"/>
    <xf numFmtId="166" fontId="79" fillId="0" borderId="0" xfId="9" applyNumberFormat="1" applyFont="1" applyFill="1" applyAlignment="1">
      <alignment horizontal="right"/>
    </xf>
    <xf numFmtId="0" fontId="80" fillId="0" borderId="0" xfId="375" applyNumberFormat="1" applyFont="1"/>
    <xf numFmtId="166" fontId="81" fillId="0" borderId="0" xfId="9" applyNumberFormat="1" applyFont="1" applyFill="1"/>
    <xf numFmtId="171" fontId="48" fillId="0" borderId="0" xfId="360" applyNumberFormat="1" applyFont="1" applyFill="1"/>
    <xf numFmtId="0" fontId="2" fillId="0" borderId="0" xfId="167"/>
    <xf numFmtId="0" fontId="82" fillId="0" borderId="0" xfId="353" applyFont="1" applyBorder="1"/>
    <xf numFmtId="14" fontId="2" fillId="0" borderId="0" xfId="156" applyNumberFormat="1"/>
    <xf numFmtId="0" fontId="2" fillId="0" borderId="0" xfId="156"/>
    <xf numFmtId="0" fontId="48" fillId="0" borderId="0" xfId="156" applyFont="1" applyBorder="1"/>
    <xf numFmtId="0" fontId="48" fillId="0" borderId="0" xfId="156" applyFont="1" applyBorder="1" applyAlignment="1">
      <alignment horizontal="center"/>
    </xf>
    <xf numFmtId="0" fontId="2" fillId="0" borderId="0" xfId="156" applyAlignment="1">
      <alignment horizontal="center"/>
    </xf>
    <xf numFmtId="0" fontId="48" fillId="0" borderId="1" xfId="156" applyFont="1" applyBorder="1" applyAlignment="1">
      <alignment horizontal="center"/>
    </xf>
    <xf numFmtId="17" fontId="2" fillId="0" borderId="0" xfId="156" applyNumberFormat="1"/>
    <xf numFmtId="3" fontId="2" fillId="0" borderId="0" xfId="156" applyNumberFormat="1"/>
    <xf numFmtId="3" fontId="2" fillId="0" borderId="0" xfId="156" applyNumberFormat="1" applyFill="1"/>
    <xf numFmtId="0" fontId="2" fillId="0" borderId="0" xfId="156" applyFont="1" applyAlignment="1">
      <alignment horizontal="right"/>
    </xf>
    <xf numFmtId="3" fontId="2" fillId="0" borderId="1" xfId="156" applyNumberFormat="1" applyFill="1" applyBorder="1"/>
    <xf numFmtId="3" fontId="2" fillId="0" borderId="1" xfId="156" applyNumberFormat="1" applyFont="1" applyFill="1" applyBorder="1"/>
    <xf numFmtId="3" fontId="2" fillId="0" borderId="1" xfId="156" applyNumberFormat="1" applyBorder="1"/>
    <xf numFmtId="0" fontId="48" fillId="0" borderId="0" xfId="156" applyFont="1"/>
    <xf numFmtId="3" fontId="48" fillId="0" borderId="0" xfId="156" applyNumberFormat="1" applyFont="1"/>
    <xf numFmtId="176" fontId="2" fillId="0" borderId="0" xfId="156" applyNumberFormat="1" applyAlignment="1">
      <alignment horizontal="center"/>
    </xf>
    <xf numFmtId="177" fontId="2" fillId="0" borderId="0" xfId="156" applyNumberFormat="1"/>
    <xf numFmtId="178" fontId="48" fillId="0" borderId="0" xfId="156" applyNumberFormat="1" applyFont="1"/>
    <xf numFmtId="10" fontId="48" fillId="0" borderId="0" xfId="156" applyNumberFormat="1" applyFont="1"/>
    <xf numFmtId="179" fontId="48" fillId="0" borderId="0" xfId="156" applyNumberFormat="1" applyFont="1"/>
    <xf numFmtId="179" fontId="2" fillId="0" borderId="0" xfId="156" applyNumberFormat="1"/>
    <xf numFmtId="37" fontId="48" fillId="0" borderId="0" xfId="156" applyNumberFormat="1" applyFont="1"/>
    <xf numFmtId="37" fontId="2" fillId="0" borderId="0" xfId="156" applyNumberFormat="1"/>
    <xf numFmtId="176" fontId="2" fillId="0" borderId="0" xfId="156" applyNumberFormat="1"/>
    <xf numFmtId="0" fontId="83" fillId="0" borderId="0" xfId="156" applyFont="1"/>
    <xf numFmtId="0" fontId="2" fillId="0" borderId="0" xfId="156" applyFont="1"/>
    <xf numFmtId="176" fontId="48" fillId="0" borderId="0" xfId="156" applyNumberFormat="1" applyFont="1"/>
    <xf numFmtId="10" fontId="1" fillId="0" borderId="0" xfId="24" applyNumberFormat="1" applyFont="1"/>
    <xf numFmtId="5" fontId="3" fillId="6" borderId="1" xfId="2" applyNumberFormat="1" applyFont="1" applyFill="1" applyBorder="1"/>
    <xf numFmtId="3" fontId="3" fillId="6" borderId="1" xfId="2" applyNumberFormat="1" applyFont="1" applyFill="1" applyBorder="1"/>
    <xf numFmtId="180" fontId="0" fillId="0" borderId="0" xfId="0" applyNumberFormat="1" applyFont="1"/>
    <xf numFmtId="0" fontId="0" fillId="0" borderId="0" xfId="0" applyFont="1" applyFill="1" applyBorder="1" applyAlignment="1">
      <alignment horizontal="left"/>
    </xf>
    <xf numFmtId="43" fontId="0" fillId="0" borderId="0" xfId="0" applyNumberFormat="1" applyFont="1" applyFill="1" applyBorder="1"/>
    <xf numFmtId="0" fontId="60" fillId="0" borderId="0" xfId="1" applyNumberFormat="1" applyFont="1" applyFill="1" applyBorder="1" applyAlignment="1">
      <alignment horizontal="left"/>
    </xf>
    <xf numFmtId="0" fontId="0" fillId="0" borderId="0" xfId="1" applyNumberFormat="1" applyFont="1" applyFill="1" applyBorder="1"/>
    <xf numFmtId="10" fontId="0" fillId="0" borderId="0" xfId="3" applyNumberFormat="1" applyFont="1" applyFill="1" applyBorder="1"/>
    <xf numFmtId="3" fontId="3" fillId="6" borderId="34" xfId="0" applyNumberFormat="1" applyFont="1" applyFill="1" applyBorder="1" applyAlignment="1">
      <alignment horizontal="right"/>
    </xf>
    <xf numFmtId="43" fontId="0" fillId="6" borderId="34" xfId="1" applyFont="1" applyFill="1" applyBorder="1"/>
    <xf numFmtId="166" fontId="3" fillId="6" borderId="34" xfId="0" applyNumberFormat="1" applyFont="1" applyFill="1" applyBorder="1"/>
    <xf numFmtId="42" fontId="3" fillId="0" borderId="0" xfId="0" applyNumberFormat="1" applyFont="1"/>
    <xf numFmtId="42" fontId="0" fillId="0" borderId="22" xfId="2" applyNumberFormat="1" applyFont="1" applyBorder="1"/>
    <xf numFmtId="2" fontId="0" fillId="0" borderId="0" xfId="0" applyNumberFormat="1" applyFont="1" applyFill="1" applyBorder="1"/>
    <xf numFmtId="3" fontId="3" fillId="6" borderId="0" xfId="0" applyNumberFormat="1" applyFont="1" applyFill="1" applyBorder="1" applyAlignment="1">
      <alignment horizontal="center" wrapText="1"/>
    </xf>
    <xf numFmtId="0" fontId="48" fillId="0" borderId="0" xfId="156" applyFont="1" applyAlignment="1">
      <alignment horizontal="center"/>
    </xf>
    <xf numFmtId="10" fontId="0" fillId="0" borderId="0" xfId="0" applyNumberFormat="1" applyFont="1" applyFill="1" applyBorder="1"/>
    <xf numFmtId="3" fontId="0" fillId="0" borderId="0" xfId="0" applyNumberFormat="1" applyBorder="1"/>
    <xf numFmtId="10" fontId="0" fillId="0" borderId="0" xfId="0" applyNumberFormat="1" applyFont="1" applyBorder="1"/>
    <xf numFmtId="3" fontId="3" fillId="41" borderId="0" xfId="0" applyNumberFormat="1" applyFont="1" applyFill="1" applyBorder="1" applyAlignment="1">
      <alignment horizontal="center"/>
    </xf>
    <xf numFmtId="0" fontId="12" fillId="41" borderId="0" xfId="299" applyFont="1" applyFill="1" applyBorder="1" applyAlignment="1">
      <alignment horizontal="center"/>
    </xf>
    <xf numFmtId="0" fontId="61" fillId="41" borderId="33" xfId="299" applyFont="1" applyFill="1" applyBorder="1" applyAlignment="1"/>
    <xf numFmtId="0" fontId="3" fillId="41" borderId="33" xfId="0" applyFont="1" applyFill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0" xfId="0" applyFont="1"/>
    <xf numFmtId="3" fontId="1" fillId="0" borderId="0" xfId="0" applyNumberFormat="1" applyFont="1"/>
    <xf numFmtId="37" fontId="1" fillId="0" borderId="0" xfId="0" applyNumberFormat="1" applyFont="1"/>
    <xf numFmtId="41" fontId="1" fillId="0" borderId="0" xfId="0" applyNumberFormat="1" applyFont="1"/>
    <xf numFmtId="172" fontId="1" fillId="0" borderId="0" xfId="0" applyNumberFormat="1" applyFont="1"/>
    <xf numFmtId="0" fontId="1" fillId="6" borderId="0" xfId="0" applyFont="1" applyFill="1"/>
    <xf numFmtId="166" fontId="1" fillId="6" borderId="0" xfId="0" applyNumberFormat="1" applyFont="1" applyFill="1"/>
    <xf numFmtId="10" fontId="1" fillId="0" borderId="0" xfId="0" applyNumberFormat="1" applyFont="1"/>
    <xf numFmtId="0" fontId="12" fillId="0" borderId="0" xfId="353" applyFont="1" applyBorder="1"/>
    <xf numFmtId="37" fontId="3" fillId="0" borderId="0" xfId="0" applyNumberFormat="1" applyFont="1" applyAlignment="1">
      <alignment horizontal="center"/>
    </xf>
    <xf numFmtId="0" fontId="84" fillId="0" borderId="33" xfId="299" applyFont="1" applyBorder="1"/>
    <xf numFmtId="0" fontId="84" fillId="0" borderId="33" xfId="299" applyFont="1" applyFill="1" applyBorder="1"/>
    <xf numFmtId="0" fontId="85" fillId="0" borderId="33" xfId="299" applyFont="1" applyBorder="1"/>
    <xf numFmtId="0" fontId="85" fillId="0" borderId="33" xfId="299" applyFont="1" applyFill="1" applyBorder="1"/>
    <xf numFmtId="16" fontId="84" fillId="0" borderId="33" xfId="299" quotePrefix="1" applyNumberFormat="1" applyFont="1" applyBorder="1"/>
    <xf numFmtId="16" fontId="84" fillId="0" borderId="33" xfId="299" quotePrefix="1" applyNumberFormat="1" applyFont="1" applyFill="1" applyBorder="1"/>
    <xf numFmtId="16" fontId="85" fillId="0" borderId="33" xfId="299" quotePrefix="1" applyNumberFormat="1" applyFont="1" applyBorder="1"/>
    <xf numFmtId="4" fontId="84" fillId="0" borderId="33" xfId="0" applyNumberFormat="1" applyFont="1" applyBorder="1" applyAlignment="1">
      <alignment horizontal="center"/>
    </xf>
    <xf numFmtId="16" fontId="85" fillId="0" borderId="33" xfId="299" quotePrefix="1" applyNumberFormat="1" applyFont="1" applyFill="1" applyBorder="1"/>
    <xf numFmtId="0" fontId="84" fillId="0" borderId="33" xfId="0" applyFont="1" applyBorder="1" applyAlignment="1">
      <alignment horizontal="center"/>
    </xf>
    <xf numFmtId="0" fontId="86" fillId="0" borderId="33" xfId="299" applyFont="1" applyBorder="1"/>
    <xf numFmtId="0" fontId="87" fillId="0" borderId="33" xfId="299" applyFont="1" applyBorder="1"/>
    <xf numFmtId="0" fontId="84" fillId="41" borderId="33" xfId="299" applyFont="1" applyFill="1" applyBorder="1"/>
    <xf numFmtId="0" fontId="85" fillId="40" borderId="33" xfId="299" applyFont="1" applyFill="1" applyBorder="1"/>
    <xf numFmtId="0" fontId="85" fillId="0" borderId="33" xfId="300" applyFont="1" applyFill="1" applyBorder="1"/>
    <xf numFmtId="0" fontId="88" fillId="0" borderId="33" xfId="300" applyFont="1" applyFill="1" applyBorder="1"/>
    <xf numFmtId="0" fontId="84" fillId="0" borderId="33" xfId="299" applyFont="1" applyBorder="1" applyAlignment="1">
      <alignment horizontal="right"/>
    </xf>
    <xf numFmtId="0" fontId="84" fillId="0" borderId="33" xfId="299" applyFont="1" applyFill="1" applyBorder="1" applyAlignment="1"/>
    <xf numFmtId="0" fontId="84" fillId="0" borderId="33" xfId="299" applyFont="1" applyBorder="1" applyAlignment="1"/>
    <xf numFmtId="0" fontId="85" fillId="0" borderId="33" xfId="299" applyFont="1" applyFill="1" applyBorder="1" applyAlignment="1"/>
    <xf numFmtId="0" fontId="85" fillId="0" borderId="33" xfId="299" applyFont="1" applyBorder="1" applyAlignment="1"/>
    <xf numFmtId="0" fontId="86" fillId="0" borderId="33" xfId="299" applyFont="1" applyBorder="1" applyAlignment="1"/>
    <xf numFmtId="0" fontId="84" fillId="0" borderId="35" xfId="299" applyFont="1" applyFill="1" applyBorder="1" applyAlignment="1"/>
    <xf numFmtId="43" fontId="86" fillId="0" borderId="33" xfId="1" applyFont="1" applyBorder="1"/>
    <xf numFmtId="0" fontId="86" fillId="0" borderId="33" xfId="0" applyFont="1" applyBorder="1"/>
    <xf numFmtId="0" fontId="89" fillId="0" borderId="33" xfId="374" applyFont="1" applyBorder="1"/>
    <xf numFmtId="3" fontId="90" fillId="0" borderId="33" xfId="0" applyNumberFormat="1" applyFont="1" applyBorder="1"/>
    <xf numFmtId="3" fontId="90" fillId="0" borderId="33" xfId="0" applyNumberFormat="1" applyFont="1" applyFill="1" applyBorder="1"/>
    <xf numFmtId="3" fontId="90" fillId="0" borderId="33" xfId="0" applyNumberFormat="1" applyFont="1" applyBorder="1" applyAlignment="1">
      <alignment horizontal="center"/>
    </xf>
    <xf numFmtId="0" fontId="90" fillId="0" borderId="33" xfId="0" applyFont="1" applyBorder="1"/>
    <xf numFmtId="0" fontId="90" fillId="0" borderId="33" xfId="0" applyFont="1" applyBorder="1" applyAlignment="1">
      <alignment horizontal="center"/>
    </xf>
    <xf numFmtId="0" fontId="90" fillId="0" borderId="33" xfId="0" applyNumberFormat="1" applyFont="1" applyBorder="1" applyAlignment="1">
      <alignment horizontal="center"/>
    </xf>
    <xf numFmtId="43" fontId="90" fillId="0" borderId="33" xfId="0" applyNumberFormat="1" applyFont="1" applyBorder="1"/>
    <xf numFmtId="43" fontId="91" fillId="0" borderId="33" xfId="373" applyFont="1" applyBorder="1" applyAlignment="1">
      <alignment horizontal="center"/>
    </xf>
    <xf numFmtId="3" fontId="86" fillId="0" borderId="33" xfId="0" applyNumberFormat="1" applyFont="1" applyBorder="1" applyAlignment="1">
      <alignment horizontal="center"/>
    </xf>
    <xf numFmtId="3" fontId="86" fillId="0" borderId="33" xfId="0" applyNumberFormat="1" applyFont="1" applyBorder="1"/>
    <xf numFmtId="43" fontId="89" fillId="0" borderId="33" xfId="373" applyFont="1" applyBorder="1"/>
    <xf numFmtId="43" fontId="86" fillId="0" borderId="33" xfId="0" applyNumberFormat="1" applyFont="1" applyBorder="1"/>
    <xf numFmtId="43" fontId="86" fillId="5" borderId="33" xfId="0" applyNumberFormat="1" applyFont="1" applyFill="1" applyBorder="1"/>
    <xf numFmtId="4" fontId="86" fillId="0" borderId="33" xfId="0" applyNumberFormat="1" applyFont="1" applyBorder="1"/>
    <xf numFmtId="0" fontId="86" fillId="5" borderId="33" xfId="0" applyFont="1" applyFill="1" applyBorder="1"/>
    <xf numFmtId="43" fontId="89" fillId="0" borderId="33" xfId="374" applyNumberFormat="1" applyFont="1" applyBorder="1"/>
    <xf numFmtId="43" fontId="86" fillId="41" borderId="33" xfId="0" applyNumberFormat="1" applyFont="1" applyFill="1" applyBorder="1"/>
    <xf numFmtId="43" fontId="89" fillId="0" borderId="33" xfId="373" applyFont="1" applyFill="1" applyBorder="1"/>
    <xf numFmtId="43" fontId="86" fillId="0" borderId="33" xfId="1" applyFont="1" applyFill="1" applyBorder="1"/>
    <xf numFmtId="0" fontId="91" fillId="0" borderId="33" xfId="374" applyFont="1" applyBorder="1"/>
    <xf numFmtId="43" fontId="90" fillId="42" borderId="33" xfId="0" applyNumberFormat="1" applyFont="1" applyFill="1" applyBorder="1"/>
    <xf numFmtId="0" fontId="89" fillId="0" borderId="33" xfId="374" applyFont="1" applyBorder="1" applyAlignment="1">
      <alignment horizontal="right"/>
    </xf>
    <xf numFmtId="0" fontId="86" fillId="0" borderId="33" xfId="0" applyFont="1" applyBorder="1" applyAlignment="1">
      <alignment horizontal="center"/>
    </xf>
    <xf numFmtId="37" fontId="86" fillId="0" borderId="33" xfId="0" applyNumberFormat="1" applyFont="1" applyBorder="1"/>
    <xf numFmtId="43" fontId="90" fillId="0" borderId="33" xfId="0" applyNumberFormat="1" applyFont="1" applyBorder="1" applyAlignment="1">
      <alignment horizontal="center"/>
    </xf>
    <xf numFmtId="3" fontId="90" fillId="42" borderId="33" xfId="0" applyNumberFormat="1" applyFont="1" applyFill="1" applyBorder="1"/>
    <xf numFmtId="2" fontId="86" fillId="0" borderId="33" xfId="0" applyNumberFormat="1" applyFont="1" applyBorder="1"/>
    <xf numFmtId="166" fontId="86" fillId="0" borderId="33" xfId="0" applyNumberFormat="1" applyFont="1" applyBorder="1"/>
    <xf numFmtId="41" fontId="86" fillId="0" borderId="33" xfId="0" applyNumberFormat="1" applyFont="1" applyBorder="1"/>
    <xf numFmtId="43" fontId="86" fillId="0" borderId="33" xfId="0" applyNumberFormat="1" applyFont="1" applyBorder="1" applyAlignment="1">
      <alignment horizontal="left"/>
    </xf>
    <xf numFmtId="0" fontId="86" fillId="0" borderId="35" xfId="0" applyFont="1" applyBorder="1"/>
    <xf numFmtId="166" fontId="90" fillId="0" borderId="33" xfId="0" applyNumberFormat="1" applyFont="1" applyBorder="1"/>
    <xf numFmtId="0" fontId="86" fillId="0" borderId="37" xfId="0" applyFont="1" applyBorder="1"/>
    <xf numFmtId="0" fontId="90" fillId="0" borderId="38" xfId="0" applyFont="1" applyBorder="1"/>
    <xf numFmtId="0" fontId="86" fillId="0" borderId="39" xfId="0" applyFont="1" applyBorder="1"/>
    <xf numFmtId="0" fontId="86" fillId="0" borderId="36" xfId="0" applyFont="1" applyBorder="1"/>
    <xf numFmtId="0" fontId="90" fillId="0" borderId="40" xfId="0" applyFont="1" applyBorder="1"/>
    <xf numFmtId="0" fontId="86" fillId="0" borderId="41" xfId="0" applyFont="1" applyBorder="1"/>
    <xf numFmtId="0" fontId="86" fillId="0" borderId="40" xfId="0" applyFont="1" applyBorder="1"/>
    <xf numFmtId="3" fontId="86" fillId="42" borderId="33" xfId="0" applyNumberFormat="1" applyFont="1" applyFill="1" applyBorder="1"/>
    <xf numFmtId="0" fontId="90" fillId="0" borderId="33" xfId="0" applyFont="1" applyFill="1" applyBorder="1"/>
    <xf numFmtId="0" fontId="86" fillId="0" borderId="0" xfId="0" applyFont="1"/>
    <xf numFmtId="0" fontId="86" fillId="0" borderId="42" xfId="0" applyFont="1" applyBorder="1"/>
    <xf numFmtId="0" fontId="86" fillId="0" borderId="43" xfId="0" applyFont="1" applyBorder="1"/>
    <xf numFmtId="0" fontId="86" fillId="0" borderId="44" xfId="0" applyFont="1" applyBorder="1"/>
    <xf numFmtId="0" fontId="86" fillId="0" borderId="45" xfId="0" applyFont="1" applyBorder="1"/>
    <xf numFmtId="0" fontId="84" fillId="41" borderId="33" xfId="299" applyFont="1" applyFill="1" applyBorder="1" applyAlignment="1"/>
    <xf numFmtId="43" fontId="90" fillId="0" borderId="33" xfId="0" applyNumberFormat="1" applyFont="1" applyFill="1" applyBorder="1"/>
    <xf numFmtId="37" fontId="90" fillId="0" borderId="33" xfId="0" applyNumberFormat="1" applyFont="1" applyBorder="1"/>
    <xf numFmtId="4" fontId="90" fillId="0" borderId="33" xfId="0" applyNumberFormat="1" applyFont="1" applyBorder="1"/>
    <xf numFmtId="166" fontId="0" fillId="0" borderId="0" xfId="0" applyNumberFormat="1" applyFont="1"/>
    <xf numFmtId="166" fontId="0" fillId="41" borderId="0" xfId="1" applyNumberFormat="1" applyFont="1" applyFill="1" applyBorder="1" applyAlignment="1">
      <alignment horizontal="right"/>
    </xf>
    <xf numFmtId="0" fontId="0" fillId="6" borderId="0" xfId="0" applyFont="1" applyFill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0" fillId="0" borderId="0" xfId="0" applyFont="1" applyAlignment="1">
      <alignment horizontal="left"/>
    </xf>
    <xf numFmtId="0" fontId="0" fillId="0" borderId="3" xfId="0" applyFont="1" applyFill="1" applyBorder="1" applyAlignment="1">
      <alignment horizontal="center" vertical="center" textRotation="90"/>
    </xf>
    <xf numFmtId="0" fontId="0" fillId="0" borderId="0" xfId="0" applyFont="1" applyFill="1" applyBorder="1" applyAlignment="1">
      <alignment horizontal="center" vertical="center" textRotation="90"/>
    </xf>
    <xf numFmtId="0" fontId="0" fillId="0" borderId="1" xfId="0" applyFont="1" applyFill="1" applyBorder="1" applyAlignment="1">
      <alignment horizontal="center" vertical="center" textRotation="90"/>
    </xf>
    <xf numFmtId="0" fontId="0" fillId="6" borderId="0" xfId="0" applyFont="1" applyFill="1" applyBorder="1" applyAlignment="1">
      <alignment horizontal="center"/>
    </xf>
    <xf numFmtId="0" fontId="48" fillId="0" borderId="0" xfId="156" applyFont="1" applyBorder="1" applyAlignment="1"/>
  </cellXfs>
  <cellStyles count="377">
    <cellStyle name="20% - Accent1 2" xfId="40"/>
    <cellStyle name="20% - Accent1 2 2" xfId="301"/>
    <cellStyle name="20% - Accent1 3" xfId="39"/>
    <cellStyle name="20% - Accent1 3 2" xfId="302"/>
    <cellStyle name="20% - Accent2 2" xfId="42"/>
    <cellStyle name="20% - Accent2 3" xfId="41"/>
    <cellStyle name="20% - Accent3 2" xfId="44"/>
    <cellStyle name="20% - Accent3 3" xfId="43"/>
    <cellStyle name="20% - Accent4 2" xfId="46"/>
    <cellStyle name="20% - Accent4 2 2" xfId="303"/>
    <cellStyle name="20% - Accent4 3" xfId="45"/>
    <cellStyle name="20% - Accent4 3 2" xfId="304"/>
    <cellStyle name="20% - Accent5 2" xfId="48"/>
    <cellStyle name="20% - Accent5 3" xfId="47"/>
    <cellStyle name="20% - Accent6 2" xfId="50"/>
    <cellStyle name="20% - Accent6 3" xfId="49"/>
    <cellStyle name="40% - Accent1 2" xfId="52"/>
    <cellStyle name="40% - Accent1 3" xfId="51"/>
    <cellStyle name="40% - Accent1 3 2" xfId="305"/>
    <cellStyle name="40% - Accent2 2" xfId="54"/>
    <cellStyle name="40% - Accent2 3" xfId="53"/>
    <cellStyle name="40% - Accent3 2" xfId="56"/>
    <cellStyle name="40% - Accent3 3" xfId="55"/>
    <cellStyle name="40% - Accent4 2" xfId="58"/>
    <cellStyle name="40% - Accent4 3" xfId="57"/>
    <cellStyle name="40% - Accent4 3 2" xfId="306"/>
    <cellStyle name="40% - Accent5 2" xfId="60"/>
    <cellStyle name="40% - Accent5 3" xfId="59"/>
    <cellStyle name="40% - Accent6 2" xfId="62"/>
    <cellStyle name="40% - Accent6 3" xfId="61"/>
    <cellStyle name="40% - Accent6 3 2" xfId="307"/>
    <cellStyle name="60% - Accent1 2" xfId="64"/>
    <cellStyle name="60% - Accent1 2 2" xfId="308"/>
    <cellStyle name="60% - Accent1 3" xfId="63"/>
    <cellStyle name="60% - Accent1 3 2" xfId="309"/>
    <cellStyle name="60% - Accent2 2" xfId="66"/>
    <cellStyle name="60% - Accent2 3" xfId="65"/>
    <cellStyle name="60% - Accent3 2" xfId="68"/>
    <cellStyle name="60% - Accent3 3" xfId="67"/>
    <cellStyle name="60% - Accent3 3 2" xfId="310"/>
    <cellStyle name="60% - Accent4 2" xfId="70"/>
    <cellStyle name="60% - Accent4 3" xfId="69"/>
    <cellStyle name="60% - Accent4 3 2" xfId="311"/>
    <cellStyle name="60% - Accent5 2" xfId="72"/>
    <cellStyle name="60% - Accent5 2 2" xfId="312"/>
    <cellStyle name="60% - Accent5 3" xfId="71"/>
    <cellStyle name="60% - Accent6 2" xfId="74"/>
    <cellStyle name="60% - Accent6 3" xfId="73"/>
    <cellStyle name="Accent1 2" xfId="76"/>
    <cellStyle name="Accent1 2 2" xfId="313"/>
    <cellStyle name="Accent1 3" xfId="75"/>
    <cellStyle name="Accent1 3 2" xfId="314"/>
    <cellStyle name="Accent2 2" xfId="78"/>
    <cellStyle name="Accent2 3" xfId="77"/>
    <cellStyle name="Accent3 2" xfId="80"/>
    <cellStyle name="Accent3 2 2" xfId="315"/>
    <cellStyle name="Accent3 3" xfId="79"/>
    <cellStyle name="Accent4 2" xfId="82"/>
    <cellStyle name="Accent4 3" xfId="81"/>
    <cellStyle name="Accent5 2" xfId="84"/>
    <cellStyle name="Accent5 3" xfId="83"/>
    <cellStyle name="Accent6 2" xfId="86"/>
    <cellStyle name="Accent6 2 2" xfId="316"/>
    <cellStyle name="Accent6 3" xfId="85"/>
    <cellStyle name="Accounting" xfId="87"/>
    <cellStyle name="Accounting 2" xfId="88"/>
    <cellStyle name="Accounting 3" xfId="89"/>
    <cellStyle name="Accounting_2011-11" xfId="90"/>
    <cellStyle name="Bad 2" xfId="92"/>
    <cellStyle name="Bad 3" xfId="91"/>
    <cellStyle name="Budget" xfId="93"/>
    <cellStyle name="Budget 2" xfId="94"/>
    <cellStyle name="Budget 3" xfId="95"/>
    <cellStyle name="Budget_2011-11" xfId="96"/>
    <cellStyle name="Calculation 2" xfId="98"/>
    <cellStyle name="Calculation 2 2" xfId="317"/>
    <cellStyle name="Calculation 3" xfId="97"/>
    <cellStyle name="Calculation 3 2" xfId="318"/>
    <cellStyle name="Check Cell 2" xfId="100"/>
    <cellStyle name="Check Cell 3" xfId="99"/>
    <cellStyle name="combo" xfId="101"/>
    <cellStyle name="Comma" xfId="1" builtinId="3"/>
    <cellStyle name="Comma 10" xfId="103"/>
    <cellStyle name="Comma 11" xfId="104"/>
    <cellStyle name="Comma 12" xfId="102"/>
    <cellStyle name="Comma 12 2" xfId="277"/>
    <cellStyle name="Comma 12 3" xfId="282"/>
    <cellStyle name="Comma 13" xfId="283"/>
    <cellStyle name="Comma 14" xfId="284"/>
    <cellStyle name="Comma 15" xfId="285"/>
    <cellStyle name="Comma 16" xfId="286"/>
    <cellStyle name="Comma 17" xfId="319"/>
    <cellStyle name="Comma 18" xfId="320"/>
    <cellStyle name="Comma 18 2" xfId="373"/>
    <cellStyle name="Comma 19" xfId="321"/>
    <cellStyle name="Comma 2" xfId="5"/>
    <cellStyle name="Comma 2 2" xfId="6"/>
    <cellStyle name="Comma 2 2 2" xfId="322"/>
    <cellStyle name="Comma 2 3" xfId="105"/>
    <cellStyle name="Comma 2 4" xfId="323"/>
    <cellStyle name="Comma 2 6" xfId="7"/>
    <cellStyle name="Comma 2 6 2" xfId="8"/>
    <cellStyle name="Comma 3" xfId="9"/>
    <cellStyle name="Comma 3 2" xfId="106"/>
    <cellStyle name="Comma 3 2 2" xfId="107"/>
    <cellStyle name="Comma 3 3" xfId="287"/>
    <cellStyle name="Comma 3 4" xfId="324"/>
    <cellStyle name="Comma 4" xfId="108"/>
    <cellStyle name="Comma 4 2" xfId="109"/>
    <cellStyle name="Comma 4 2 2" xfId="288"/>
    <cellStyle name="Comma 4 3" xfId="110"/>
    <cellStyle name="Comma 4 3 2" xfId="289"/>
    <cellStyle name="Comma 4 4" xfId="290"/>
    <cellStyle name="Comma 4 5" xfId="111"/>
    <cellStyle name="Comma 4 6" xfId="280"/>
    <cellStyle name="Comma 5" xfId="112"/>
    <cellStyle name="Comma 6" xfId="113"/>
    <cellStyle name="Comma 6 2" xfId="325"/>
    <cellStyle name="Comma 7" xfId="114"/>
    <cellStyle name="Comma 8" xfId="115"/>
    <cellStyle name="Comma 9" xfId="116"/>
    <cellStyle name="Comma(2)" xfId="117"/>
    <cellStyle name="Comma0 - Style2" xfId="118"/>
    <cellStyle name="Comma1 - Style1" xfId="119"/>
    <cellStyle name="Comments" xfId="120"/>
    <cellStyle name="Currency" xfId="2" builtinId="4"/>
    <cellStyle name="Currency 10" xfId="326"/>
    <cellStyle name="Currency 2" xfId="10"/>
    <cellStyle name="Currency 2 2" xfId="11"/>
    <cellStyle name="Currency 2 2 2" xfId="123"/>
    <cellStyle name="Currency 2 3" xfId="122"/>
    <cellStyle name="Currency 2 3 2" xfId="327"/>
    <cellStyle name="Currency 2 6" xfId="12"/>
    <cellStyle name="Currency 2 6 2" xfId="13"/>
    <cellStyle name="Currency 3" xfId="14"/>
    <cellStyle name="Currency 3 2" xfId="125"/>
    <cellStyle name="Currency 3 3" xfId="124"/>
    <cellStyle name="Currency 3 4" xfId="291"/>
    <cellStyle name="Currency 4" xfId="15"/>
    <cellStyle name="Currency 4 2" xfId="16"/>
    <cellStyle name="Currency 5" xfId="121"/>
    <cellStyle name="Currency 5 2" xfId="276"/>
    <cellStyle name="Currency 5 3" xfId="292"/>
    <cellStyle name="Currency 6" xfId="293"/>
    <cellStyle name="Currency 7" xfId="294"/>
    <cellStyle name="Currency 8" xfId="328"/>
    <cellStyle name="Currency 9" xfId="329"/>
    <cellStyle name="Data Enter" xfId="126"/>
    <cellStyle name="date" xfId="330"/>
    <cellStyle name="Explanatory Text 2" xfId="128"/>
    <cellStyle name="Explanatory Text 3" xfId="127"/>
    <cellStyle name="FactSheet" xfId="129"/>
    <cellStyle name="fish" xfId="331"/>
    <cellStyle name="Good 2" xfId="131"/>
    <cellStyle name="Good 3" xfId="130"/>
    <cellStyle name="Heading 1 2" xfId="133"/>
    <cellStyle name="Heading 1 2 2" xfId="332"/>
    <cellStyle name="Heading 1 3" xfId="132"/>
    <cellStyle name="Heading 1 3 2" xfId="333"/>
    <cellStyle name="Heading 2 2" xfId="135"/>
    <cellStyle name="Heading 2 2 2" xfId="334"/>
    <cellStyle name="Heading 2 3" xfId="134"/>
    <cellStyle name="Heading 2 3 2" xfId="335"/>
    <cellStyle name="Heading 3 2" xfId="137"/>
    <cellStyle name="Heading 3 2 2" xfId="336"/>
    <cellStyle name="Heading 3 3" xfId="136"/>
    <cellStyle name="Heading 3 3 2" xfId="337"/>
    <cellStyle name="Heading 4 2" xfId="139"/>
    <cellStyle name="Heading 4 3" xfId="138"/>
    <cellStyle name="Hyperlink 2" xfId="140"/>
    <cellStyle name="Hyperlink 3" xfId="141"/>
    <cellStyle name="Hyperlink 3 2" xfId="295"/>
    <cellStyle name="Input 2" xfId="143"/>
    <cellStyle name="Input 3" xfId="142"/>
    <cellStyle name="input(0)" xfId="144"/>
    <cellStyle name="Input(2)" xfId="145"/>
    <cellStyle name="Linked Cell 2" xfId="147"/>
    <cellStyle name="Linked Cell 2 2" xfId="338"/>
    <cellStyle name="Linked Cell 3" xfId="146"/>
    <cellStyle name="Neutral 2" xfId="149"/>
    <cellStyle name="Neutral 2 2" xfId="339"/>
    <cellStyle name="Neutral 3" xfId="148"/>
    <cellStyle name="New_normal" xfId="150"/>
    <cellStyle name="Normal" xfId="0" builtinId="0"/>
    <cellStyle name="Normal - Style1" xfId="151"/>
    <cellStyle name="Normal - Style2" xfId="152"/>
    <cellStyle name="Normal - Style3" xfId="153"/>
    <cellStyle name="Normal - Style4" xfId="154"/>
    <cellStyle name="Normal - Style5" xfId="155"/>
    <cellStyle name="Normal 10" xfId="156"/>
    <cellStyle name="Normal 10 2" xfId="17"/>
    <cellStyle name="Normal 10 2 2" xfId="341"/>
    <cellStyle name="Normal 10 2 3" xfId="340"/>
    <cellStyle name="Normal 10_2112 DF Schedule" xfId="342"/>
    <cellStyle name="Normal 11" xfId="157"/>
    <cellStyle name="Normal 12" xfId="158"/>
    <cellStyle name="Normal 12 2" xfId="343"/>
    <cellStyle name="Normal 13" xfId="159"/>
    <cellStyle name="Normal 13 2" xfId="344"/>
    <cellStyle name="Normal 14" xfId="160"/>
    <cellStyle name="Normal 14 2" xfId="345"/>
    <cellStyle name="Normal 15" xfId="161"/>
    <cellStyle name="Normal 15 2" xfId="346"/>
    <cellStyle name="Normal 16" xfId="162"/>
    <cellStyle name="Normal 16 2" xfId="347"/>
    <cellStyle name="Normal 17" xfId="163"/>
    <cellStyle name="Normal 17 2" xfId="348"/>
    <cellStyle name="Normal 18" xfId="164"/>
    <cellStyle name="Normal 18 2" xfId="349"/>
    <cellStyle name="Normal 19" xfId="165"/>
    <cellStyle name="Normal 19 2" xfId="350"/>
    <cellStyle name="Normal 2" xfId="18"/>
    <cellStyle name="Normal 2 2" xfId="19"/>
    <cellStyle name="Normal 2 2 2" xfId="167"/>
    <cellStyle name="Normal 2 2 3" xfId="166"/>
    <cellStyle name="Normal 2 2_Actual_Fuel" xfId="168"/>
    <cellStyle name="Normal 2 3" xfId="169"/>
    <cellStyle name="Normal 2 3 2" xfId="170"/>
    <cellStyle name="Normal 2 3 3" xfId="296"/>
    <cellStyle name="Normal 2 4" xfId="297"/>
    <cellStyle name="Normal 2 5" xfId="298"/>
    <cellStyle name="Normal 2_2012-10" xfId="171"/>
    <cellStyle name="Normal 20" xfId="172"/>
    <cellStyle name="Normal 21" xfId="173"/>
    <cellStyle name="Normal 22" xfId="174"/>
    <cellStyle name="Normal 23" xfId="175"/>
    <cellStyle name="Normal 24" xfId="176"/>
    <cellStyle name="Normal 25" xfId="177"/>
    <cellStyle name="Normal 26" xfId="178"/>
    <cellStyle name="Normal 27" xfId="179"/>
    <cellStyle name="Normal 28" xfId="180"/>
    <cellStyle name="Normal 29" xfId="181"/>
    <cellStyle name="Normal 3" xfId="20"/>
    <cellStyle name="Normal 3 2" xfId="183"/>
    <cellStyle name="Normal 3 3" xfId="182"/>
    <cellStyle name="Normal 3 4" xfId="281"/>
    <cellStyle name="Normal 3_2012 PR" xfId="184"/>
    <cellStyle name="Normal 30" xfId="185"/>
    <cellStyle name="Normal 31" xfId="186"/>
    <cellStyle name="Normal 32" xfId="187"/>
    <cellStyle name="Normal 33" xfId="188"/>
    <cellStyle name="Normal 34" xfId="189"/>
    <cellStyle name="Normal 35" xfId="190"/>
    <cellStyle name="Normal 36" xfId="191"/>
    <cellStyle name="Normal 37" xfId="192"/>
    <cellStyle name="Normal 38" xfId="193"/>
    <cellStyle name="Normal 39" xfId="194"/>
    <cellStyle name="Normal 4" xfId="21"/>
    <cellStyle name="Normal 4 2" xfId="195"/>
    <cellStyle name="Normal 40" xfId="196"/>
    <cellStyle name="Normal 41" xfId="197"/>
    <cellStyle name="Normal 42" xfId="198"/>
    <cellStyle name="Normal 43" xfId="199"/>
    <cellStyle name="Normal 44" xfId="200"/>
    <cellStyle name="Normal 45" xfId="201"/>
    <cellStyle name="Normal 46" xfId="202"/>
    <cellStyle name="Normal 47" xfId="203"/>
    <cellStyle name="Normal 48" xfId="204"/>
    <cellStyle name="Normal 49" xfId="205"/>
    <cellStyle name="Normal 5" xfId="22"/>
    <cellStyle name="Normal 5 2" xfId="206"/>
    <cellStyle name="Normal 5_2112 DF Schedule" xfId="351"/>
    <cellStyle name="Normal 50" xfId="207"/>
    <cellStyle name="Normal 51" xfId="208"/>
    <cellStyle name="Normal 52" xfId="209"/>
    <cellStyle name="Normal 53" xfId="210"/>
    <cellStyle name="Normal 54" xfId="211"/>
    <cellStyle name="Normal 55" xfId="212"/>
    <cellStyle name="Normal 56" xfId="213"/>
    <cellStyle name="Normal 57" xfId="214"/>
    <cellStyle name="Normal 58" xfId="215"/>
    <cellStyle name="Normal 59" xfId="216"/>
    <cellStyle name="Normal 6" xfId="23"/>
    <cellStyle name="Normal 6 2" xfId="217"/>
    <cellStyle name="Normal 60" xfId="218"/>
    <cellStyle name="Normal 61" xfId="219"/>
    <cellStyle name="Normal 62" xfId="220"/>
    <cellStyle name="Normal 63" xfId="221"/>
    <cellStyle name="Normal 64" xfId="222"/>
    <cellStyle name="Normal 65" xfId="223"/>
    <cellStyle name="Normal 66" xfId="224"/>
    <cellStyle name="Normal 67" xfId="225"/>
    <cellStyle name="Normal 68" xfId="226"/>
    <cellStyle name="Normal 69" xfId="227"/>
    <cellStyle name="Normal 7" xfId="228"/>
    <cellStyle name="Normal 70" xfId="229"/>
    <cellStyle name="Normal 71" xfId="230"/>
    <cellStyle name="Normal 72" xfId="231"/>
    <cellStyle name="Normal 73" xfId="232"/>
    <cellStyle name="Normal 74" xfId="233"/>
    <cellStyle name="Normal 75" xfId="234"/>
    <cellStyle name="Normal 76" xfId="235"/>
    <cellStyle name="Normal 77" xfId="236"/>
    <cellStyle name="Normal 78" xfId="237"/>
    <cellStyle name="Normal 79" xfId="238"/>
    <cellStyle name="Normal 8" xfId="239"/>
    <cellStyle name="Normal 80" xfId="240"/>
    <cellStyle name="Normal 81" xfId="241"/>
    <cellStyle name="Normal 82" xfId="242"/>
    <cellStyle name="Normal 83" xfId="243"/>
    <cellStyle name="Normal 84" xfId="38"/>
    <cellStyle name="Normal 84 2" xfId="278"/>
    <cellStyle name="Normal 84 3" xfId="352"/>
    <cellStyle name="Normal 85" xfId="252"/>
    <cellStyle name="Normal 85 2" xfId="374"/>
    <cellStyle name="Normal 86" xfId="270"/>
    <cellStyle name="Normal 87" xfId="271"/>
    <cellStyle name="Normal 88" xfId="272"/>
    <cellStyle name="Normal 89" xfId="273"/>
    <cellStyle name="Normal 9" xfId="244"/>
    <cellStyle name="Normal 90" xfId="274"/>
    <cellStyle name="Normal 91" xfId="279"/>
    <cellStyle name="Normal_American 2012 Jan-Dec 2012" xfId="300"/>
    <cellStyle name="Normal_Book3" xfId="353"/>
    <cellStyle name="Normal_Murrey's Jan-Dec 2012" xfId="299"/>
    <cellStyle name="Normal_Price out" xfId="4"/>
    <cellStyle name="Normal_Report" xfId="376"/>
    <cellStyle name="Normal_Sheet1" xfId="372"/>
    <cellStyle name="Normal_TheTool_Jeff_v5 2" xfId="375"/>
    <cellStyle name="Note 2" xfId="246"/>
    <cellStyle name="Note 2 2" xfId="354"/>
    <cellStyle name="Note 3" xfId="245"/>
    <cellStyle name="Note 3 2" xfId="355"/>
    <cellStyle name="Notes" xfId="247"/>
    <cellStyle name="Output 2" xfId="249"/>
    <cellStyle name="Output 3" xfId="248"/>
    <cellStyle name="Percent" xfId="3" builtinId="5"/>
    <cellStyle name="Percent 2" xfId="24"/>
    <cellStyle name="Percent 2 2" xfId="25"/>
    <cellStyle name="Percent 2 2 2" xfId="251"/>
    <cellStyle name="Percent 2 3" xfId="356"/>
    <cellStyle name="Percent 2 6" xfId="26"/>
    <cellStyle name="Percent 3" xfId="27"/>
    <cellStyle name="Percent 3 2" xfId="28"/>
    <cellStyle name="Percent 4" xfId="29"/>
    <cellStyle name="Percent 4 2" xfId="358"/>
    <cellStyle name="Percent 4 3" xfId="357"/>
    <cellStyle name="Percent 5" xfId="253"/>
    <cellStyle name="Percent 6" xfId="254"/>
    <cellStyle name="Percent 7" xfId="250"/>
    <cellStyle name="Percent 7 2" xfId="275"/>
    <cellStyle name="Percent 7 3" xfId="359"/>
    <cellStyle name="Percent 8" xfId="360"/>
    <cellStyle name="Percent(1)" xfId="255"/>
    <cellStyle name="Percent(2)" xfId="256"/>
    <cellStyle name="PRM" xfId="257"/>
    <cellStyle name="PRM 2" xfId="258"/>
    <cellStyle name="PRM 3" xfId="259"/>
    <cellStyle name="PRM_2011-11" xfId="260"/>
    <cellStyle name="PS_Comma" xfId="30"/>
    <cellStyle name="PSChar" xfId="31"/>
    <cellStyle name="PSDate" xfId="32"/>
    <cellStyle name="PSDec" xfId="33"/>
    <cellStyle name="PSHeading" xfId="34"/>
    <cellStyle name="PSInt" xfId="35"/>
    <cellStyle name="PSSpacer" xfId="36"/>
    <cellStyle name="STYL0 - Style1" xfId="361"/>
    <cellStyle name="STYL1 - Style2" xfId="362"/>
    <cellStyle name="STYL2 - Style3" xfId="363"/>
    <cellStyle name="STYL3 - Style4" xfId="364"/>
    <cellStyle name="STYL4 - Style5" xfId="365"/>
    <cellStyle name="STYL5 - Style6" xfId="366"/>
    <cellStyle name="STYL6 - Style7" xfId="367"/>
    <cellStyle name="STYL7 - Style8" xfId="368"/>
    <cellStyle name="Style 1" xfId="261"/>
    <cellStyle name="Style 1 2" xfId="262"/>
    <cellStyle name="STYLE1" xfId="263"/>
    <cellStyle name="sub heading" xfId="369"/>
    <cellStyle name="Title 2" xfId="265"/>
    <cellStyle name="Title 3" xfId="264"/>
    <cellStyle name="Total 2" xfId="267"/>
    <cellStyle name="Total 2 2" xfId="370"/>
    <cellStyle name="Total 3" xfId="266"/>
    <cellStyle name="Total 3 2" xfId="371"/>
    <cellStyle name="Warning Text 2" xfId="269"/>
    <cellStyle name="Warning Text 3" xfId="268"/>
    <cellStyle name="WM_STANDARD" xfId="37"/>
  </cellStyles>
  <dxfs count="0"/>
  <tableStyles count="0" defaultTableStyle="TableStyleMedium2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externalLink" Target="externalLinks/externalLink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1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externalLink" Target="externalLinks/externalLink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6.xml"/><Relationship Id="rId20" Type="http://schemas.openxmlformats.org/officeDocument/2006/relationships/externalLink" Target="externalLinks/externalLink10.xml"/><Relationship Id="rId29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5.xml"/><Relationship Id="rId23" Type="http://schemas.openxmlformats.org/officeDocument/2006/relationships/externalLink" Target="externalLinks/externalLink13.xml"/><Relationship Id="rId28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9.xml"/><Relationship Id="rId31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Relationship Id="rId22" Type="http://schemas.openxmlformats.org/officeDocument/2006/relationships/externalLink" Target="externalLinks/externalLink12.xml"/><Relationship Id="rId27" Type="http://schemas.openxmlformats.org/officeDocument/2006/relationships/calcChain" Target="calcChain.xml"/><Relationship Id="rId30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c_db5_srv\SRC\User\REPORTS\STANDARD%20REPORTS\CUSTOM%20REPORTS\PL_RollingTrend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LeMay\Master%20Truck%20Schedule\South_LeMay%20Master%20Truck%20Schedule-Shared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microsoft.com/office/2006/relationships/xlExternalLinkPath/xlPathMissing" Target="ExcelFinancials_v3c1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Murrey-American\Revenue%2015\2111\Murrey's%20Revenue%202015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Murrey-American\Revenue%2015\2131\American%20Revenue%20201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SRC%20Reports\SRC%20Format\Bonus%20Schedule\PNWR%20SRC%20Bonus%20Schedule%20200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LeMay\2183-1%20Pacific%20Disp,%20Butlers%20Cove\Filing%20Possibly%202012\Filing\Audit\Final%20Outcome%208-14-2012\Pro%20Forma%20Pacific%20Disposal_Staff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Mason\Rate%20Increase%201-1-2013\1%20Filing%2011-14-2012\Revised%202-21-2013\staff%20Mason%20Proforma%209-30-2012-Linked%20Cust%20Count%20Fix%2012-27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cinf05\DistShares\WCNX%20Stuff\Excel\Financials\Excel%20Financials\ExcelFinancial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Vashon\Rate%20Incr%201-1-2012\Vashon%20Pro%20Forma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cinf06\sacshare\Data_Automation\DMS\RouteManagerReports\RM_MM001_Query_v4c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microsoft.com/office/2006/relationships/xlExternalLinkPath/xlPathMissing" Target="ExcelFinancials_v3b1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Annual%20Reports\2180%20LeMay\2009\LeMay%20Annual%20Report%200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"/>
      <sheetName val="Instructions"/>
      <sheetName val="User"/>
      <sheetName val="Settings"/>
      <sheetName val="Orientation"/>
      <sheetName val="Delivery"/>
      <sheetName val="RptClose"/>
      <sheetName val="Hidden"/>
    </sheetNames>
    <sheetDataSet>
      <sheetData sheetId="0" refreshError="1"/>
      <sheetData sheetId="1" refreshError="1"/>
      <sheetData sheetId="2" refreshError="1"/>
      <sheetData sheetId="3" refreshError="1">
        <row r="5">
          <cell r="D5">
            <v>10.71</v>
          </cell>
        </row>
        <row r="14">
          <cell r="C14" t="str">
            <v>dist</v>
          </cell>
          <cell r="E14" t="str">
            <v>=</v>
          </cell>
          <cell r="F14">
            <v>2149</v>
          </cell>
        </row>
      </sheetData>
      <sheetData sheetId="4" refreshError="1">
        <row r="6">
          <cell r="F6" t="str">
            <v>Time Series</v>
          </cell>
        </row>
        <row r="17">
          <cell r="B17" t="str">
            <v>ACCT</v>
          </cell>
          <cell r="C17" t="str">
            <v>-</v>
          </cell>
        </row>
        <row r="22">
          <cell r="C22" t="str">
            <v>Financial</v>
          </cell>
        </row>
        <row r="23">
          <cell r="C23" t="str">
            <v>ALL</v>
          </cell>
        </row>
        <row r="24">
          <cell r="C24" t="str">
            <v>Variable</v>
          </cell>
        </row>
      </sheetData>
      <sheetData sheetId="5" refreshError="1">
        <row r="8">
          <cell r="E8" t="str">
            <v>Report</v>
          </cell>
        </row>
        <row r="12">
          <cell r="B12" t="b">
            <v>0</v>
          </cell>
        </row>
      </sheetData>
      <sheetData sheetId="6" refreshError="1"/>
      <sheetData sheetId="7" refreshError="1">
        <row r="11">
          <cell r="D11">
            <v>10002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 t="str">
            <v>Cash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 Truck Schedule"/>
      <sheetName val="Jun 2011 FAR"/>
      <sheetName val="Scrap List"/>
      <sheetName val="Sheet1"/>
      <sheetName val="Sheet2"/>
      <sheetName val="Sheet3"/>
      <sheetName val="Sheet4"/>
      <sheetName val="Feb'12 FAR Data"/>
      <sheetName val="Sheet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rorNote"/>
      <sheetName val="ControlPanel"/>
      <sheetName val="4MthProj1"/>
      <sheetName val="4MthProj2"/>
      <sheetName val="PL_ActReview"/>
      <sheetName val="PL_ActReview2"/>
      <sheetName val="BS_Close"/>
      <sheetName val="IS200PL"/>
      <sheetName val="PL_ActTranx"/>
      <sheetName val="IS210PL"/>
      <sheetName val="ProjRevCheck"/>
      <sheetName val="BDebtCheck"/>
      <sheetName val="52901Check"/>
      <sheetName val="ICCheck"/>
      <sheetName val="BSCheck"/>
      <sheetName val="BadJECheck"/>
      <sheetName val="JE_Review"/>
      <sheetName val="Proj1"/>
      <sheetName val="Proj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 Recon"/>
      <sheetName val="Total 2015"/>
      <sheetName val="Murrey's 12-15"/>
      <sheetName val="Murrey's 11-15"/>
      <sheetName val="Murrey's 10-15"/>
      <sheetName val="Murrey's 9-15"/>
      <sheetName val="Murrey's 8-15"/>
      <sheetName val="Murrey's 7-15"/>
      <sheetName val="Murrey's 6-15"/>
      <sheetName val="Murrey's 5-15"/>
      <sheetName val="Murrrey's 4-15"/>
      <sheetName val="Murrey's 3-15"/>
      <sheetName val="Murrey's 2-15"/>
      <sheetName val="Murrey's 1-15"/>
    </sheetNames>
    <sheetDataSet>
      <sheetData sheetId="0"/>
      <sheetData sheetId="1"/>
      <sheetData sheetId="2">
        <row r="6">
          <cell r="C6">
            <v>-8310.9</v>
          </cell>
        </row>
        <row r="7">
          <cell r="C7">
            <v>117933.58500000001</v>
          </cell>
        </row>
        <row r="8">
          <cell r="C8">
            <v>2445.9499999999998</v>
          </cell>
        </row>
        <row r="10">
          <cell r="C10">
            <v>1709.8</v>
          </cell>
        </row>
        <row r="12">
          <cell r="C12">
            <v>58508.58</v>
          </cell>
        </row>
        <row r="13">
          <cell r="C13">
            <v>264</v>
          </cell>
        </row>
        <row r="14">
          <cell r="C14">
            <v>384.03</v>
          </cell>
        </row>
        <row r="15">
          <cell r="C15">
            <v>64.790000000000006</v>
          </cell>
        </row>
        <row r="16">
          <cell r="C16">
            <v>2.31</v>
          </cell>
        </row>
        <row r="17">
          <cell r="C17">
            <v>0</v>
          </cell>
        </row>
        <row r="18">
          <cell r="C18">
            <v>1.54</v>
          </cell>
        </row>
        <row r="19">
          <cell r="C19">
            <v>45.825000000000003</v>
          </cell>
        </row>
        <row r="21">
          <cell r="C21">
            <v>1036.5650000000001</v>
          </cell>
        </row>
        <row r="22">
          <cell r="C22">
            <v>62.16</v>
          </cell>
        </row>
        <row r="23">
          <cell r="C23">
            <v>24.86</v>
          </cell>
        </row>
        <row r="24">
          <cell r="C24">
            <v>166.5</v>
          </cell>
        </row>
        <row r="25">
          <cell r="C25">
            <v>0</v>
          </cell>
        </row>
        <row r="26">
          <cell r="C26">
            <v>38.590000000000003</v>
          </cell>
        </row>
        <row r="27">
          <cell r="C27">
            <v>34.799999999999997</v>
          </cell>
        </row>
        <row r="28">
          <cell r="C28">
            <v>65384.45</v>
          </cell>
        </row>
        <row r="29">
          <cell r="C29">
            <v>19.34</v>
          </cell>
        </row>
        <row r="30">
          <cell r="C30">
            <v>60.9</v>
          </cell>
        </row>
        <row r="32">
          <cell r="C32">
            <v>5915.7049999999999</v>
          </cell>
        </row>
        <row r="33">
          <cell r="C33">
            <v>85.8</v>
          </cell>
        </row>
        <row r="34">
          <cell r="C34">
            <v>2192.1950000000002</v>
          </cell>
        </row>
        <row r="35">
          <cell r="C35">
            <v>197950.57</v>
          </cell>
        </row>
        <row r="36">
          <cell r="C36">
            <v>3065.7249999999999</v>
          </cell>
        </row>
        <row r="37">
          <cell r="C37">
            <v>91524.475000000006</v>
          </cell>
        </row>
        <row r="38">
          <cell r="C38">
            <v>1665.09</v>
          </cell>
        </row>
        <row r="39">
          <cell r="C39">
            <v>6041.94</v>
          </cell>
        </row>
        <row r="40">
          <cell r="C40">
            <v>156.82499999999999</v>
          </cell>
        </row>
        <row r="41">
          <cell r="C41">
            <v>735.40499999999997</v>
          </cell>
        </row>
        <row r="42">
          <cell r="C42">
            <v>0</v>
          </cell>
        </row>
        <row r="43">
          <cell r="C43">
            <v>162.36000000000001</v>
          </cell>
        </row>
        <row r="44">
          <cell r="C44">
            <v>0</v>
          </cell>
        </row>
        <row r="45">
          <cell r="C45">
            <v>178.98</v>
          </cell>
        </row>
        <row r="46">
          <cell r="C46">
            <v>0</v>
          </cell>
        </row>
        <row r="47">
          <cell r="C47">
            <v>2363.89</v>
          </cell>
        </row>
        <row r="48">
          <cell r="C48">
            <v>98.33</v>
          </cell>
        </row>
        <row r="49">
          <cell r="C49">
            <v>552014.96499999973</v>
          </cell>
        </row>
        <row r="54">
          <cell r="C54">
            <v>-252.01</v>
          </cell>
        </row>
        <row r="55">
          <cell r="C55">
            <v>3636.98</v>
          </cell>
        </row>
        <row r="56">
          <cell r="C56">
            <v>0</v>
          </cell>
        </row>
        <row r="58">
          <cell r="C58">
            <v>2753.01</v>
          </cell>
        </row>
        <row r="60">
          <cell r="C60">
            <v>449.8</v>
          </cell>
        </row>
        <row r="61">
          <cell r="C61">
            <v>469.2</v>
          </cell>
        </row>
        <row r="63">
          <cell r="C63">
            <v>-1948.78</v>
          </cell>
        </row>
        <row r="64">
          <cell r="C64">
            <v>264</v>
          </cell>
        </row>
        <row r="66">
          <cell r="C66">
            <v>46.019999999999996</v>
          </cell>
        </row>
        <row r="67">
          <cell r="C67">
            <v>6.18</v>
          </cell>
        </row>
        <row r="68">
          <cell r="C68">
            <v>31.16</v>
          </cell>
        </row>
        <row r="69">
          <cell r="C69">
            <v>0</v>
          </cell>
        </row>
        <row r="70">
          <cell r="C70">
            <v>0</v>
          </cell>
        </row>
        <row r="72">
          <cell r="C72">
            <v>2424.6</v>
          </cell>
        </row>
        <row r="73">
          <cell r="C73">
            <v>0</v>
          </cell>
        </row>
        <row r="74">
          <cell r="C74">
            <v>0</v>
          </cell>
        </row>
        <row r="76">
          <cell r="C76">
            <v>8255.19</v>
          </cell>
        </row>
        <row r="77">
          <cell r="C77">
            <v>56.58</v>
          </cell>
        </row>
        <row r="78">
          <cell r="C78">
            <v>1622.22</v>
          </cell>
        </row>
        <row r="79">
          <cell r="C79">
            <v>0</v>
          </cell>
        </row>
        <row r="80">
          <cell r="C80">
            <v>272.22000000000003</v>
          </cell>
        </row>
        <row r="81">
          <cell r="C81">
            <v>42.63</v>
          </cell>
        </row>
        <row r="82">
          <cell r="C82">
            <v>166.14</v>
          </cell>
        </row>
        <row r="83">
          <cell r="C83">
            <v>56.13</v>
          </cell>
        </row>
        <row r="84">
          <cell r="C84">
            <v>0</v>
          </cell>
        </row>
        <row r="85">
          <cell r="C85">
            <v>32.78</v>
          </cell>
        </row>
        <row r="88">
          <cell r="C88">
            <v>28335.13</v>
          </cell>
        </row>
        <row r="89">
          <cell r="C89">
            <v>0</v>
          </cell>
        </row>
        <row r="90">
          <cell r="C90">
            <v>5688.22</v>
          </cell>
        </row>
        <row r="91">
          <cell r="C91">
            <v>0</v>
          </cell>
        </row>
        <row r="92">
          <cell r="C92">
            <v>0</v>
          </cell>
        </row>
        <row r="93">
          <cell r="C93">
            <v>13963.81</v>
          </cell>
        </row>
        <row r="94">
          <cell r="C94">
            <v>1509.6</v>
          </cell>
        </row>
        <row r="95">
          <cell r="C95">
            <v>1132.2</v>
          </cell>
        </row>
        <row r="96">
          <cell r="C96">
            <v>6819.29</v>
          </cell>
        </row>
        <row r="97">
          <cell r="C97">
            <v>717.83</v>
          </cell>
        </row>
        <row r="98">
          <cell r="C98">
            <v>0</v>
          </cell>
        </row>
        <row r="99">
          <cell r="C99">
            <v>11621.21</v>
          </cell>
        </row>
        <row r="100">
          <cell r="C100">
            <v>15158.1</v>
          </cell>
        </row>
        <row r="101">
          <cell r="C101">
            <v>3031.6</v>
          </cell>
        </row>
        <row r="102">
          <cell r="C102">
            <v>0</v>
          </cell>
        </row>
        <row r="103">
          <cell r="C103">
            <v>239.85</v>
          </cell>
        </row>
        <row r="104">
          <cell r="C104">
            <v>0</v>
          </cell>
        </row>
        <row r="105">
          <cell r="C105">
            <v>45.58</v>
          </cell>
        </row>
        <row r="107">
          <cell r="C107">
            <v>53.3</v>
          </cell>
        </row>
        <row r="108">
          <cell r="C108">
            <v>0</v>
          </cell>
        </row>
        <row r="109">
          <cell r="C109">
            <v>45.58</v>
          </cell>
        </row>
        <row r="110">
          <cell r="C110">
            <v>84.89</v>
          </cell>
        </row>
        <row r="111">
          <cell r="C111">
            <v>356.07</v>
          </cell>
        </row>
        <row r="116">
          <cell r="C116">
            <v>1215.54</v>
          </cell>
        </row>
        <row r="118">
          <cell r="C118">
            <v>1489.56</v>
          </cell>
        </row>
        <row r="119">
          <cell r="C119">
            <v>111.29</v>
          </cell>
        </row>
        <row r="120">
          <cell r="C120">
            <v>154</v>
          </cell>
        </row>
        <row r="122">
          <cell r="C122">
            <v>60.06</v>
          </cell>
        </row>
        <row r="123">
          <cell r="C123">
            <v>12.36</v>
          </cell>
        </row>
        <row r="124">
          <cell r="C124">
            <v>0</v>
          </cell>
        </row>
        <row r="125">
          <cell r="C125">
            <v>8.25</v>
          </cell>
        </row>
        <row r="126">
          <cell r="C126">
            <v>0</v>
          </cell>
        </row>
        <row r="127">
          <cell r="C127">
            <v>92.699999999999989</v>
          </cell>
        </row>
        <row r="129">
          <cell r="C129">
            <v>0</v>
          </cell>
        </row>
        <row r="131">
          <cell r="C131">
            <v>1192.33</v>
          </cell>
        </row>
        <row r="132">
          <cell r="C132">
            <v>871.9</v>
          </cell>
        </row>
        <row r="133">
          <cell r="C133">
            <v>203.16</v>
          </cell>
        </row>
        <row r="134">
          <cell r="C134">
            <v>0</v>
          </cell>
        </row>
        <row r="135">
          <cell r="C135">
            <v>0</v>
          </cell>
        </row>
        <row r="136">
          <cell r="C136">
            <v>0</v>
          </cell>
        </row>
        <row r="139">
          <cell r="C139">
            <v>702.48</v>
          </cell>
        </row>
        <row r="140">
          <cell r="C140">
            <v>121.24</v>
          </cell>
        </row>
        <row r="141">
          <cell r="C141">
            <v>0</v>
          </cell>
        </row>
        <row r="142">
          <cell r="C142">
            <v>4677.8999999999996</v>
          </cell>
        </row>
        <row r="143">
          <cell r="C143">
            <v>150.9</v>
          </cell>
        </row>
        <row r="144">
          <cell r="C144">
            <v>905.4</v>
          </cell>
        </row>
        <row r="145">
          <cell r="C145">
            <v>36825.1</v>
          </cell>
        </row>
        <row r="146">
          <cell r="C146">
            <v>11897.34</v>
          </cell>
        </row>
        <row r="147">
          <cell r="C147">
            <v>1770.44</v>
          </cell>
        </row>
        <row r="148">
          <cell r="C148">
            <v>1133.07</v>
          </cell>
        </row>
        <row r="149">
          <cell r="C149">
            <v>37704.99</v>
          </cell>
        </row>
        <row r="150">
          <cell r="C150">
            <v>43482.58</v>
          </cell>
        </row>
        <row r="151">
          <cell r="C151">
            <v>14102.52</v>
          </cell>
        </row>
        <row r="152">
          <cell r="C152">
            <v>9401.64</v>
          </cell>
        </row>
        <row r="153">
          <cell r="C153">
            <v>5876.04</v>
          </cell>
        </row>
        <row r="154">
          <cell r="C154">
            <v>320.64</v>
          </cell>
        </row>
        <row r="155">
          <cell r="C155">
            <v>0</v>
          </cell>
        </row>
        <row r="156">
          <cell r="C156">
            <v>580.52</v>
          </cell>
        </row>
        <row r="157">
          <cell r="C157">
            <v>922.07</v>
          </cell>
        </row>
        <row r="158">
          <cell r="C158">
            <v>1032.58</v>
          </cell>
        </row>
        <row r="159">
          <cell r="C159">
            <v>0</v>
          </cell>
        </row>
        <row r="160">
          <cell r="C160">
            <v>0</v>
          </cell>
        </row>
        <row r="161">
          <cell r="C161">
            <v>0</v>
          </cell>
        </row>
        <row r="162">
          <cell r="C162">
            <v>0</v>
          </cell>
        </row>
        <row r="163">
          <cell r="C163">
            <v>2632.9</v>
          </cell>
        </row>
        <row r="164">
          <cell r="C164">
            <v>0</v>
          </cell>
        </row>
        <row r="165">
          <cell r="C165">
            <v>0</v>
          </cell>
        </row>
        <row r="166">
          <cell r="C166">
            <v>0</v>
          </cell>
        </row>
        <row r="167">
          <cell r="C167">
            <v>0</v>
          </cell>
        </row>
        <row r="168">
          <cell r="C168">
            <v>0</v>
          </cell>
        </row>
        <row r="169">
          <cell r="C169">
            <v>488.94</v>
          </cell>
        </row>
        <row r="170">
          <cell r="C170">
            <v>0</v>
          </cell>
        </row>
        <row r="171">
          <cell r="C171">
            <v>0</v>
          </cell>
        </row>
        <row r="174">
          <cell r="C174">
            <v>22589.13</v>
          </cell>
        </row>
        <row r="175">
          <cell r="C175">
            <v>175.62</v>
          </cell>
        </row>
        <row r="176">
          <cell r="C176">
            <v>0</v>
          </cell>
        </row>
        <row r="177">
          <cell r="C177">
            <v>6183.24</v>
          </cell>
        </row>
        <row r="178">
          <cell r="C178">
            <v>727.44</v>
          </cell>
        </row>
        <row r="179">
          <cell r="C179">
            <v>40290.31</v>
          </cell>
        </row>
        <row r="180">
          <cell r="C180">
            <v>10751.63</v>
          </cell>
        </row>
        <row r="181">
          <cell r="C181">
            <v>2716.2</v>
          </cell>
        </row>
        <row r="182">
          <cell r="C182">
            <v>603.6</v>
          </cell>
        </row>
        <row r="183">
          <cell r="C183">
            <v>2263.5</v>
          </cell>
        </row>
        <row r="185">
          <cell r="C185">
            <v>22.28</v>
          </cell>
        </row>
        <row r="186">
          <cell r="C186">
            <v>0</v>
          </cell>
        </row>
        <row r="187">
          <cell r="C187">
            <v>663.3</v>
          </cell>
        </row>
        <row r="189">
          <cell r="C189">
            <v>0</v>
          </cell>
        </row>
        <row r="190">
          <cell r="C190">
            <v>22.28</v>
          </cell>
        </row>
        <row r="191">
          <cell r="C191">
            <v>0</v>
          </cell>
        </row>
        <row r="192">
          <cell r="C192">
            <v>0</v>
          </cell>
        </row>
        <row r="193">
          <cell r="C193">
            <v>184.25</v>
          </cell>
        </row>
        <row r="194">
          <cell r="C194">
            <v>134.84</v>
          </cell>
        </row>
        <row r="195">
          <cell r="C195">
            <v>369.88</v>
          </cell>
        </row>
        <row r="196">
          <cell r="C196">
            <v>375024.25000000012</v>
          </cell>
        </row>
        <row r="202">
          <cell r="C202">
            <v>2442.9699999999998</v>
          </cell>
        </row>
        <row r="203">
          <cell r="C203">
            <v>3381</v>
          </cell>
        </row>
        <row r="204">
          <cell r="C204">
            <v>9038.52</v>
          </cell>
        </row>
        <row r="205">
          <cell r="C205">
            <v>520</v>
          </cell>
        </row>
        <row r="206">
          <cell r="C206">
            <v>0</v>
          </cell>
        </row>
        <row r="209">
          <cell r="C209">
            <v>4603.05</v>
          </cell>
        </row>
        <row r="210">
          <cell r="C210">
            <v>9424.7999999999993</v>
          </cell>
        </row>
        <row r="211">
          <cell r="C211">
            <v>25792.2</v>
          </cell>
        </row>
        <row r="212">
          <cell r="C212">
            <v>3093.75</v>
          </cell>
        </row>
        <row r="213">
          <cell r="C213">
            <v>0</v>
          </cell>
        </row>
        <row r="216">
          <cell r="C216">
            <v>1573.45</v>
          </cell>
        </row>
        <row r="217">
          <cell r="C217">
            <v>866.51</v>
          </cell>
        </row>
        <row r="218">
          <cell r="C218">
            <v>2614.4699999999998</v>
          </cell>
        </row>
        <row r="219">
          <cell r="C219">
            <v>0</v>
          </cell>
        </row>
        <row r="222">
          <cell r="C222">
            <v>1554.75</v>
          </cell>
        </row>
        <row r="223">
          <cell r="C223">
            <v>1217.1500000000001</v>
          </cell>
        </row>
        <row r="224">
          <cell r="C224">
            <v>3964.4</v>
          </cell>
        </row>
        <row r="225">
          <cell r="C225">
            <v>0</v>
          </cell>
        </row>
        <row r="228">
          <cell r="C228">
            <v>0</v>
          </cell>
        </row>
        <row r="229">
          <cell r="C229">
            <v>434.25</v>
          </cell>
        </row>
        <row r="230">
          <cell r="C230">
            <v>0</v>
          </cell>
        </row>
        <row r="231">
          <cell r="C231">
            <v>0</v>
          </cell>
        </row>
        <row r="232">
          <cell r="C232">
            <v>0</v>
          </cell>
        </row>
        <row r="235">
          <cell r="C235">
            <v>0</v>
          </cell>
        </row>
        <row r="236">
          <cell r="C236">
            <v>258.2</v>
          </cell>
        </row>
        <row r="237">
          <cell r="C237">
            <v>3227.5</v>
          </cell>
        </row>
        <row r="238">
          <cell r="C238">
            <v>7364.5</v>
          </cell>
        </row>
        <row r="239">
          <cell r="C239">
            <v>10096.200000000001</v>
          </cell>
        </row>
        <row r="240">
          <cell r="C240">
            <v>441</v>
          </cell>
        </row>
        <row r="241">
          <cell r="C241">
            <v>4587</v>
          </cell>
        </row>
        <row r="244">
          <cell r="C244">
            <v>1780</v>
          </cell>
        </row>
        <row r="245">
          <cell r="C245">
            <v>36326.5</v>
          </cell>
        </row>
        <row r="246">
          <cell r="C246">
            <v>1192.0999999999999</v>
          </cell>
        </row>
        <row r="247">
          <cell r="C247">
            <v>3140</v>
          </cell>
        </row>
        <row r="248">
          <cell r="C248">
            <v>997.5</v>
          </cell>
        </row>
        <row r="249">
          <cell r="C249">
            <v>322.5</v>
          </cell>
        </row>
        <row r="250">
          <cell r="C250">
            <v>178</v>
          </cell>
        </row>
        <row r="251">
          <cell r="C251">
            <v>213</v>
          </cell>
        </row>
        <row r="252">
          <cell r="C252">
            <v>299272.03999999998</v>
          </cell>
        </row>
        <row r="254">
          <cell r="C254">
            <v>0</v>
          </cell>
        </row>
        <row r="255">
          <cell r="C255">
            <v>0</v>
          </cell>
        </row>
        <row r="258">
          <cell r="C258">
            <v>10815.3</v>
          </cell>
        </row>
        <row r="259">
          <cell r="C259">
            <v>13591.56</v>
          </cell>
        </row>
        <row r="260">
          <cell r="C260">
            <v>-482.64999999999992</v>
          </cell>
        </row>
        <row r="262">
          <cell r="C262">
            <v>0</v>
          </cell>
        </row>
        <row r="263">
          <cell r="C263">
            <v>0</v>
          </cell>
        </row>
        <row r="267">
          <cell r="C267">
            <v>1832.23</v>
          </cell>
        </row>
        <row r="268">
          <cell r="C268">
            <v>273.45999999999998</v>
          </cell>
        </row>
        <row r="269">
          <cell r="C269">
            <v>8084.7</v>
          </cell>
        </row>
        <row r="270">
          <cell r="C270">
            <v>403.7</v>
          </cell>
        </row>
        <row r="271">
          <cell r="C271">
            <v>1658.73</v>
          </cell>
        </row>
        <row r="272">
          <cell r="C272">
            <v>298.62</v>
          </cell>
        </row>
        <row r="273">
          <cell r="C273">
            <v>-730.86</v>
          </cell>
        </row>
        <row r="274">
          <cell r="C274">
            <v>1966.5</v>
          </cell>
        </row>
        <row r="276">
          <cell r="C276">
            <v>1170.18</v>
          </cell>
        </row>
        <row r="278">
          <cell r="C278">
            <v>0</v>
          </cell>
        </row>
        <row r="280">
          <cell r="C280">
            <v>478798.77999999991</v>
          </cell>
        </row>
        <row r="284">
          <cell r="C284">
            <v>715.4</v>
          </cell>
        </row>
        <row r="285">
          <cell r="C285">
            <v>5136.95</v>
          </cell>
        </row>
        <row r="286">
          <cell r="C286">
            <v>4097.45</v>
          </cell>
        </row>
        <row r="293">
          <cell r="C293">
            <v>2300.37</v>
          </cell>
        </row>
        <row r="294">
          <cell r="C294">
            <v>40</v>
          </cell>
        </row>
      </sheetData>
      <sheetData sheetId="3">
        <row r="6">
          <cell r="C6">
            <v>-16235.66</v>
          </cell>
        </row>
        <row r="7">
          <cell r="C7">
            <v>230803.20000000001</v>
          </cell>
        </row>
        <row r="8">
          <cell r="C8">
            <v>4529.8</v>
          </cell>
        </row>
        <row r="10">
          <cell r="C10">
            <v>1987.9</v>
          </cell>
        </row>
        <row r="12">
          <cell r="C12">
            <v>34518.910000000003</v>
          </cell>
        </row>
        <row r="13">
          <cell r="C13">
            <v>181.5</v>
          </cell>
        </row>
        <row r="14">
          <cell r="C14">
            <v>794.53</v>
          </cell>
        </row>
        <row r="15">
          <cell r="C15">
            <v>112.44</v>
          </cell>
        </row>
        <row r="16">
          <cell r="C16">
            <v>1.54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85.46</v>
          </cell>
        </row>
        <row r="21">
          <cell r="C21">
            <v>2409.16</v>
          </cell>
        </row>
        <row r="22">
          <cell r="C22">
            <v>41.44</v>
          </cell>
        </row>
        <row r="23">
          <cell r="C23">
            <v>37.29</v>
          </cell>
        </row>
        <row r="24">
          <cell r="C24">
            <v>336.06</v>
          </cell>
        </row>
        <row r="25">
          <cell r="C25">
            <v>0</v>
          </cell>
        </row>
        <row r="26">
          <cell r="C26">
            <v>36.32</v>
          </cell>
        </row>
        <row r="27">
          <cell r="C27">
            <v>0</v>
          </cell>
        </row>
        <row r="28">
          <cell r="C28">
            <v>128413.68</v>
          </cell>
        </row>
        <row r="29">
          <cell r="C29">
            <v>58.02</v>
          </cell>
        </row>
        <row r="30">
          <cell r="C30">
            <v>46.2</v>
          </cell>
        </row>
        <row r="32">
          <cell r="C32">
            <v>11421.39</v>
          </cell>
        </row>
        <row r="33">
          <cell r="C33">
            <v>171.6</v>
          </cell>
        </row>
        <row r="34">
          <cell r="C34">
            <v>4964.6000000000004</v>
          </cell>
        </row>
        <row r="35">
          <cell r="C35">
            <v>381194.27</v>
          </cell>
        </row>
        <row r="36">
          <cell r="C36">
            <v>6040.27</v>
          </cell>
        </row>
        <row r="37">
          <cell r="C37">
            <v>185003.65</v>
          </cell>
        </row>
        <row r="38">
          <cell r="C38">
            <v>3535.01</v>
          </cell>
        </row>
        <row r="39">
          <cell r="C39">
            <v>12797.28</v>
          </cell>
        </row>
        <row r="40">
          <cell r="C40">
            <v>295.2</v>
          </cell>
        </row>
        <row r="41">
          <cell r="C41">
            <v>2228.5</v>
          </cell>
        </row>
        <row r="42">
          <cell r="C42">
            <v>97.14</v>
          </cell>
        </row>
        <row r="43">
          <cell r="C43">
            <v>135.30000000000001</v>
          </cell>
        </row>
        <row r="44">
          <cell r="C44">
            <v>0</v>
          </cell>
        </row>
        <row r="45">
          <cell r="C45">
            <v>119.32</v>
          </cell>
        </row>
        <row r="46">
          <cell r="C46">
            <v>0</v>
          </cell>
        </row>
        <row r="47">
          <cell r="C47">
            <v>4105.75</v>
          </cell>
        </row>
        <row r="48">
          <cell r="C48">
            <v>622.77</v>
          </cell>
        </row>
        <row r="49">
          <cell r="C49">
            <v>1000889.8400000001</v>
          </cell>
        </row>
        <row r="54">
          <cell r="C54">
            <v>-250.51</v>
          </cell>
        </row>
        <row r="55">
          <cell r="C55">
            <v>3629.88</v>
          </cell>
        </row>
        <row r="56">
          <cell r="C56">
            <v>0</v>
          </cell>
        </row>
        <row r="58">
          <cell r="C58">
            <v>2612.7200000000003</v>
          </cell>
        </row>
        <row r="60">
          <cell r="C60">
            <v>404.82</v>
          </cell>
        </row>
        <row r="61">
          <cell r="C61">
            <v>508.29999999999995</v>
          </cell>
        </row>
        <row r="63">
          <cell r="C63">
            <v>-1967.39</v>
          </cell>
        </row>
        <row r="64">
          <cell r="C64">
            <v>264.75</v>
          </cell>
        </row>
        <row r="66">
          <cell r="C66">
            <v>46.019999999999996</v>
          </cell>
        </row>
        <row r="67">
          <cell r="C67">
            <v>6.18</v>
          </cell>
        </row>
        <row r="68">
          <cell r="C68">
            <v>31.16</v>
          </cell>
        </row>
        <row r="69">
          <cell r="C69">
            <v>0</v>
          </cell>
        </row>
        <row r="70">
          <cell r="C70">
            <v>0</v>
          </cell>
        </row>
        <row r="72">
          <cell r="C72">
            <v>2421.3200000000002</v>
          </cell>
        </row>
        <row r="73">
          <cell r="C73">
            <v>0</v>
          </cell>
        </row>
        <row r="74">
          <cell r="C74">
            <v>0</v>
          </cell>
        </row>
        <row r="76">
          <cell r="C76">
            <v>8185.02</v>
          </cell>
        </row>
        <row r="77">
          <cell r="C77">
            <v>37.72</v>
          </cell>
        </row>
        <row r="78">
          <cell r="C78">
            <v>1615.1</v>
          </cell>
        </row>
        <row r="79">
          <cell r="C79">
            <v>0</v>
          </cell>
        </row>
        <row r="80">
          <cell r="C80">
            <v>293.16000000000003</v>
          </cell>
        </row>
        <row r="81">
          <cell r="C81">
            <v>42.63</v>
          </cell>
        </row>
        <row r="82">
          <cell r="C82">
            <v>166.14</v>
          </cell>
        </row>
        <row r="83">
          <cell r="C83">
            <v>56.13</v>
          </cell>
        </row>
        <row r="84">
          <cell r="C84">
            <v>0</v>
          </cell>
        </row>
        <row r="85">
          <cell r="C85">
            <v>32.78</v>
          </cell>
        </row>
        <row r="88">
          <cell r="C88">
            <v>28361.82</v>
          </cell>
        </row>
        <row r="89">
          <cell r="C89">
            <v>0</v>
          </cell>
        </row>
        <row r="90">
          <cell r="C90">
            <v>5688.22</v>
          </cell>
        </row>
        <row r="91">
          <cell r="C91">
            <v>0</v>
          </cell>
        </row>
        <row r="92">
          <cell r="C92">
            <v>0</v>
          </cell>
        </row>
        <row r="93">
          <cell r="C93">
            <v>14294.03</v>
          </cell>
        </row>
        <row r="94">
          <cell r="C94">
            <v>1509.6</v>
          </cell>
        </row>
        <row r="95">
          <cell r="C95">
            <v>1132.2</v>
          </cell>
        </row>
        <row r="96">
          <cell r="C96">
            <v>6819.29</v>
          </cell>
        </row>
        <row r="97">
          <cell r="C97">
            <v>717.83</v>
          </cell>
        </row>
        <row r="98">
          <cell r="C98">
            <v>0</v>
          </cell>
        </row>
        <row r="99">
          <cell r="C99">
            <v>11621.21</v>
          </cell>
        </row>
        <row r="100">
          <cell r="C100">
            <v>15158.1</v>
          </cell>
        </row>
        <row r="101">
          <cell r="C101">
            <v>3031.6</v>
          </cell>
        </row>
        <row r="102">
          <cell r="C102">
            <v>0</v>
          </cell>
        </row>
        <row r="103">
          <cell r="C103">
            <v>239.85</v>
          </cell>
        </row>
        <row r="104">
          <cell r="C104">
            <v>0</v>
          </cell>
        </row>
        <row r="105">
          <cell r="C105">
            <v>866.02</v>
          </cell>
        </row>
        <row r="107">
          <cell r="C107">
            <v>26.65</v>
          </cell>
        </row>
        <row r="108">
          <cell r="C108">
            <v>0</v>
          </cell>
        </row>
        <row r="109">
          <cell r="C109">
            <v>45.58</v>
          </cell>
        </row>
        <row r="110">
          <cell r="C110">
            <v>0</v>
          </cell>
        </row>
        <row r="111">
          <cell r="C111">
            <v>0</v>
          </cell>
        </row>
        <row r="116">
          <cell r="C116">
            <v>1283.67</v>
          </cell>
        </row>
        <row r="118">
          <cell r="C118">
            <v>1461.85</v>
          </cell>
        </row>
        <row r="119">
          <cell r="C119">
            <v>111.29</v>
          </cell>
        </row>
        <row r="120">
          <cell r="C120">
            <v>92.4</v>
          </cell>
        </row>
        <row r="122">
          <cell r="C122">
            <v>60.06</v>
          </cell>
        </row>
        <row r="123">
          <cell r="C123">
            <v>12.36</v>
          </cell>
        </row>
        <row r="124">
          <cell r="C124">
            <v>0</v>
          </cell>
        </row>
        <row r="125">
          <cell r="C125">
            <v>0</v>
          </cell>
        </row>
        <row r="126">
          <cell r="C126">
            <v>0</v>
          </cell>
        </row>
        <row r="127">
          <cell r="C127">
            <v>41.2</v>
          </cell>
        </row>
        <row r="129">
          <cell r="C129">
            <v>0</v>
          </cell>
        </row>
        <row r="131">
          <cell r="C131">
            <v>1196.7</v>
          </cell>
        </row>
        <row r="132">
          <cell r="C132">
            <v>863.43</v>
          </cell>
        </row>
        <row r="133">
          <cell r="C133">
            <v>203.16</v>
          </cell>
        </row>
        <row r="134">
          <cell r="C134">
            <v>0</v>
          </cell>
        </row>
        <row r="135">
          <cell r="C135">
            <v>0</v>
          </cell>
        </row>
        <row r="136">
          <cell r="C136">
            <v>0</v>
          </cell>
        </row>
        <row r="139">
          <cell r="C139">
            <v>702.48</v>
          </cell>
        </row>
        <row r="140">
          <cell r="C140">
            <v>242.48</v>
          </cell>
        </row>
        <row r="141">
          <cell r="C141">
            <v>0</v>
          </cell>
        </row>
        <row r="142">
          <cell r="C142">
            <v>4677.8999999999996</v>
          </cell>
        </row>
        <row r="143">
          <cell r="C143">
            <v>1509</v>
          </cell>
        </row>
        <row r="144">
          <cell r="C144">
            <v>905.4</v>
          </cell>
        </row>
        <row r="145">
          <cell r="C145">
            <v>36895.93</v>
          </cell>
        </row>
        <row r="146">
          <cell r="C146">
            <v>11614.07</v>
          </cell>
        </row>
        <row r="147">
          <cell r="C147">
            <v>2549.4299999999998</v>
          </cell>
        </row>
        <row r="148">
          <cell r="C148">
            <v>1133.07</v>
          </cell>
        </row>
        <row r="149">
          <cell r="C149">
            <v>36725.629999999997</v>
          </cell>
        </row>
        <row r="150">
          <cell r="C150">
            <v>46518.54</v>
          </cell>
        </row>
        <row r="151">
          <cell r="C151">
            <v>15277.73</v>
          </cell>
        </row>
        <row r="152">
          <cell r="C152">
            <v>7834.7</v>
          </cell>
        </row>
        <row r="153">
          <cell r="C153">
            <v>5876.04</v>
          </cell>
        </row>
        <row r="154">
          <cell r="C154">
            <v>320.64</v>
          </cell>
        </row>
        <row r="155">
          <cell r="C155">
            <v>0</v>
          </cell>
        </row>
        <row r="156">
          <cell r="C156">
            <v>580.52</v>
          </cell>
        </row>
        <row r="157">
          <cell r="C157">
            <v>922.07</v>
          </cell>
        </row>
        <row r="158">
          <cell r="C158">
            <v>1032.58</v>
          </cell>
        </row>
        <row r="159">
          <cell r="C159">
            <v>0</v>
          </cell>
        </row>
        <row r="160">
          <cell r="C160">
            <v>0</v>
          </cell>
        </row>
        <row r="161">
          <cell r="C161">
            <v>0</v>
          </cell>
        </row>
        <row r="162">
          <cell r="C162">
            <v>0</v>
          </cell>
        </row>
        <row r="163">
          <cell r="C163">
            <v>2632.9</v>
          </cell>
        </row>
        <row r="164">
          <cell r="C164">
            <v>0</v>
          </cell>
        </row>
        <row r="165">
          <cell r="C165">
            <v>0</v>
          </cell>
        </row>
        <row r="166">
          <cell r="C166">
            <v>0</v>
          </cell>
        </row>
        <row r="167">
          <cell r="C167">
            <v>0</v>
          </cell>
        </row>
        <row r="168">
          <cell r="C168">
            <v>0</v>
          </cell>
        </row>
        <row r="169">
          <cell r="C169">
            <v>244.47</v>
          </cell>
        </row>
        <row r="170">
          <cell r="C170">
            <v>0</v>
          </cell>
        </row>
        <row r="171">
          <cell r="C171">
            <v>0</v>
          </cell>
        </row>
        <row r="174">
          <cell r="C174">
            <v>22808.65</v>
          </cell>
        </row>
        <row r="175">
          <cell r="C175">
            <v>175.62</v>
          </cell>
        </row>
        <row r="176">
          <cell r="C176">
            <v>0</v>
          </cell>
        </row>
        <row r="177">
          <cell r="C177">
            <v>6213.55</v>
          </cell>
        </row>
        <row r="178">
          <cell r="C178">
            <v>727.44</v>
          </cell>
        </row>
        <row r="179">
          <cell r="C179">
            <v>40478.94</v>
          </cell>
        </row>
        <row r="180">
          <cell r="C180">
            <v>10525.28</v>
          </cell>
        </row>
        <row r="181">
          <cell r="C181">
            <v>3168.9</v>
          </cell>
        </row>
        <row r="182">
          <cell r="C182">
            <v>603.6</v>
          </cell>
        </row>
        <row r="183">
          <cell r="C183">
            <v>2263.5</v>
          </cell>
        </row>
        <row r="185">
          <cell r="C185">
            <v>0</v>
          </cell>
        </row>
        <row r="186">
          <cell r="C186">
            <v>0</v>
          </cell>
        </row>
        <row r="187">
          <cell r="C187">
            <v>1105.5</v>
          </cell>
        </row>
        <row r="189">
          <cell r="C189">
            <v>0</v>
          </cell>
        </row>
        <row r="190">
          <cell r="C190">
            <v>22.28</v>
          </cell>
        </row>
        <row r="191">
          <cell r="C191">
            <v>0</v>
          </cell>
        </row>
        <row r="192">
          <cell r="C192">
            <v>0</v>
          </cell>
        </row>
        <row r="193">
          <cell r="C193">
            <v>36.85</v>
          </cell>
        </row>
        <row r="194">
          <cell r="C194">
            <v>67.42</v>
          </cell>
        </row>
        <row r="195">
          <cell r="C195">
            <v>554.82000000000005</v>
          </cell>
        </row>
        <row r="196">
          <cell r="C196">
            <v>379921.9800000001</v>
          </cell>
        </row>
        <row r="202">
          <cell r="C202">
            <v>2205.0300000000002</v>
          </cell>
        </row>
        <row r="203">
          <cell r="C203">
            <v>3682.8</v>
          </cell>
        </row>
        <row r="204">
          <cell r="C204">
            <v>8812.7999999999993</v>
          </cell>
        </row>
        <row r="205">
          <cell r="C205">
            <v>520</v>
          </cell>
        </row>
        <row r="206">
          <cell r="C206">
            <v>0</v>
          </cell>
        </row>
        <row r="209">
          <cell r="C209">
            <v>4081.95</v>
          </cell>
        </row>
        <row r="210">
          <cell r="C210">
            <v>9615.2000000000007</v>
          </cell>
        </row>
        <row r="211">
          <cell r="C211">
            <v>22619.35</v>
          </cell>
        </row>
        <row r="212">
          <cell r="C212">
            <v>2722.5</v>
          </cell>
        </row>
        <row r="213">
          <cell r="C213">
            <v>0</v>
          </cell>
        </row>
        <row r="216">
          <cell r="C216">
            <v>-214.7</v>
          </cell>
        </row>
        <row r="217">
          <cell r="C217">
            <v>249.9</v>
          </cell>
        </row>
        <row r="218">
          <cell r="C218">
            <v>2411.52</v>
          </cell>
        </row>
        <row r="219">
          <cell r="C219">
            <v>0</v>
          </cell>
        </row>
        <row r="222">
          <cell r="C222">
            <v>2280.3000000000002</v>
          </cell>
        </row>
        <row r="223">
          <cell r="C223">
            <v>663.9</v>
          </cell>
        </row>
        <row r="224">
          <cell r="C224">
            <v>6762.8</v>
          </cell>
        </row>
        <row r="225">
          <cell r="C225">
            <v>0</v>
          </cell>
        </row>
        <row r="228">
          <cell r="C228">
            <v>0</v>
          </cell>
        </row>
        <row r="229">
          <cell r="C229">
            <v>0</v>
          </cell>
        </row>
        <row r="230">
          <cell r="C230">
            <v>0</v>
          </cell>
        </row>
        <row r="231">
          <cell r="C231">
            <v>0</v>
          </cell>
        </row>
        <row r="232">
          <cell r="C232">
            <v>0</v>
          </cell>
        </row>
        <row r="235">
          <cell r="C235">
            <v>0</v>
          </cell>
        </row>
        <row r="236">
          <cell r="C236">
            <v>258.2</v>
          </cell>
        </row>
        <row r="237">
          <cell r="C237">
            <v>3614.8</v>
          </cell>
        </row>
        <row r="238">
          <cell r="C238">
            <v>5891.6</v>
          </cell>
        </row>
        <row r="239">
          <cell r="C239">
            <v>10096.200000000001</v>
          </cell>
        </row>
        <row r="240">
          <cell r="C240">
            <v>294</v>
          </cell>
        </row>
        <row r="241">
          <cell r="C241">
            <v>4587</v>
          </cell>
        </row>
        <row r="244">
          <cell r="C244">
            <v>3916</v>
          </cell>
        </row>
        <row r="245">
          <cell r="C245">
            <v>34409.199999999997</v>
          </cell>
        </row>
        <row r="246">
          <cell r="C246">
            <v>1126.5999999999999</v>
          </cell>
        </row>
        <row r="247">
          <cell r="C247">
            <v>3380</v>
          </cell>
        </row>
        <row r="248">
          <cell r="C248">
            <v>706.5</v>
          </cell>
        </row>
        <row r="249">
          <cell r="C249">
            <v>236.5</v>
          </cell>
        </row>
        <row r="250">
          <cell r="C250">
            <v>356</v>
          </cell>
        </row>
        <row r="251">
          <cell r="C251">
            <v>0</v>
          </cell>
        </row>
        <row r="252">
          <cell r="C252">
            <v>297162.16000000003</v>
          </cell>
        </row>
        <row r="254">
          <cell r="C254">
            <v>0</v>
          </cell>
        </row>
        <row r="255">
          <cell r="C255">
            <v>0</v>
          </cell>
        </row>
        <row r="258">
          <cell r="C258">
            <v>10815.3</v>
          </cell>
        </row>
        <row r="259">
          <cell r="C259">
            <v>12220.18</v>
          </cell>
        </row>
        <row r="260">
          <cell r="C260">
            <v>-482.64999999999992</v>
          </cell>
        </row>
        <row r="262">
          <cell r="C262">
            <v>0</v>
          </cell>
        </row>
        <row r="263">
          <cell r="C263">
            <v>0</v>
          </cell>
        </row>
        <row r="267">
          <cell r="C267">
            <v>1973.17</v>
          </cell>
        </row>
        <row r="268">
          <cell r="C268">
            <v>273.45999999999998</v>
          </cell>
        </row>
        <row r="269">
          <cell r="C269">
            <v>7557.44</v>
          </cell>
        </row>
        <row r="270">
          <cell r="C270">
            <v>403.7</v>
          </cell>
        </row>
        <row r="271">
          <cell r="C271">
            <v>1930.63</v>
          </cell>
        </row>
        <row r="272">
          <cell r="C272">
            <v>346.02</v>
          </cell>
        </row>
        <row r="273">
          <cell r="C273">
            <v>-705.03</v>
          </cell>
        </row>
        <row r="274">
          <cell r="C274">
            <v>1966.5</v>
          </cell>
        </row>
        <row r="276">
          <cell r="C276">
            <v>1170.18</v>
          </cell>
        </row>
        <row r="278">
          <cell r="C278">
            <v>0</v>
          </cell>
        </row>
        <row r="280">
          <cell r="C280">
            <v>469917.01</v>
          </cell>
        </row>
        <row r="284">
          <cell r="C284">
            <v>316.39999999999998</v>
          </cell>
        </row>
        <row r="285">
          <cell r="C285">
            <v>3710.13</v>
          </cell>
        </row>
        <row r="286">
          <cell r="C286">
            <v>3356.85</v>
          </cell>
        </row>
        <row r="293">
          <cell r="C293">
            <v>2515.81</v>
          </cell>
        </row>
        <row r="294">
          <cell r="C294">
            <v>40</v>
          </cell>
        </row>
      </sheetData>
      <sheetData sheetId="4">
        <row r="6">
          <cell r="C6">
            <v>-16708.96</v>
          </cell>
        </row>
        <row r="7">
          <cell r="C7">
            <v>236252.91</v>
          </cell>
        </row>
        <row r="8">
          <cell r="C8">
            <v>4909.6499999999996</v>
          </cell>
        </row>
        <row r="10">
          <cell r="C10">
            <v>1802.5</v>
          </cell>
        </row>
        <row r="12">
          <cell r="C12">
            <v>42092.959999999999</v>
          </cell>
        </row>
        <row r="13">
          <cell r="C13">
            <v>165</v>
          </cell>
        </row>
        <row r="14">
          <cell r="C14">
            <v>717.24</v>
          </cell>
        </row>
        <row r="15">
          <cell r="C15">
            <v>120.02</v>
          </cell>
        </row>
        <row r="16">
          <cell r="C16">
            <v>4.62</v>
          </cell>
        </row>
        <row r="17">
          <cell r="C17">
            <v>0</v>
          </cell>
        </row>
        <row r="18">
          <cell r="C18">
            <v>3.08</v>
          </cell>
        </row>
        <row r="19">
          <cell r="C19">
            <v>68.22</v>
          </cell>
        </row>
        <row r="21">
          <cell r="C21">
            <v>2515.7600000000002</v>
          </cell>
        </row>
        <row r="22">
          <cell r="C22">
            <v>41.44</v>
          </cell>
        </row>
        <row r="23">
          <cell r="C23">
            <v>49.72</v>
          </cell>
        </row>
        <row r="24">
          <cell r="C24">
            <v>293.04000000000002</v>
          </cell>
        </row>
        <row r="25">
          <cell r="C25">
            <v>0</v>
          </cell>
        </row>
        <row r="26">
          <cell r="C26">
            <v>59.02</v>
          </cell>
        </row>
        <row r="27">
          <cell r="C27">
            <v>11.6</v>
          </cell>
        </row>
        <row r="28">
          <cell r="C28">
            <v>132917.79</v>
          </cell>
        </row>
        <row r="29">
          <cell r="C29">
            <v>0</v>
          </cell>
        </row>
        <row r="30">
          <cell r="C30">
            <v>88.2</v>
          </cell>
        </row>
        <row r="32">
          <cell r="C32">
            <v>12078.83</v>
          </cell>
        </row>
        <row r="33">
          <cell r="C33">
            <v>171.6</v>
          </cell>
        </row>
        <row r="34">
          <cell r="C34">
            <v>4822.55</v>
          </cell>
        </row>
        <row r="35">
          <cell r="C35">
            <v>396224.58</v>
          </cell>
        </row>
        <row r="36">
          <cell r="C36">
            <v>6294.09</v>
          </cell>
        </row>
        <row r="37">
          <cell r="C37">
            <v>182369.84999999998</v>
          </cell>
        </row>
        <row r="38">
          <cell r="C38">
            <v>3046.04</v>
          </cell>
        </row>
        <row r="39">
          <cell r="C39">
            <v>13143.31</v>
          </cell>
        </row>
        <row r="40">
          <cell r="C40">
            <v>276.75</v>
          </cell>
        </row>
        <row r="41">
          <cell r="C41">
            <v>1871.94</v>
          </cell>
        </row>
        <row r="42">
          <cell r="C42">
            <v>0</v>
          </cell>
        </row>
        <row r="43">
          <cell r="C43">
            <v>324.72000000000003</v>
          </cell>
        </row>
        <row r="44">
          <cell r="C44">
            <v>0</v>
          </cell>
        </row>
        <row r="45">
          <cell r="C45">
            <v>357.96</v>
          </cell>
        </row>
        <row r="46">
          <cell r="C46">
            <v>0</v>
          </cell>
        </row>
        <row r="47">
          <cell r="C47">
            <v>4358.95</v>
          </cell>
        </row>
        <row r="48">
          <cell r="C48">
            <v>-114.69</v>
          </cell>
        </row>
        <row r="49">
          <cell r="C49">
            <v>1030630.2899999999</v>
          </cell>
        </row>
        <row r="54">
          <cell r="C54">
            <v>-249.43</v>
          </cell>
        </row>
        <row r="55">
          <cell r="C55">
            <v>3608.86</v>
          </cell>
        </row>
        <row r="56">
          <cell r="C56">
            <v>0</v>
          </cell>
        </row>
        <row r="58">
          <cell r="C58">
            <v>2442.0099999999998</v>
          </cell>
        </row>
        <row r="60">
          <cell r="C60">
            <v>314.86</v>
          </cell>
        </row>
        <row r="61">
          <cell r="C61">
            <v>625.61</v>
          </cell>
        </row>
        <row r="63">
          <cell r="C63">
            <v>-1970.64</v>
          </cell>
        </row>
        <row r="64">
          <cell r="C64">
            <v>264</v>
          </cell>
        </row>
        <row r="66">
          <cell r="C66">
            <v>50.64</v>
          </cell>
        </row>
        <row r="67">
          <cell r="C67">
            <v>6.18</v>
          </cell>
        </row>
        <row r="68">
          <cell r="C68">
            <v>31.16</v>
          </cell>
        </row>
        <row r="69">
          <cell r="C69">
            <v>0</v>
          </cell>
        </row>
        <row r="70">
          <cell r="C70">
            <v>0</v>
          </cell>
        </row>
        <row r="72">
          <cell r="C72">
            <v>2480.1</v>
          </cell>
        </row>
        <row r="73">
          <cell r="C73">
            <v>0</v>
          </cell>
        </row>
        <row r="74">
          <cell r="C74">
            <v>0</v>
          </cell>
        </row>
        <row r="76">
          <cell r="C76">
            <v>8185.74</v>
          </cell>
        </row>
        <row r="77">
          <cell r="C77">
            <v>37.72</v>
          </cell>
        </row>
        <row r="78">
          <cell r="C78">
            <v>1679.15</v>
          </cell>
        </row>
        <row r="79">
          <cell r="C79">
            <v>0</v>
          </cell>
        </row>
        <row r="80">
          <cell r="C80">
            <v>293.16000000000003</v>
          </cell>
        </row>
        <row r="81">
          <cell r="C81">
            <v>42.63</v>
          </cell>
        </row>
        <row r="82">
          <cell r="C82">
            <v>166.14</v>
          </cell>
        </row>
        <row r="83">
          <cell r="C83">
            <v>56.13</v>
          </cell>
        </row>
        <row r="84">
          <cell r="C84">
            <v>0</v>
          </cell>
        </row>
        <row r="85">
          <cell r="C85">
            <v>32.78</v>
          </cell>
        </row>
        <row r="88">
          <cell r="C88">
            <v>28143.040000000001</v>
          </cell>
        </row>
        <row r="89">
          <cell r="C89">
            <v>0</v>
          </cell>
        </row>
        <row r="90">
          <cell r="C90">
            <v>5837.91</v>
          </cell>
        </row>
        <row r="91">
          <cell r="C91">
            <v>0</v>
          </cell>
        </row>
        <row r="92">
          <cell r="C92">
            <v>0</v>
          </cell>
        </row>
        <row r="93">
          <cell r="C93">
            <v>14388.38</v>
          </cell>
        </row>
        <row r="94">
          <cell r="C94">
            <v>1509.6</v>
          </cell>
        </row>
        <row r="95">
          <cell r="C95">
            <v>1132.2</v>
          </cell>
        </row>
        <row r="96">
          <cell r="C96">
            <v>6819.29</v>
          </cell>
        </row>
        <row r="97">
          <cell r="C97">
            <v>717.83</v>
          </cell>
        </row>
        <row r="98">
          <cell r="C98">
            <v>0</v>
          </cell>
        </row>
        <row r="99">
          <cell r="C99">
            <v>11621.21</v>
          </cell>
        </row>
        <row r="100">
          <cell r="C100">
            <v>15158.1</v>
          </cell>
        </row>
        <row r="101">
          <cell r="C101">
            <v>3031.6</v>
          </cell>
        </row>
        <row r="102">
          <cell r="C102">
            <v>0</v>
          </cell>
        </row>
        <row r="103">
          <cell r="C103">
            <v>426.4</v>
          </cell>
        </row>
        <row r="104">
          <cell r="C104">
            <v>0</v>
          </cell>
        </row>
        <row r="105">
          <cell r="C105">
            <v>683.7</v>
          </cell>
        </row>
        <row r="107">
          <cell r="C107">
            <v>0</v>
          </cell>
        </row>
        <row r="108">
          <cell r="C108">
            <v>0</v>
          </cell>
        </row>
        <row r="109">
          <cell r="C109">
            <v>45.58</v>
          </cell>
        </row>
        <row r="110">
          <cell r="C110">
            <v>0</v>
          </cell>
        </row>
        <row r="111">
          <cell r="C111">
            <v>0</v>
          </cell>
        </row>
        <row r="116">
          <cell r="C116">
            <v>1076.46</v>
          </cell>
        </row>
        <row r="118">
          <cell r="C118">
            <v>1090.77</v>
          </cell>
        </row>
        <row r="119">
          <cell r="C119">
            <v>111.29</v>
          </cell>
        </row>
        <row r="120">
          <cell r="C120">
            <v>30.8</v>
          </cell>
        </row>
        <row r="122">
          <cell r="C122">
            <v>60.06</v>
          </cell>
        </row>
        <row r="123">
          <cell r="C123">
            <v>12.36</v>
          </cell>
        </row>
        <row r="124">
          <cell r="C124">
            <v>0</v>
          </cell>
        </row>
        <row r="125">
          <cell r="C125">
            <v>20.68</v>
          </cell>
        </row>
        <row r="126">
          <cell r="C126">
            <v>0</v>
          </cell>
        </row>
        <row r="127">
          <cell r="C127">
            <v>133.9</v>
          </cell>
        </row>
        <row r="129">
          <cell r="C129">
            <v>0</v>
          </cell>
        </row>
        <row r="131">
          <cell r="C131">
            <v>1166.1199999999999</v>
          </cell>
        </row>
        <row r="132">
          <cell r="C132">
            <v>863.43</v>
          </cell>
        </row>
        <row r="133">
          <cell r="C133">
            <v>203.16</v>
          </cell>
        </row>
        <row r="134">
          <cell r="C134">
            <v>0</v>
          </cell>
        </row>
        <row r="135">
          <cell r="C135">
            <v>0</v>
          </cell>
        </row>
        <row r="136">
          <cell r="C136">
            <v>0</v>
          </cell>
        </row>
        <row r="139">
          <cell r="C139">
            <v>702.48</v>
          </cell>
        </row>
        <row r="140">
          <cell r="C140">
            <v>242.48</v>
          </cell>
        </row>
        <row r="141">
          <cell r="C141">
            <v>0</v>
          </cell>
        </row>
        <row r="142">
          <cell r="C142">
            <v>4866.5600000000004</v>
          </cell>
        </row>
        <row r="143">
          <cell r="C143">
            <v>1509</v>
          </cell>
        </row>
        <row r="144">
          <cell r="C144">
            <v>905.4</v>
          </cell>
        </row>
        <row r="145">
          <cell r="C145">
            <v>38878.76</v>
          </cell>
        </row>
        <row r="146">
          <cell r="C146">
            <v>11456.7</v>
          </cell>
        </row>
        <row r="147">
          <cell r="C147">
            <v>2549.4299999999998</v>
          </cell>
        </row>
        <row r="148">
          <cell r="C148">
            <v>1133.07</v>
          </cell>
        </row>
        <row r="149">
          <cell r="C149">
            <v>35942.17</v>
          </cell>
        </row>
        <row r="150">
          <cell r="C150">
            <v>47748.13</v>
          </cell>
        </row>
        <row r="151">
          <cell r="C151">
            <v>15368.13</v>
          </cell>
        </row>
        <row r="152">
          <cell r="C152">
            <v>7834.7</v>
          </cell>
        </row>
        <row r="153">
          <cell r="C153">
            <v>5876.04</v>
          </cell>
        </row>
        <row r="154">
          <cell r="C154">
            <v>320.64</v>
          </cell>
        </row>
        <row r="155">
          <cell r="C155">
            <v>0</v>
          </cell>
        </row>
        <row r="156">
          <cell r="C156">
            <v>580.52</v>
          </cell>
        </row>
        <row r="157">
          <cell r="C157">
            <v>922.07</v>
          </cell>
        </row>
        <row r="158">
          <cell r="C158">
            <v>1032.58</v>
          </cell>
        </row>
        <row r="159">
          <cell r="C159">
            <v>0</v>
          </cell>
        </row>
        <row r="160">
          <cell r="C160">
            <v>0</v>
          </cell>
        </row>
        <row r="161">
          <cell r="C161">
            <v>0</v>
          </cell>
        </row>
        <row r="162">
          <cell r="C162">
            <v>0</v>
          </cell>
        </row>
        <row r="163">
          <cell r="C163">
            <v>2632.9</v>
          </cell>
        </row>
        <row r="164">
          <cell r="C164">
            <v>0</v>
          </cell>
        </row>
        <row r="165">
          <cell r="C165">
            <v>0</v>
          </cell>
        </row>
        <row r="166">
          <cell r="C166">
            <v>0</v>
          </cell>
        </row>
        <row r="167">
          <cell r="C167">
            <v>0</v>
          </cell>
        </row>
        <row r="168">
          <cell r="C168">
            <v>0</v>
          </cell>
        </row>
        <row r="169">
          <cell r="C169">
            <v>488.94</v>
          </cell>
        </row>
        <row r="170">
          <cell r="C170">
            <v>0</v>
          </cell>
        </row>
        <row r="171">
          <cell r="C171">
            <v>0</v>
          </cell>
        </row>
        <row r="174">
          <cell r="C174">
            <v>23756.95</v>
          </cell>
        </row>
        <row r="175">
          <cell r="C175">
            <v>175.62</v>
          </cell>
        </row>
        <row r="176">
          <cell r="C176">
            <v>0</v>
          </cell>
        </row>
        <row r="177">
          <cell r="C177">
            <v>6280.24</v>
          </cell>
        </row>
        <row r="178">
          <cell r="C178">
            <v>727.44</v>
          </cell>
        </row>
        <row r="179">
          <cell r="C179">
            <v>40514.06</v>
          </cell>
        </row>
        <row r="180">
          <cell r="C180">
            <v>10223.48</v>
          </cell>
        </row>
        <row r="181">
          <cell r="C181">
            <v>3168.9</v>
          </cell>
        </row>
        <row r="182">
          <cell r="C182">
            <v>603.6</v>
          </cell>
        </row>
        <row r="183">
          <cell r="C183">
            <v>2263.5</v>
          </cell>
        </row>
        <row r="185">
          <cell r="C185">
            <v>66.84</v>
          </cell>
        </row>
        <row r="186">
          <cell r="C186">
            <v>0</v>
          </cell>
        </row>
        <row r="187">
          <cell r="C187">
            <v>1216.05</v>
          </cell>
        </row>
        <row r="189">
          <cell r="C189">
            <v>0</v>
          </cell>
        </row>
        <row r="190">
          <cell r="C190">
            <v>44.56</v>
          </cell>
        </row>
        <row r="191">
          <cell r="C191">
            <v>30</v>
          </cell>
        </row>
        <row r="192">
          <cell r="C192">
            <v>0</v>
          </cell>
        </row>
        <row r="193">
          <cell r="C193">
            <v>36.85</v>
          </cell>
        </row>
        <row r="194">
          <cell r="C194">
            <v>202.26</v>
          </cell>
        </row>
        <row r="195">
          <cell r="C195">
            <v>1202.1099999999999</v>
          </cell>
        </row>
        <row r="196">
          <cell r="C196">
            <v>383883.83</v>
          </cell>
        </row>
        <row r="202">
          <cell r="C202">
            <v>2367.04</v>
          </cell>
        </row>
        <row r="203">
          <cell r="C203">
            <v>3525.2</v>
          </cell>
        </row>
        <row r="204">
          <cell r="C204">
            <v>8901.2000000000007</v>
          </cell>
        </row>
        <row r="205">
          <cell r="C205">
            <v>520</v>
          </cell>
        </row>
        <row r="206">
          <cell r="C206">
            <v>0</v>
          </cell>
        </row>
        <row r="209">
          <cell r="C209">
            <v>4603.05</v>
          </cell>
        </row>
        <row r="210">
          <cell r="C210">
            <v>9520</v>
          </cell>
        </row>
        <row r="211">
          <cell r="C211">
            <v>27020.400000000001</v>
          </cell>
        </row>
        <row r="212">
          <cell r="C212">
            <v>3093.75</v>
          </cell>
        </row>
        <row r="213">
          <cell r="C213">
            <v>0</v>
          </cell>
        </row>
        <row r="216">
          <cell r="C216">
            <v>2490.86</v>
          </cell>
        </row>
        <row r="217">
          <cell r="C217">
            <v>1126.69</v>
          </cell>
        </row>
        <row r="218">
          <cell r="C218">
            <v>3528.86</v>
          </cell>
        </row>
        <row r="219">
          <cell r="C219">
            <v>0</v>
          </cell>
        </row>
        <row r="222">
          <cell r="C222">
            <v>3420.45</v>
          </cell>
        </row>
        <row r="223">
          <cell r="C223">
            <v>2655.6</v>
          </cell>
        </row>
        <row r="224">
          <cell r="C224">
            <v>7112.6</v>
          </cell>
        </row>
        <row r="225">
          <cell r="C225">
            <v>0</v>
          </cell>
        </row>
        <row r="228">
          <cell r="C228">
            <v>0</v>
          </cell>
        </row>
        <row r="229">
          <cell r="C229">
            <v>86.85</v>
          </cell>
        </row>
        <row r="230">
          <cell r="C230">
            <v>0</v>
          </cell>
        </row>
        <row r="231">
          <cell r="C231">
            <v>0</v>
          </cell>
        </row>
        <row r="232">
          <cell r="C232">
            <v>0</v>
          </cell>
        </row>
        <row r="235">
          <cell r="C235">
            <v>0</v>
          </cell>
        </row>
        <row r="236">
          <cell r="C236">
            <v>258.2</v>
          </cell>
        </row>
        <row r="237">
          <cell r="C237">
            <v>2711.1</v>
          </cell>
        </row>
        <row r="238">
          <cell r="C238">
            <v>5891.6</v>
          </cell>
        </row>
        <row r="239">
          <cell r="C239">
            <v>10096.200000000001</v>
          </cell>
        </row>
        <row r="240">
          <cell r="C240">
            <v>294</v>
          </cell>
        </row>
        <row r="241">
          <cell r="C241">
            <v>4739.8999999999996</v>
          </cell>
        </row>
        <row r="244">
          <cell r="C244">
            <v>4717</v>
          </cell>
        </row>
        <row r="245">
          <cell r="C245">
            <v>38405.5</v>
          </cell>
        </row>
        <row r="246">
          <cell r="C246">
            <v>1093.8499999999999</v>
          </cell>
        </row>
        <row r="247">
          <cell r="C247">
            <v>3420</v>
          </cell>
        </row>
        <row r="248">
          <cell r="C248">
            <v>4537</v>
          </cell>
        </row>
        <row r="249">
          <cell r="C249">
            <v>559</v>
          </cell>
        </row>
        <row r="250">
          <cell r="C250">
            <v>623</v>
          </cell>
        </row>
        <row r="251">
          <cell r="C251">
            <v>621</v>
          </cell>
        </row>
        <row r="252">
          <cell r="C252">
            <v>347301.3</v>
          </cell>
        </row>
        <row r="254">
          <cell r="C254">
            <v>0</v>
          </cell>
        </row>
        <row r="255">
          <cell r="C255">
            <v>0</v>
          </cell>
        </row>
        <row r="258">
          <cell r="C258">
            <v>10815.3</v>
          </cell>
        </row>
        <row r="259">
          <cell r="C259">
            <v>14202.76</v>
          </cell>
        </row>
        <row r="260">
          <cell r="C260">
            <v>-482.64999999999992</v>
          </cell>
        </row>
        <row r="262">
          <cell r="C262">
            <v>0</v>
          </cell>
        </row>
        <row r="263">
          <cell r="C263">
            <v>0</v>
          </cell>
        </row>
        <row r="267">
          <cell r="C267">
            <v>1747.67</v>
          </cell>
        </row>
        <row r="268">
          <cell r="C268">
            <v>248.6</v>
          </cell>
        </row>
        <row r="269">
          <cell r="C269">
            <v>7557.44</v>
          </cell>
        </row>
        <row r="270">
          <cell r="C270">
            <v>403.7</v>
          </cell>
        </row>
        <row r="271">
          <cell r="C271">
            <v>1903.44</v>
          </cell>
        </row>
        <row r="272">
          <cell r="C272">
            <v>341.28</v>
          </cell>
        </row>
        <row r="273">
          <cell r="C273">
            <v>-688.94</v>
          </cell>
        </row>
        <row r="274">
          <cell r="C274">
            <v>1966.5</v>
          </cell>
        </row>
        <row r="276">
          <cell r="C276">
            <v>1170.18</v>
          </cell>
        </row>
        <row r="278">
          <cell r="C278">
            <v>0</v>
          </cell>
        </row>
        <row r="280">
          <cell r="C280">
            <v>544426.48</v>
          </cell>
        </row>
        <row r="284">
          <cell r="C284">
            <v>770.9</v>
          </cell>
        </row>
        <row r="285">
          <cell r="C285">
            <v>5677.62</v>
          </cell>
        </row>
        <row r="286">
          <cell r="C286">
            <v>4269.3</v>
          </cell>
        </row>
        <row r="293">
          <cell r="C293">
            <v>3024.59</v>
          </cell>
        </row>
        <row r="294">
          <cell r="C294">
            <v>100</v>
          </cell>
        </row>
      </sheetData>
      <sheetData sheetId="5">
        <row r="6">
          <cell r="C6">
            <v>-16196.22</v>
          </cell>
        </row>
        <row r="7">
          <cell r="C7">
            <v>229925.31</v>
          </cell>
        </row>
        <row r="8">
          <cell r="C8">
            <v>4828</v>
          </cell>
        </row>
        <row r="10">
          <cell r="C10">
            <v>1864.3</v>
          </cell>
        </row>
        <row r="12">
          <cell r="C12">
            <v>40900.720000000001</v>
          </cell>
        </row>
        <row r="13">
          <cell r="C13">
            <v>280.5</v>
          </cell>
        </row>
        <row r="14">
          <cell r="C14">
            <v>786.45</v>
          </cell>
        </row>
        <row r="15">
          <cell r="C15">
            <v>112.44</v>
          </cell>
        </row>
        <row r="16">
          <cell r="C16">
            <v>1.54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74.66</v>
          </cell>
        </row>
        <row r="21">
          <cell r="C21">
            <v>2211.9499999999998</v>
          </cell>
        </row>
        <row r="22">
          <cell r="C22">
            <v>82.88</v>
          </cell>
        </row>
        <row r="23">
          <cell r="C23">
            <v>-12.43</v>
          </cell>
        </row>
        <row r="24">
          <cell r="C24">
            <v>351.6</v>
          </cell>
        </row>
        <row r="25">
          <cell r="C25">
            <v>0</v>
          </cell>
        </row>
        <row r="26">
          <cell r="C26">
            <v>36.32</v>
          </cell>
        </row>
        <row r="27">
          <cell r="C27">
            <v>34.799999999999997</v>
          </cell>
        </row>
        <row r="28">
          <cell r="C28">
            <v>129333.63</v>
          </cell>
        </row>
        <row r="29">
          <cell r="C29">
            <v>38.68</v>
          </cell>
        </row>
        <row r="30">
          <cell r="C30">
            <v>77.7</v>
          </cell>
        </row>
        <row r="32">
          <cell r="C32">
            <v>11494.92</v>
          </cell>
        </row>
        <row r="33">
          <cell r="C33">
            <v>171.6</v>
          </cell>
        </row>
        <row r="34">
          <cell r="C34">
            <v>4843.29</v>
          </cell>
        </row>
        <row r="35">
          <cell r="C35">
            <v>381232.31</v>
          </cell>
        </row>
        <row r="36">
          <cell r="C36">
            <v>6281.54</v>
          </cell>
        </row>
        <row r="37">
          <cell r="C37">
            <v>182122.57</v>
          </cell>
        </row>
        <row r="38">
          <cell r="C38">
            <v>3568.05</v>
          </cell>
        </row>
        <row r="39">
          <cell r="C39">
            <v>12766.46</v>
          </cell>
        </row>
        <row r="40">
          <cell r="C40">
            <v>295.2</v>
          </cell>
        </row>
        <row r="41">
          <cell r="C41">
            <v>2607.35</v>
          </cell>
        </row>
        <row r="42">
          <cell r="C42">
            <v>97.14</v>
          </cell>
        </row>
        <row r="43">
          <cell r="C43">
            <v>312.48</v>
          </cell>
        </row>
        <row r="44">
          <cell r="C44">
            <v>0</v>
          </cell>
        </row>
        <row r="45">
          <cell r="C45">
            <v>119.32</v>
          </cell>
        </row>
        <row r="46">
          <cell r="C46">
            <v>0</v>
          </cell>
        </row>
        <row r="47">
          <cell r="C47">
            <v>4474.4799999999996</v>
          </cell>
        </row>
        <row r="48">
          <cell r="C48">
            <v>753.88</v>
          </cell>
        </row>
        <row r="49">
          <cell r="C49">
            <v>1005873.4199999999</v>
          </cell>
        </row>
        <row r="54">
          <cell r="C54">
            <v>-249.43</v>
          </cell>
        </row>
        <row r="55">
          <cell r="C55">
            <v>3610.35</v>
          </cell>
        </row>
        <row r="56">
          <cell r="C56">
            <v>0</v>
          </cell>
        </row>
        <row r="58">
          <cell r="C58">
            <v>2093.71</v>
          </cell>
        </row>
        <row r="60">
          <cell r="C60">
            <v>0</v>
          </cell>
        </row>
        <row r="61">
          <cell r="C61">
            <v>508.29999999999995</v>
          </cell>
        </row>
        <row r="63">
          <cell r="C63">
            <v>-1962.66</v>
          </cell>
        </row>
        <row r="64">
          <cell r="C64">
            <v>264</v>
          </cell>
        </row>
        <row r="66">
          <cell r="C66">
            <v>46.2</v>
          </cell>
        </row>
        <row r="67">
          <cell r="C67">
            <v>6.18</v>
          </cell>
        </row>
        <row r="68">
          <cell r="C68">
            <v>31.16</v>
          </cell>
        </row>
        <row r="69">
          <cell r="C69">
            <v>0</v>
          </cell>
        </row>
        <row r="70">
          <cell r="C70">
            <v>0</v>
          </cell>
        </row>
        <row r="72">
          <cell r="C72">
            <v>2489.88</v>
          </cell>
        </row>
        <row r="73">
          <cell r="C73">
            <v>0</v>
          </cell>
        </row>
        <row r="74">
          <cell r="C74">
            <v>0</v>
          </cell>
        </row>
        <row r="76">
          <cell r="C76">
            <v>8094.2</v>
          </cell>
        </row>
        <row r="77">
          <cell r="C77">
            <v>37.72</v>
          </cell>
        </row>
        <row r="78">
          <cell r="C78">
            <v>1679.14</v>
          </cell>
        </row>
        <row r="79">
          <cell r="C79">
            <v>0</v>
          </cell>
        </row>
        <row r="80">
          <cell r="C80">
            <v>293.16000000000003</v>
          </cell>
        </row>
        <row r="81">
          <cell r="C81">
            <v>42.63</v>
          </cell>
        </row>
        <row r="82">
          <cell r="C82">
            <v>221.52</v>
          </cell>
        </row>
        <row r="83">
          <cell r="C83">
            <v>56.13</v>
          </cell>
        </row>
        <row r="84">
          <cell r="C84">
            <v>0</v>
          </cell>
        </row>
        <row r="85">
          <cell r="C85">
            <v>32.78</v>
          </cell>
        </row>
        <row r="88">
          <cell r="C88">
            <v>27721.43</v>
          </cell>
        </row>
        <row r="89">
          <cell r="C89">
            <v>0</v>
          </cell>
        </row>
        <row r="90">
          <cell r="C90">
            <v>5837.91</v>
          </cell>
        </row>
        <row r="91">
          <cell r="C91">
            <v>0</v>
          </cell>
        </row>
        <row r="92">
          <cell r="C92">
            <v>0</v>
          </cell>
        </row>
        <row r="93">
          <cell r="C93">
            <v>14482.74</v>
          </cell>
        </row>
        <row r="94">
          <cell r="C94">
            <v>1509.6</v>
          </cell>
        </row>
        <row r="95">
          <cell r="C95">
            <v>1132.2</v>
          </cell>
        </row>
        <row r="96">
          <cell r="C96">
            <v>6998.75</v>
          </cell>
        </row>
        <row r="97">
          <cell r="C97">
            <v>717.83</v>
          </cell>
        </row>
        <row r="98">
          <cell r="C98">
            <v>0</v>
          </cell>
        </row>
        <row r="99">
          <cell r="C99">
            <v>11368.58</v>
          </cell>
        </row>
        <row r="100">
          <cell r="C100">
            <v>15158.1</v>
          </cell>
        </row>
        <row r="101">
          <cell r="C101">
            <v>3031.6</v>
          </cell>
        </row>
        <row r="102">
          <cell r="C102">
            <v>0</v>
          </cell>
        </row>
        <row r="103">
          <cell r="C103">
            <v>239.85</v>
          </cell>
        </row>
        <row r="104">
          <cell r="C104">
            <v>0</v>
          </cell>
        </row>
        <row r="105">
          <cell r="C105">
            <v>774.86</v>
          </cell>
        </row>
        <row r="107">
          <cell r="C107">
            <v>0</v>
          </cell>
        </row>
        <row r="108">
          <cell r="C108">
            <v>0</v>
          </cell>
        </row>
        <row r="109">
          <cell r="C109">
            <v>0</v>
          </cell>
        </row>
        <row r="110">
          <cell r="C110">
            <v>0</v>
          </cell>
        </row>
        <row r="111">
          <cell r="C111">
            <v>0</v>
          </cell>
        </row>
        <row r="116">
          <cell r="C116">
            <v>908.87000000000012</v>
          </cell>
        </row>
        <row r="118">
          <cell r="C118">
            <v>1956.64</v>
          </cell>
        </row>
        <row r="119">
          <cell r="C119">
            <v>111.29</v>
          </cell>
        </row>
        <row r="120">
          <cell r="C120">
            <v>15.4</v>
          </cell>
        </row>
        <row r="122">
          <cell r="C122">
            <v>60.06</v>
          </cell>
        </row>
        <row r="123">
          <cell r="C123">
            <v>12.36</v>
          </cell>
        </row>
        <row r="124">
          <cell r="C124">
            <v>0</v>
          </cell>
        </row>
        <row r="125">
          <cell r="C125">
            <v>0</v>
          </cell>
        </row>
        <row r="126">
          <cell r="C126">
            <v>0</v>
          </cell>
        </row>
        <row r="127">
          <cell r="C127">
            <v>72.099999999999994</v>
          </cell>
        </row>
        <row r="129">
          <cell r="C129">
            <v>0</v>
          </cell>
        </row>
        <row r="131">
          <cell r="C131">
            <v>1244.28</v>
          </cell>
        </row>
        <row r="132">
          <cell r="C132">
            <v>948.08</v>
          </cell>
        </row>
        <row r="133">
          <cell r="C133">
            <v>253.95</v>
          </cell>
        </row>
        <row r="134">
          <cell r="C134">
            <v>0</v>
          </cell>
        </row>
        <row r="135">
          <cell r="C135">
            <v>0</v>
          </cell>
        </row>
        <row r="136">
          <cell r="C136">
            <v>0</v>
          </cell>
        </row>
        <row r="139">
          <cell r="C139">
            <v>702.48</v>
          </cell>
        </row>
        <row r="140">
          <cell r="C140">
            <v>242.48</v>
          </cell>
        </row>
        <row r="141">
          <cell r="C141">
            <v>0</v>
          </cell>
        </row>
        <row r="142">
          <cell r="C142">
            <v>5281.5</v>
          </cell>
        </row>
        <row r="143">
          <cell r="C143">
            <v>1509</v>
          </cell>
        </row>
        <row r="144">
          <cell r="C144">
            <v>905.4</v>
          </cell>
        </row>
        <row r="145">
          <cell r="C145">
            <v>41994.8</v>
          </cell>
        </row>
        <row r="146">
          <cell r="C146">
            <v>12747.15</v>
          </cell>
        </row>
        <row r="147">
          <cell r="C147">
            <v>2974.34</v>
          </cell>
        </row>
        <row r="148">
          <cell r="C148">
            <v>1133.07</v>
          </cell>
        </row>
        <row r="149">
          <cell r="C149">
            <v>36333.919999999998</v>
          </cell>
        </row>
        <row r="150">
          <cell r="C150">
            <v>50925.55</v>
          </cell>
        </row>
        <row r="151">
          <cell r="C151">
            <v>16355.01</v>
          </cell>
        </row>
        <row r="152">
          <cell r="C152">
            <v>7834.7</v>
          </cell>
        </row>
        <row r="153">
          <cell r="C153">
            <v>5876.04</v>
          </cell>
        </row>
        <row r="154">
          <cell r="C154">
            <v>320.64</v>
          </cell>
        </row>
        <row r="155">
          <cell r="C155">
            <v>0</v>
          </cell>
        </row>
        <row r="156">
          <cell r="C156">
            <v>580.52</v>
          </cell>
        </row>
        <row r="157">
          <cell r="C157">
            <v>922.07</v>
          </cell>
        </row>
        <row r="158">
          <cell r="C158">
            <v>1032.58</v>
          </cell>
        </row>
        <row r="159">
          <cell r="C159">
            <v>0</v>
          </cell>
        </row>
        <row r="160">
          <cell r="C160">
            <v>0</v>
          </cell>
        </row>
        <row r="161">
          <cell r="C161">
            <v>0</v>
          </cell>
        </row>
        <row r="162">
          <cell r="C162">
            <v>0</v>
          </cell>
        </row>
        <row r="163">
          <cell r="C163">
            <v>2632.9</v>
          </cell>
        </row>
        <row r="164">
          <cell r="C164">
            <v>0</v>
          </cell>
        </row>
        <row r="165">
          <cell r="C165">
            <v>0</v>
          </cell>
        </row>
        <row r="166">
          <cell r="C166">
            <v>0</v>
          </cell>
        </row>
        <row r="167">
          <cell r="C167">
            <v>0</v>
          </cell>
        </row>
        <row r="168">
          <cell r="C168">
            <v>0</v>
          </cell>
        </row>
        <row r="169">
          <cell r="C169">
            <v>488.94</v>
          </cell>
        </row>
        <row r="170">
          <cell r="C170">
            <v>0</v>
          </cell>
        </row>
        <row r="171">
          <cell r="C171">
            <v>0</v>
          </cell>
        </row>
        <row r="174">
          <cell r="C174">
            <v>25333.200000000001</v>
          </cell>
        </row>
        <row r="175">
          <cell r="C175">
            <v>175.62</v>
          </cell>
        </row>
        <row r="176">
          <cell r="C176">
            <v>0</v>
          </cell>
        </row>
        <row r="177">
          <cell r="C177">
            <v>6546.96</v>
          </cell>
        </row>
        <row r="178">
          <cell r="C178">
            <v>816.35</v>
          </cell>
        </row>
        <row r="179">
          <cell r="C179">
            <v>44326.89</v>
          </cell>
        </row>
        <row r="180">
          <cell r="C180">
            <v>10072.57</v>
          </cell>
        </row>
        <row r="181">
          <cell r="C181">
            <v>3168.9</v>
          </cell>
        </row>
        <row r="182">
          <cell r="C182">
            <v>603.6</v>
          </cell>
        </row>
        <row r="183">
          <cell r="C183">
            <v>2263.5</v>
          </cell>
        </row>
        <row r="185">
          <cell r="C185">
            <v>101.23</v>
          </cell>
        </row>
        <row r="186">
          <cell r="C186">
            <v>0</v>
          </cell>
        </row>
        <row r="187">
          <cell r="C187">
            <v>506</v>
          </cell>
        </row>
        <row r="189">
          <cell r="C189">
            <v>0</v>
          </cell>
        </row>
        <row r="190">
          <cell r="C190">
            <v>44.56</v>
          </cell>
        </row>
        <row r="191">
          <cell r="C191">
            <v>30</v>
          </cell>
        </row>
        <row r="192">
          <cell r="C192">
            <v>0</v>
          </cell>
        </row>
        <row r="193">
          <cell r="C193">
            <v>184.25</v>
          </cell>
        </row>
        <row r="194">
          <cell r="C194">
            <v>134.84</v>
          </cell>
        </row>
        <row r="195">
          <cell r="C195">
            <v>1294.58</v>
          </cell>
        </row>
        <row r="196">
          <cell r="C196">
            <v>398247.59000000008</v>
          </cell>
        </row>
        <row r="202">
          <cell r="C202">
            <v>2739</v>
          </cell>
        </row>
        <row r="203">
          <cell r="C203">
            <v>3456.5</v>
          </cell>
        </row>
        <row r="204">
          <cell r="C204">
            <v>9241.2000000000007</v>
          </cell>
        </row>
        <row r="205">
          <cell r="C205">
            <v>520</v>
          </cell>
        </row>
        <row r="206">
          <cell r="C206">
            <v>0</v>
          </cell>
        </row>
        <row r="209">
          <cell r="C209">
            <v>4950.45</v>
          </cell>
        </row>
        <row r="210">
          <cell r="C210">
            <v>8285.9</v>
          </cell>
        </row>
        <row r="211">
          <cell r="C211">
            <v>25894.55</v>
          </cell>
        </row>
        <row r="212">
          <cell r="C212">
            <v>2722.5</v>
          </cell>
        </row>
        <row r="213">
          <cell r="C213">
            <v>0</v>
          </cell>
        </row>
        <row r="216">
          <cell r="C216">
            <v>3191.3</v>
          </cell>
        </row>
        <row r="217">
          <cell r="C217">
            <v>1372</v>
          </cell>
        </row>
        <row r="218">
          <cell r="C218">
            <v>3415.04</v>
          </cell>
        </row>
        <row r="219">
          <cell r="C219">
            <v>0</v>
          </cell>
        </row>
        <row r="222">
          <cell r="C222">
            <v>2902.2</v>
          </cell>
        </row>
        <row r="223">
          <cell r="C223">
            <v>1438.45</v>
          </cell>
        </row>
        <row r="224">
          <cell r="C224">
            <v>5130.3999999999996</v>
          </cell>
        </row>
        <row r="225">
          <cell r="C225">
            <v>0</v>
          </cell>
        </row>
        <row r="228">
          <cell r="C228">
            <v>0</v>
          </cell>
        </row>
        <row r="229">
          <cell r="C229">
            <v>86.85</v>
          </cell>
        </row>
        <row r="230">
          <cell r="C230">
            <v>0</v>
          </cell>
        </row>
        <row r="231">
          <cell r="C231">
            <v>0</v>
          </cell>
        </row>
        <row r="232">
          <cell r="C232">
            <v>0</v>
          </cell>
        </row>
        <row r="235">
          <cell r="C235">
            <v>0</v>
          </cell>
        </row>
        <row r="236">
          <cell r="C236">
            <v>387.3</v>
          </cell>
        </row>
        <row r="237">
          <cell r="C237">
            <v>2582</v>
          </cell>
        </row>
        <row r="238">
          <cell r="C238">
            <v>6025.5</v>
          </cell>
        </row>
        <row r="239">
          <cell r="C239">
            <v>9385.2000000000007</v>
          </cell>
        </row>
        <row r="240">
          <cell r="C240">
            <v>441</v>
          </cell>
        </row>
        <row r="241">
          <cell r="C241">
            <v>4892.8</v>
          </cell>
        </row>
        <row r="244">
          <cell r="C244">
            <v>3637.39</v>
          </cell>
        </row>
        <row r="245">
          <cell r="C245">
            <v>36089</v>
          </cell>
        </row>
        <row r="246">
          <cell r="C246">
            <v>1069.3</v>
          </cell>
        </row>
        <row r="247">
          <cell r="C247">
            <v>2820</v>
          </cell>
        </row>
        <row r="248">
          <cell r="C248">
            <v>950</v>
          </cell>
        </row>
        <row r="249">
          <cell r="C249">
            <v>344</v>
          </cell>
        </row>
        <row r="250">
          <cell r="C250">
            <v>356</v>
          </cell>
        </row>
        <row r="251">
          <cell r="C251">
            <v>414</v>
          </cell>
        </row>
        <row r="252">
          <cell r="C252">
            <v>287187.43</v>
          </cell>
        </row>
        <row r="254">
          <cell r="C254">
            <v>0</v>
          </cell>
        </row>
        <row r="255">
          <cell r="C255">
            <v>0</v>
          </cell>
        </row>
        <row r="258">
          <cell r="C258">
            <v>10815.3</v>
          </cell>
        </row>
        <row r="259">
          <cell r="C259">
            <v>13232.48</v>
          </cell>
        </row>
        <row r="260">
          <cell r="C260">
            <v>-482.64999999999992</v>
          </cell>
        </row>
        <row r="262">
          <cell r="C262">
            <v>0</v>
          </cell>
        </row>
        <row r="263">
          <cell r="C263">
            <v>0</v>
          </cell>
        </row>
        <row r="267">
          <cell r="C267">
            <v>1747.67</v>
          </cell>
        </row>
        <row r="268">
          <cell r="C268">
            <v>248.6</v>
          </cell>
        </row>
        <row r="269">
          <cell r="C269">
            <v>7557.44</v>
          </cell>
        </row>
        <row r="270">
          <cell r="C270">
            <v>403.7</v>
          </cell>
        </row>
        <row r="271">
          <cell r="C271">
            <v>1903.44</v>
          </cell>
        </row>
        <row r="272">
          <cell r="C272">
            <v>341.28</v>
          </cell>
        </row>
        <row r="273">
          <cell r="C273">
            <v>-688.94</v>
          </cell>
        </row>
        <row r="274">
          <cell r="C274">
            <v>1966.5</v>
          </cell>
        </row>
        <row r="276">
          <cell r="C276">
            <v>1170.18</v>
          </cell>
        </row>
        <row r="278">
          <cell r="C278">
            <v>0</v>
          </cell>
        </row>
        <row r="280">
          <cell r="C280">
            <v>470142.25999999995</v>
          </cell>
        </row>
        <row r="284">
          <cell r="C284">
            <v>591.70000000000005</v>
          </cell>
        </row>
        <row r="285">
          <cell r="C285">
            <v>4328.3500000000004</v>
          </cell>
        </row>
        <row r="286">
          <cell r="C286">
            <v>3098.9</v>
          </cell>
        </row>
        <row r="293">
          <cell r="C293">
            <v>3456.15</v>
          </cell>
        </row>
        <row r="294">
          <cell r="C294">
            <v>20</v>
          </cell>
        </row>
      </sheetData>
      <sheetData sheetId="6">
        <row r="6">
          <cell r="C6">
            <v>-16713.919999999998</v>
          </cell>
        </row>
        <row r="7">
          <cell r="C7">
            <v>236220.09</v>
          </cell>
        </row>
        <row r="8">
          <cell r="C8">
            <v>5104.8999999999996</v>
          </cell>
        </row>
        <row r="10">
          <cell r="C10">
            <v>2132.1</v>
          </cell>
        </row>
        <row r="12">
          <cell r="C12">
            <v>45002.6</v>
          </cell>
        </row>
        <row r="13">
          <cell r="C13">
            <v>181.5</v>
          </cell>
        </row>
        <row r="14">
          <cell r="C14">
            <v>723.01</v>
          </cell>
        </row>
        <row r="15">
          <cell r="C15">
            <v>119.8</v>
          </cell>
        </row>
        <row r="16">
          <cell r="C16">
            <v>4.62</v>
          </cell>
        </row>
        <row r="17">
          <cell r="C17">
            <v>0</v>
          </cell>
        </row>
        <row r="18">
          <cell r="C18">
            <v>4.62</v>
          </cell>
        </row>
        <row r="19">
          <cell r="C19">
            <v>68.22</v>
          </cell>
        </row>
        <row r="21">
          <cell r="C21">
            <v>2446.4699999999998</v>
          </cell>
        </row>
        <row r="22">
          <cell r="C22">
            <v>0</v>
          </cell>
        </row>
        <row r="23">
          <cell r="C23">
            <v>37.29</v>
          </cell>
        </row>
        <row r="24">
          <cell r="C24">
            <v>297.48</v>
          </cell>
        </row>
        <row r="25">
          <cell r="C25">
            <v>0</v>
          </cell>
        </row>
        <row r="26">
          <cell r="C26">
            <v>68.099999999999994</v>
          </cell>
        </row>
        <row r="27">
          <cell r="C27">
            <v>11.6</v>
          </cell>
        </row>
        <row r="28">
          <cell r="C28">
            <v>132829.82</v>
          </cell>
        </row>
        <row r="29">
          <cell r="C29">
            <v>19.34</v>
          </cell>
        </row>
        <row r="30">
          <cell r="C30">
            <v>123.9</v>
          </cell>
        </row>
        <row r="32">
          <cell r="C32">
            <v>12296.64</v>
          </cell>
        </row>
        <row r="33">
          <cell r="C33">
            <v>171.6</v>
          </cell>
        </row>
        <row r="34">
          <cell r="C34">
            <v>4732.1400000000003</v>
          </cell>
        </row>
        <row r="35">
          <cell r="C35">
            <v>397273.19</v>
          </cell>
        </row>
        <row r="36">
          <cell r="C36">
            <v>6509.95</v>
          </cell>
        </row>
        <row r="37">
          <cell r="C37">
            <v>182140.93</v>
          </cell>
        </row>
        <row r="38">
          <cell r="C38">
            <v>3402.86</v>
          </cell>
        </row>
        <row r="39">
          <cell r="C39">
            <v>12872.09</v>
          </cell>
        </row>
        <row r="40">
          <cell r="C40">
            <v>110.7</v>
          </cell>
        </row>
        <row r="41">
          <cell r="C41">
            <v>1916.51</v>
          </cell>
        </row>
        <row r="42">
          <cell r="C42">
            <v>0</v>
          </cell>
        </row>
        <row r="43">
          <cell r="C43">
            <v>365.31</v>
          </cell>
        </row>
        <row r="44">
          <cell r="C44">
            <v>0</v>
          </cell>
        </row>
        <row r="45">
          <cell r="C45">
            <v>343.05</v>
          </cell>
        </row>
        <row r="46">
          <cell r="C46">
            <v>0</v>
          </cell>
        </row>
        <row r="47">
          <cell r="C47">
            <v>3965.6</v>
          </cell>
        </row>
        <row r="48">
          <cell r="C48">
            <v>262.22000000000003</v>
          </cell>
        </row>
        <row r="49">
          <cell r="C49">
            <v>1035044.3299999997</v>
          </cell>
        </row>
        <row r="54">
          <cell r="C54">
            <v>-247.94</v>
          </cell>
        </row>
        <row r="55">
          <cell r="C55">
            <v>3592.61</v>
          </cell>
        </row>
        <row r="56">
          <cell r="C56">
            <v>0</v>
          </cell>
        </row>
        <row r="58">
          <cell r="C58">
            <v>2635.3900000000003</v>
          </cell>
        </row>
        <row r="60">
          <cell r="C60">
            <v>224.9</v>
          </cell>
        </row>
        <row r="61">
          <cell r="C61">
            <v>508.29999999999995</v>
          </cell>
        </row>
        <row r="63">
          <cell r="C63">
            <v>-1977.43</v>
          </cell>
        </row>
        <row r="64">
          <cell r="C64">
            <v>264.75</v>
          </cell>
        </row>
        <row r="66">
          <cell r="C66">
            <v>46.2</v>
          </cell>
        </row>
        <row r="67">
          <cell r="C67">
            <v>6.18</v>
          </cell>
        </row>
        <row r="68">
          <cell r="C68">
            <v>31.16</v>
          </cell>
        </row>
        <row r="69">
          <cell r="C69">
            <v>0</v>
          </cell>
        </row>
        <row r="70">
          <cell r="C70">
            <v>0</v>
          </cell>
        </row>
        <row r="72">
          <cell r="C72">
            <v>2467.0300000000002</v>
          </cell>
        </row>
        <row r="73">
          <cell r="C73">
            <v>0</v>
          </cell>
        </row>
        <row r="74">
          <cell r="C74">
            <v>0</v>
          </cell>
        </row>
        <row r="76">
          <cell r="C76">
            <v>8042.4</v>
          </cell>
        </row>
        <row r="77">
          <cell r="C77">
            <v>37.72</v>
          </cell>
        </row>
        <row r="78">
          <cell r="C78">
            <v>1679.14</v>
          </cell>
        </row>
        <row r="79">
          <cell r="C79">
            <v>0</v>
          </cell>
        </row>
        <row r="80">
          <cell r="C80">
            <v>293.16000000000003</v>
          </cell>
        </row>
        <row r="81">
          <cell r="C81">
            <v>42.63</v>
          </cell>
        </row>
        <row r="82">
          <cell r="C82">
            <v>221.52</v>
          </cell>
        </row>
        <row r="83">
          <cell r="C83">
            <v>56.13</v>
          </cell>
        </row>
        <row r="84">
          <cell r="C84">
            <v>0</v>
          </cell>
        </row>
        <row r="85">
          <cell r="C85">
            <v>32.78</v>
          </cell>
        </row>
        <row r="88">
          <cell r="C88">
            <v>27694.76</v>
          </cell>
        </row>
        <row r="89">
          <cell r="C89">
            <v>0</v>
          </cell>
        </row>
        <row r="90">
          <cell r="C90">
            <v>5987.6</v>
          </cell>
        </row>
        <row r="91">
          <cell r="C91">
            <v>0</v>
          </cell>
        </row>
        <row r="92">
          <cell r="C92">
            <v>0</v>
          </cell>
        </row>
        <row r="93">
          <cell r="C93">
            <v>14718.61</v>
          </cell>
        </row>
        <row r="94">
          <cell r="C94">
            <v>1887</v>
          </cell>
        </row>
        <row r="95">
          <cell r="C95">
            <v>1132.2</v>
          </cell>
        </row>
        <row r="96">
          <cell r="C96">
            <v>6909.02</v>
          </cell>
        </row>
        <row r="97">
          <cell r="C97">
            <v>717.83</v>
          </cell>
        </row>
        <row r="98">
          <cell r="C98">
            <v>0</v>
          </cell>
        </row>
        <row r="99">
          <cell r="C99">
            <v>11115.94</v>
          </cell>
        </row>
        <row r="100">
          <cell r="C100">
            <v>15158.1</v>
          </cell>
        </row>
        <row r="101">
          <cell r="C101">
            <v>3031.6</v>
          </cell>
        </row>
        <row r="102">
          <cell r="C102">
            <v>0</v>
          </cell>
        </row>
        <row r="103">
          <cell r="C103">
            <v>159.9</v>
          </cell>
        </row>
        <row r="104">
          <cell r="C104">
            <v>73.14</v>
          </cell>
        </row>
        <row r="105">
          <cell r="C105">
            <v>1744.63</v>
          </cell>
        </row>
        <row r="107">
          <cell r="C107">
            <v>26.65</v>
          </cell>
        </row>
        <row r="108">
          <cell r="C108">
            <v>0</v>
          </cell>
        </row>
        <row r="109">
          <cell r="C109">
            <v>45.58</v>
          </cell>
        </row>
        <row r="110">
          <cell r="C110">
            <v>84.89</v>
          </cell>
        </row>
        <row r="111">
          <cell r="C111">
            <v>0</v>
          </cell>
        </row>
        <row r="116">
          <cell r="C116">
            <v>1535.1499999999999</v>
          </cell>
        </row>
        <row r="118">
          <cell r="C118">
            <v>3171.09</v>
          </cell>
        </row>
        <row r="119">
          <cell r="C119">
            <v>111.29</v>
          </cell>
        </row>
        <row r="120">
          <cell r="C120">
            <v>92.4</v>
          </cell>
        </row>
        <row r="122">
          <cell r="C122">
            <v>60.06</v>
          </cell>
        </row>
        <row r="123">
          <cell r="C123">
            <v>12.36</v>
          </cell>
        </row>
        <row r="124">
          <cell r="C124">
            <v>0</v>
          </cell>
        </row>
        <row r="125">
          <cell r="C125">
            <v>0</v>
          </cell>
        </row>
        <row r="126">
          <cell r="C126">
            <v>43.25</v>
          </cell>
        </row>
        <row r="127">
          <cell r="C127">
            <v>51.5</v>
          </cell>
        </row>
        <row r="129">
          <cell r="C129">
            <v>0</v>
          </cell>
        </row>
        <row r="131">
          <cell r="C131">
            <v>1227.27</v>
          </cell>
        </row>
        <row r="132">
          <cell r="C132">
            <v>956.55</v>
          </cell>
        </row>
        <row r="133">
          <cell r="C133">
            <v>253.95</v>
          </cell>
        </row>
        <row r="134">
          <cell r="C134">
            <v>0</v>
          </cell>
        </row>
        <row r="135">
          <cell r="C135">
            <v>0</v>
          </cell>
        </row>
        <row r="136">
          <cell r="C136">
            <v>0</v>
          </cell>
        </row>
        <row r="139">
          <cell r="C139">
            <v>768.34</v>
          </cell>
        </row>
        <row r="140">
          <cell r="C140">
            <v>242.48</v>
          </cell>
        </row>
        <row r="141">
          <cell r="C141">
            <v>0</v>
          </cell>
        </row>
        <row r="142">
          <cell r="C142">
            <v>5281.5</v>
          </cell>
        </row>
        <row r="143">
          <cell r="C143">
            <v>1207.2</v>
          </cell>
        </row>
        <row r="144">
          <cell r="C144">
            <v>905.4</v>
          </cell>
        </row>
        <row r="145">
          <cell r="C145">
            <v>41286.61</v>
          </cell>
        </row>
        <row r="146">
          <cell r="C146">
            <v>12038.98</v>
          </cell>
        </row>
        <row r="147">
          <cell r="C147">
            <v>3399.24</v>
          </cell>
        </row>
        <row r="148">
          <cell r="C148">
            <v>1133.07</v>
          </cell>
        </row>
        <row r="149">
          <cell r="C149">
            <v>36480.82</v>
          </cell>
        </row>
        <row r="150">
          <cell r="C150">
            <v>43188.83</v>
          </cell>
        </row>
        <row r="151">
          <cell r="C151">
            <v>15865.34</v>
          </cell>
        </row>
        <row r="152">
          <cell r="C152">
            <v>7834.7</v>
          </cell>
        </row>
        <row r="153">
          <cell r="C153">
            <v>5876.04</v>
          </cell>
        </row>
        <row r="154">
          <cell r="C154">
            <v>320.64</v>
          </cell>
        </row>
        <row r="155">
          <cell r="C155">
            <v>0</v>
          </cell>
        </row>
        <row r="156">
          <cell r="C156">
            <v>580.52</v>
          </cell>
        </row>
        <row r="157">
          <cell r="C157">
            <v>922.07</v>
          </cell>
        </row>
        <row r="158">
          <cell r="C158">
            <v>1032.58</v>
          </cell>
        </row>
        <row r="159">
          <cell r="C159">
            <v>0</v>
          </cell>
        </row>
        <row r="160">
          <cell r="C160">
            <v>0</v>
          </cell>
        </row>
        <row r="161">
          <cell r="C161">
            <v>0</v>
          </cell>
        </row>
        <row r="162">
          <cell r="C162">
            <v>0</v>
          </cell>
        </row>
        <row r="163">
          <cell r="C163">
            <v>2632.9</v>
          </cell>
        </row>
        <row r="164">
          <cell r="C164">
            <v>0</v>
          </cell>
        </row>
        <row r="165">
          <cell r="C165">
            <v>0</v>
          </cell>
        </row>
        <row r="166">
          <cell r="C166">
            <v>0</v>
          </cell>
        </row>
        <row r="167">
          <cell r="C167">
            <v>0</v>
          </cell>
        </row>
        <row r="168">
          <cell r="C168">
            <v>0</v>
          </cell>
        </row>
        <row r="169">
          <cell r="C169">
            <v>733.41</v>
          </cell>
        </row>
        <row r="170">
          <cell r="C170">
            <v>0</v>
          </cell>
        </row>
        <row r="171">
          <cell r="C171">
            <v>0</v>
          </cell>
        </row>
        <row r="174">
          <cell r="C174">
            <v>25179.52</v>
          </cell>
        </row>
        <row r="175">
          <cell r="C175">
            <v>175.62</v>
          </cell>
        </row>
        <row r="176">
          <cell r="C176">
            <v>0</v>
          </cell>
        </row>
        <row r="177">
          <cell r="C177">
            <v>6546.96</v>
          </cell>
        </row>
        <row r="178">
          <cell r="C178">
            <v>969.92</v>
          </cell>
        </row>
        <row r="179">
          <cell r="C179">
            <v>44062.82</v>
          </cell>
        </row>
        <row r="180">
          <cell r="C180">
            <v>10110.299999999999</v>
          </cell>
        </row>
        <row r="181">
          <cell r="C181">
            <v>2942.55</v>
          </cell>
        </row>
        <row r="182">
          <cell r="C182">
            <v>603.6</v>
          </cell>
        </row>
        <row r="183">
          <cell r="C183">
            <v>2263.5</v>
          </cell>
        </row>
        <row r="185">
          <cell r="C185">
            <v>111.4</v>
          </cell>
        </row>
        <row r="186">
          <cell r="C186">
            <v>0</v>
          </cell>
        </row>
        <row r="187">
          <cell r="C187">
            <v>994.95</v>
          </cell>
        </row>
        <row r="189">
          <cell r="C189">
            <v>0</v>
          </cell>
        </row>
        <row r="190">
          <cell r="C190">
            <v>66.84</v>
          </cell>
        </row>
        <row r="191">
          <cell r="C191">
            <v>0</v>
          </cell>
        </row>
        <row r="192">
          <cell r="C192">
            <v>0</v>
          </cell>
        </row>
        <row r="193">
          <cell r="C193">
            <v>147.4</v>
          </cell>
        </row>
        <row r="194">
          <cell r="C194">
            <v>404.52</v>
          </cell>
        </row>
        <row r="195">
          <cell r="C195">
            <v>1479.52</v>
          </cell>
        </row>
        <row r="196">
          <cell r="C196">
            <v>393749.04000000015</v>
          </cell>
        </row>
        <row r="202">
          <cell r="C202">
            <v>2781.48</v>
          </cell>
        </row>
        <row r="203">
          <cell r="C203">
            <v>3441</v>
          </cell>
        </row>
        <row r="204">
          <cell r="C204">
            <v>9512.32</v>
          </cell>
        </row>
        <row r="205">
          <cell r="C205">
            <v>520</v>
          </cell>
        </row>
        <row r="206">
          <cell r="C206">
            <v>0</v>
          </cell>
        </row>
        <row r="209">
          <cell r="C209">
            <v>5211</v>
          </cell>
        </row>
        <row r="210">
          <cell r="C210">
            <v>8187.2</v>
          </cell>
        </row>
        <row r="211">
          <cell r="C211">
            <v>23745.200000000001</v>
          </cell>
        </row>
        <row r="212">
          <cell r="C212">
            <v>2351.25</v>
          </cell>
        </row>
        <row r="213">
          <cell r="C213">
            <v>0</v>
          </cell>
        </row>
        <row r="216">
          <cell r="C216">
            <v>2318.62</v>
          </cell>
        </row>
        <row r="217">
          <cell r="C217">
            <v>293.68</v>
          </cell>
        </row>
        <row r="218">
          <cell r="C218">
            <v>3902.91</v>
          </cell>
        </row>
        <row r="219">
          <cell r="C219">
            <v>114</v>
          </cell>
        </row>
        <row r="222">
          <cell r="C222">
            <v>2189.6</v>
          </cell>
        </row>
        <row r="223">
          <cell r="C223">
            <v>2102.35</v>
          </cell>
        </row>
        <row r="224">
          <cell r="C224">
            <v>7695.6</v>
          </cell>
        </row>
        <row r="225">
          <cell r="C225">
            <v>0</v>
          </cell>
        </row>
        <row r="228">
          <cell r="C228">
            <v>0</v>
          </cell>
        </row>
        <row r="229">
          <cell r="C229">
            <v>86.85</v>
          </cell>
        </row>
        <row r="230">
          <cell r="C230">
            <v>0</v>
          </cell>
        </row>
        <row r="231">
          <cell r="C231">
            <v>0</v>
          </cell>
        </row>
        <row r="232">
          <cell r="C232">
            <v>0</v>
          </cell>
        </row>
        <row r="235">
          <cell r="C235">
            <v>0</v>
          </cell>
        </row>
        <row r="236">
          <cell r="C236">
            <v>258.2</v>
          </cell>
        </row>
        <row r="237">
          <cell r="C237">
            <v>2323.8000000000002</v>
          </cell>
        </row>
        <row r="238">
          <cell r="C238">
            <v>5757.7</v>
          </cell>
        </row>
        <row r="239">
          <cell r="C239">
            <v>9243</v>
          </cell>
        </row>
        <row r="240">
          <cell r="C240">
            <v>147</v>
          </cell>
        </row>
        <row r="241">
          <cell r="C241">
            <v>4281.2</v>
          </cell>
        </row>
        <row r="244">
          <cell r="C244">
            <v>4094</v>
          </cell>
        </row>
        <row r="245">
          <cell r="C245">
            <v>30708.400000000001</v>
          </cell>
        </row>
        <row r="246">
          <cell r="C246">
            <v>1008.7</v>
          </cell>
        </row>
        <row r="247">
          <cell r="C247">
            <v>2500</v>
          </cell>
        </row>
        <row r="248">
          <cell r="C248">
            <v>617.5</v>
          </cell>
        </row>
        <row r="249">
          <cell r="C249">
            <v>365.5</v>
          </cell>
        </row>
        <row r="250">
          <cell r="C250">
            <v>445</v>
          </cell>
        </row>
        <row r="251">
          <cell r="C251">
            <v>0</v>
          </cell>
        </row>
        <row r="252">
          <cell r="C252">
            <v>269898.15999999997</v>
          </cell>
        </row>
        <row r="254">
          <cell r="C254">
            <v>0</v>
          </cell>
        </row>
        <row r="255">
          <cell r="C255">
            <v>0</v>
          </cell>
        </row>
        <row r="258">
          <cell r="C258">
            <v>10815.3</v>
          </cell>
        </row>
        <row r="259">
          <cell r="C259">
            <v>12288.94</v>
          </cell>
        </row>
        <row r="260">
          <cell r="C260">
            <v>-482.64999999999992</v>
          </cell>
        </row>
        <row r="262">
          <cell r="C262">
            <v>0</v>
          </cell>
        </row>
        <row r="263">
          <cell r="C263">
            <v>0</v>
          </cell>
        </row>
        <row r="267">
          <cell r="C267">
            <v>1747.67</v>
          </cell>
        </row>
        <row r="268">
          <cell r="C268">
            <v>248.6</v>
          </cell>
        </row>
        <row r="269">
          <cell r="C269">
            <v>7557.44</v>
          </cell>
        </row>
        <row r="270">
          <cell r="C270">
            <v>403.7</v>
          </cell>
        </row>
        <row r="271">
          <cell r="C271">
            <v>1903.44</v>
          </cell>
        </row>
        <row r="272">
          <cell r="C272">
            <v>341.28</v>
          </cell>
        </row>
        <row r="273">
          <cell r="C273">
            <v>-688.94</v>
          </cell>
        </row>
        <row r="274">
          <cell r="C274">
            <v>1966.5</v>
          </cell>
        </row>
        <row r="276">
          <cell r="C276">
            <v>1170.18</v>
          </cell>
        </row>
        <row r="278">
          <cell r="C278">
            <v>0</v>
          </cell>
        </row>
        <row r="280">
          <cell r="C280">
            <v>443372.67999999993</v>
          </cell>
        </row>
        <row r="284">
          <cell r="C284">
            <v>394.5</v>
          </cell>
        </row>
        <row r="285">
          <cell r="C285">
            <v>4112.1000000000004</v>
          </cell>
        </row>
        <row r="286">
          <cell r="C286">
            <v>3211.2</v>
          </cell>
        </row>
        <row r="293">
          <cell r="C293">
            <v>3243.29</v>
          </cell>
        </row>
        <row r="294">
          <cell r="C294">
            <v>20</v>
          </cell>
        </row>
      </sheetData>
      <sheetData sheetId="7">
        <row r="6">
          <cell r="C6">
            <v>-16181.31</v>
          </cell>
        </row>
        <row r="7">
          <cell r="C7">
            <v>229650.86</v>
          </cell>
        </row>
        <row r="8">
          <cell r="C8">
            <v>4835.1000000000004</v>
          </cell>
        </row>
        <row r="10">
          <cell r="C10">
            <v>1297.8</v>
          </cell>
        </row>
        <row r="12">
          <cell r="C12">
            <v>41352.61</v>
          </cell>
        </row>
        <row r="13">
          <cell r="C13">
            <v>148.5</v>
          </cell>
        </row>
        <row r="14">
          <cell r="C14">
            <v>785.29</v>
          </cell>
        </row>
        <row r="15">
          <cell r="C15">
            <v>124.66</v>
          </cell>
        </row>
        <row r="16">
          <cell r="C16">
            <v>1.54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85.46</v>
          </cell>
        </row>
        <row r="21">
          <cell r="C21">
            <v>2234.11</v>
          </cell>
        </row>
        <row r="22">
          <cell r="C22">
            <v>124.32</v>
          </cell>
        </row>
        <row r="23">
          <cell r="C23">
            <v>49.72</v>
          </cell>
        </row>
        <row r="24">
          <cell r="C24">
            <v>349.38</v>
          </cell>
        </row>
        <row r="25">
          <cell r="C25">
            <v>0</v>
          </cell>
        </row>
        <row r="26">
          <cell r="C26">
            <v>36.32</v>
          </cell>
        </row>
        <row r="27">
          <cell r="C27">
            <v>0</v>
          </cell>
        </row>
        <row r="28">
          <cell r="C28">
            <v>129868.98</v>
          </cell>
        </row>
        <row r="29">
          <cell r="C29">
            <v>116.04</v>
          </cell>
        </row>
        <row r="30">
          <cell r="C30">
            <v>151.19999999999999</v>
          </cell>
        </row>
        <row r="32">
          <cell r="C32">
            <v>11550.32</v>
          </cell>
        </row>
        <row r="33">
          <cell r="C33">
            <v>171.6</v>
          </cell>
        </row>
        <row r="34">
          <cell r="C34">
            <v>4717.6500000000005</v>
          </cell>
        </row>
        <row r="35">
          <cell r="C35">
            <v>380488.93</v>
          </cell>
        </row>
        <row r="36">
          <cell r="C36">
            <v>6404.87</v>
          </cell>
        </row>
        <row r="37">
          <cell r="C37">
            <v>183059.40999999997</v>
          </cell>
        </row>
        <row r="38">
          <cell r="C38">
            <v>3726.63</v>
          </cell>
        </row>
        <row r="39">
          <cell r="C39">
            <v>13145.41</v>
          </cell>
        </row>
        <row r="40">
          <cell r="C40">
            <v>295.2</v>
          </cell>
        </row>
        <row r="41">
          <cell r="C41">
            <v>2139.36</v>
          </cell>
        </row>
        <row r="42">
          <cell r="C42">
            <v>97.14</v>
          </cell>
        </row>
        <row r="43">
          <cell r="C43">
            <v>324.72000000000003</v>
          </cell>
        </row>
        <row r="44">
          <cell r="C44">
            <v>0</v>
          </cell>
        </row>
        <row r="45">
          <cell r="C45">
            <v>119.32</v>
          </cell>
        </row>
        <row r="46">
          <cell r="C46">
            <v>0</v>
          </cell>
        </row>
        <row r="47">
          <cell r="C47">
            <v>3786.1</v>
          </cell>
        </row>
        <row r="48">
          <cell r="C48">
            <v>475.27</v>
          </cell>
        </row>
        <row r="49">
          <cell r="C49">
            <v>1005532.5099999998</v>
          </cell>
        </row>
        <row r="54">
          <cell r="C54">
            <v>-245.17</v>
          </cell>
        </row>
        <row r="55">
          <cell r="C55">
            <v>3530.48</v>
          </cell>
        </row>
        <row r="56">
          <cell r="C56">
            <v>0</v>
          </cell>
        </row>
        <row r="58">
          <cell r="C58">
            <v>2807.22</v>
          </cell>
        </row>
        <row r="60">
          <cell r="C60">
            <v>0</v>
          </cell>
        </row>
        <row r="61">
          <cell r="C61">
            <v>703.8</v>
          </cell>
        </row>
        <row r="63">
          <cell r="C63">
            <v>-1964.54</v>
          </cell>
        </row>
        <row r="64">
          <cell r="C64">
            <v>264.75</v>
          </cell>
        </row>
        <row r="66">
          <cell r="C66">
            <v>46.2</v>
          </cell>
        </row>
        <row r="67">
          <cell r="C67">
            <v>6.18</v>
          </cell>
        </row>
        <row r="68">
          <cell r="C68">
            <v>31.16</v>
          </cell>
        </row>
        <row r="69">
          <cell r="C69">
            <v>0</v>
          </cell>
        </row>
        <row r="70">
          <cell r="C70">
            <v>0</v>
          </cell>
        </row>
        <row r="72">
          <cell r="C72">
            <v>2453.9699999999998</v>
          </cell>
        </row>
        <row r="73">
          <cell r="C73">
            <v>0</v>
          </cell>
        </row>
        <row r="74">
          <cell r="C74">
            <v>0</v>
          </cell>
        </row>
        <row r="76">
          <cell r="C76">
            <v>7965.47</v>
          </cell>
        </row>
        <row r="77">
          <cell r="C77">
            <v>37.72</v>
          </cell>
        </row>
        <row r="78">
          <cell r="C78">
            <v>1693.37</v>
          </cell>
        </row>
        <row r="79">
          <cell r="C79">
            <v>0</v>
          </cell>
        </row>
        <row r="80">
          <cell r="C80">
            <v>293.16000000000003</v>
          </cell>
        </row>
        <row r="81">
          <cell r="C81">
            <v>42.63</v>
          </cell>
        </row>
        <row r="82">
          <cell r="C82">
            <v>221.52</v>
          </cell>
        </row>
        <row r="83">
          <cell r="C83">
            <v>56.13</v>
          </cell>
        </row>
        <row r="84">
          <cell r="C84">
            <v>0</v>
          </cell>
        </row>
        <row r="85">
          <cell r="C85">
            <v>32.78</v>
          </cell>
        </row>
        <row r="88">
          <cell r="C88">
            <v>27479.599999999999</v>
          </cell>
        </row>
        <row r="89">
          <cell r="C89">
            <v>0</v>
          </cell>
        </row>
        <row r="90">
          <cell r="C90">
            <v>5987.6</v>
          </cell>
        </row>
        <row r="91">
          <cell r="C91">
            <v>0</v>
          </cell>
        </row>
        <row r="92">
          <cell r="C92">
            <v>0</v>
          </cell>
        </row>
        <row r="93">
          <cell r="C93">
            <v>14860.13</v>
          </cell>
        </row>
        <row r="94">
          <cell r="C94">
            <v>1603.95</v>
          </cell>
        </row>
        <row r="95">
          <cell r="C95">
            <v>1132.2</v>
          </cell>
        </row>
        <row r="96">
          <cell r="C96">
            <v>6819.29</v>
          </cell>
        </row>
        <row r="97">
          <cell r="C97">
            <v>717.83</v>
          </cell>
        </row>
        <row r="98">
          <cell r="C98">
            <v>0</v>
          </cell>
        </row>
        <row r="99">
          <cell r="C99">
            <v>11115.94</v>
          </cell>
        </row>
        <row r="100">
          <cell r="C100">
            <v>15158.1</v>
          </cell>
        </row>
        <row r="101">
          <cell r="C101">
            <v>3031.6</v>
          </cell>
        </row>
        <row r="102">
          <cell r="C102">
            <v>0</v>
          </cell>
        </row>
        <row r="103">
          <cell r="C103">
            <v>453.05</v>
          </cell>
        </row>
        <row r="104">
          <cell r="C104">
            <v>73.14</v>
          </cell>
        </row>
        <row r="105">
          <cell r="C105">
            <v>1185.08</v>
          </cell>
        </row>
        <row r="107">
          <cell r="C107">
            <v>106.6</v>
          </cell>
        </row>
        <row r="108">
          <cell r="C108">
            <v>36.57</v>
          </cell>
        </row>
        <row r="109">
          <cell r="C109">
            <v>182.32</v>
          </cell>
        </row>
        <row r="110">
          <cell r="C110">
            <v>84.89</v>
          </cell>
        </row>
        <row r="111">
          <cell r="C111">
            <v>0</v>
          </cell>
        </row>
        <row r="116">
          <cell r="C116">
            <v>1957.46</v>
          </cell>
        </row>
        <row r="118">
          <cell r="C118">
            <v>4475.5199999999995</v>
          </cell>
        </row>
        <row r="119">
          <cell r="C119">
            <v>111.29</v>
          </cell>
        </row>
        <row r="120">
          <cell r="C120">
            <v>61.6</v>
          </cell>
        </row>
        <row r="122">
          <cell r="C122">
            <v>64.5</v>
          </cell>
        </row>
        <row r="123">
          <cell r="C123">
            <v>12.36</v>
          </cell>
        </row>
        <row r="124">
          <cell r="C124">
            <v>0</v>
          </cell>
        </row>
        <row r="125">
          <cell r="C125">
            <v>0</v>
          </cell>
        </row>
        <row r="126">
          <cell r="C126">
            <v>842.25</v>
          </cell>
        </row>
        <row r="127">
          <cell r="C127">
            <v>72.099999999999994</v>
          </cell>
        </row>
        <row r="129">
          <cell r="C129">
            <v>0</v>
          </cell>
        </row>
        <row r="131">
          <cell r="C131">
            <v>1240.3699999999999</v>
          </cell>
        </row>
        <row r="132">
          <cell r="C132">
            <v>965.01</v>
          </cell>
        </row>
        <row r="133">
          <cell r="C133">
            <v>253.95</v>
          </cell>
        </row>
        <row r="134">
          <cell r="C134">
            <v>0</v>
          </cell>
        </row>
        <row r="135">
          <cell r="C135">
            <v>0</v>
          </cell>
        </row>
        <row r="136">
          <cell r="C136">
            <v>0</v>
          </cell>
        </row>
        <row r="139">
          <cell r="C139">
            <v>0</v>
          </cell>
        </row>
        <row r="140">
          <cell r="C140">
            <v>878.1</v>
          </cell>
        </row>
        <row r="141">
          <cell r="C141">
            <v>0</v>
          </cell>
        </row>
        <row r="142">
          <cell r="C142">
            <v>5281.5</v>
          </cell>
        </row>
        <row r="143">
          <cell r="C143">
            <v>905.4</v>
          </cell>
        </row>
        <row r="144">
          <cell r="C144">
            <v>905.4</v>
          </cell>
        </row>
        <row r="145">
          <cell r="C145">
            <v>41286.6</v>
          </cell>
        </row>
        <row r="146">
          <cell r="C146">
            <v>12747.15</v>
          </cell>
        </row>
        <row r="147">
          <cell r="C147">
            <v>3328.42</v>
          </cell>
        </row>
        <row r="148">
          <cell r="C148">
            <v>1133.07</v>
          </cell>
        </row>
        <row r="149">
          <cell r="C149">
            <v>35746.31</v>
          </cell>
        </row>
        <row r="150">
          <cell r="C150">
            <v>39369.370000000003</v>
          </cell>
        </row>
        <row r="151">
          <cell r="C151">
            <v>17628.150000000001</v>
          </cell>
        </row>
        <row r="152">
          <cell r="C152">
            <v>7834.7</v>
          </cell>
        </row>
        <row r="153">
          <cell r="C153">
            <v>5876.04</v>
          </cell>
        </row>
        <row r="154">
          <cell r="C154">
            <v>320.64</v>
          </cell>
        </row>
        <row r="155">
          <cell r="C155">
            <v>0</v>
          </cell>
        </row>
        <row r="156">
          <cell r="C156">
            <v>580.52</v>
          </cell>
        </row>
        <row r="157">
          <cell r="C157">
            <v>922.07</v>
          </cell>
        </row>
        <row r="158">
          <cell r="C158">
            <v>1032.58</v>
          </cell>
        </row>
        <row r="159">
          <cell r="C159">
            <v>0</v>
          </cell>
        </row>
        <row r="160">
          <cell r="C160">
            <v>0</v>
          </cell>
        </row>
        <row r="161">
          <cell r="C161">
            <v>0</v>
          </cell>
        </row>
        <row r="162">
          <cell r="C162">
            <v>0</v>
          </cell>
        </row>
        <row r="163">
          <cell r="C163">
            <v>2632.9</v>
          </cell>
        </row>
        <row r="164">
          <cell r="C164">
            <v>0</v>
          </cell>
        </row>
        <row r="165">
          <cell r="C165">
            <v>0</v>
          </cell>
        </row>
        <row r="166">
          <cell r="C166">
            <v>0</v>
          </cell>
        </row>
        <row r="167">
          <cell r="C167">
            <v>0</v>
          </cell>
        </row>
        <row r="168">
          <cell r="C168">
            <v>0</v>
          </cell>
        </row>
        <row r="169">
          <cell r="C169">
            <v>244.47</v>
          </cell>
        </row>
        <row r="170">
          <cell r="C170">
            <v>0</v>
          </cell>
        </row>
        <row r="171">
          <cell r="C171">
            <v>0</v>
          </cell>
        </row>
        <row r="174">
          <cell r="C174">
            <v>25377.11</v>
          </cell>
        </row>
        <row r="175">
          <cell r="C175">
            <v>175.62</v>
          </cell>
        </row>
        <row r="176">
          <cell r="C176">
            <v>0</v>
          </cell>
        </row>
        <row r="177">
          <cell r="C177">
            <v>6577.27</v>
          </cell>
        </row>
        <row r="178">
          <cell r="C178">
            <v>969.92</v>
          </cell>
        </row>
        <row r="179">
          <cell r="C179">
            <v>43534.68</v>
          </cell>
        </row>
        <row r="180">
          <cell r="C180">
            <v>10449.83</v>
          </cell>
        </row>
        <row r="181">
          <cell r="C181">
            <v>2716.2</v>
          </cell>
        </row>
        <row r="182">
          <cell r="C182">
            <v>603.6</v>
          </cell>
        </row>
        <row r="183">
          <cell r="C183">
            <v>2263.5</v>
          </cell>
        </row>
        <row r="185">
          <cell r="C185">
            <v>111.4</v>
          </cell>
        </row>
        <row r="186">
          <cell r="C186">
            <v>180</v>
          </cell>
        </row>
        <row r="187">
          <cell r="C187">
            <v>1621.4</v>
          </cell>
        </row>
        <row r="189">
          <cell r="C189">
            <v>0</v>
          </cell>
        </row>
        <row r="190">
          <cell r="C190">
            <v>44.56</v>
          </cell>
        </row>
        <row r="191">
          <cell r="C191">
            <v>30</v>
          </cell>
        </row>
        <row r="192">
          <cell r="C192">
            <v>0</v>
          </cell>
        </row>
        <row r="193">
          <cell r="C193">
            <v>110.55</v>
          </cell>
        </row>
        <row r="194">
          <cell r="C194">
            <v>471.94</v>
          </cell>
        </row>
        <row r="195">
          <cell r="C195">
            <v>1830.63</v>
          </cell>
        </row>
        <row r="196">
          <cell r="C196">
            <v>393782.7300000001</v>
          </cell>
        </row>
        <row r="202">
          <cell r="C202">
            <v>2819.32</v>
          </cell>
        </row>
        <row r="203">
          <cell r="C203">
            <v>3636</v>
          </cell>
        </row>
        <row r="204">
          <cell r="C204">
            <v>10131.02</v>
          </cell>
        </row>
        <row r="205">
          <cell r="C205">
            <v>520</v>
          </cell>
        </row>
        <row r="206">
          <cell r="C206">
            <v>0</v>
          </cell>
        </row>
        <row r="209">
          <cell r="C209">
            <v>5905.8</v>
          </cell>
        </row>
        <row r="210">
          <cell r="C210">
            <v>8092</v>
          </cell>
        </row>
        <row r="211">
          <cell r="C211">
            <v>24564</v>
          </cell>
        </row>
        <row r="212">
          <cell r="C212">
            <v>2598.75</v>
          </cell>
        </row>
        <row r="213">
          <cell r="C213">
            <v>0</v>
          </cell>
        </row>
        <row r="216">
          <cell r="C216">
            <v>2094.87</v>
          </cell>
        </row>
        <row r="217">
          <cell r="C217">
            <v>1305.46</v>
          </cell>
        </row>
        <row r="218">
          <cell r="C218">
            <v>4044.78</v>
          </cell>
        </row>
        <row r="219">
          <cell r="C219">
            <v>186</v>
          </cell>
        </row>
        <row r="222">
          <cell r="C222">
            <v>2591.25</v>
          </cell>
        </row>
        <row r="223">
          <cell r="C223">
            <v>1438.45</v>
          </cell>
        </row>
        <row r="224">
          <cell r="C224">
            <v>7462.4</v>
          </cell>
        </row>
        <row r="225">
          <cell r="C225">
            <v>0</v>
          </cell>
        </row>
        <row r="228">
          <cell r="C228">
            <v>0</v>
          </cell>
        </row>
        <row r="229">
          <cell r="C229">
            <v>173.7</v>
          </cell>
        </row>
        <row r="230">
          <cell r="C230">
            <v>0</v>
          </cell>
        </row>
        <row r="231">
          <cell r="C231">
            <v>0</v>
          </cell>
        </row>
        <row r="232">
          <cell r="C232">
            <v>0</v>
          </cell>
        </row>
        <row r="235">
          <cell r="C235">
            <v>0</v>
          </cell>
        </row>
        <row r="236">
          <cell r="C236">
            <v>258.2</v>
          </cell>
        </row>
        <row r="237">
          <cell r="C237">
            <v>2582</v>
          </cell>
        </row>
        <row r="238">
          <cell r="C238">
            <v>6159.4</v>
          </cell>
        </row>
        <row r="239">
          <cell r="C239">
            <v>10096.200000000001</v>
          </cell>
        </row>
        <row r="240">
          <cell r="C240">
            <v>294</v>
          </cell>
        </row>
        <row r="241">
          <cell r="C241">
            <v>4739.8999999999996</v>
          </cell>
        </row>
        <row r="244">
          <cell r="C244">
            <v>5251</v>
          </cell>
        </row>
        <row r="245">
          <cell r="C245">
            <v>41908.199999999997</v>
          </cell>
        </row>
        <row r="246">
          <cell r="C246">
            <v>1106.95</v>
          </cell>
        </row>
        <row r="247">
          <cell r="C247">
            <v>3220</v>
          </cell>
        </row>
        <row r="248">
          <cell r="C248">
            <v>1389</v>
          </cell>
        </row>
        <row r="249">
          <cell r="C249">
            <v>387</v>
          </cell>
        </row>
        <row r="250">
          <cell r="C250">
            <v>178</v>
          </cell>
        </row>
        <row r="251">
          <cell r="C251">
            <v>0</v>
          </cell>
        </row>
        <row r="252">
          <cell r="C252">
            <v>293682.21999999997</v>
          </cell>
        </row>
        <row r="254">
          <cell r="C254">
            <v>0</v>
          </cell>
        </row>
        <row r="255">
          <cell r="C255">
            <v>0</v>
          </cell>
        </row>
        <row r="258">
          <cell r="C258">
            <v>10815.3</v>
          </cell>
        </row>
        <row r="259">
          <cell r="C259">
            <v>15574.14</v>
          </cell>
        </row>
        <row r="260">
          <cell r="C260">
            <v>-482.64999999999992</v>
          </cell>
        </row>
        <row r="262">
          <cell r="C262">
            <v>0</v>
          </cell>
        </row>
        <row r="263">
          <cell r="C263">
            <v>0</v>
          </cell>
        </row>
        <row r="267">
          <cell r="C267">
            <v>1747.67</v>
          </cell>
        </row>
        <row r="268">
          <cell r="C268">
            <v>248.6</v>
          </cell>
        </row>
        <row r="269">
          <cell r="C269">
            <v>7557.44</v>
          </cell>
        </row>
        <row r="270">
          <cell r="C270">
            <v>403.7</v>
          </cell>
        </row>
        <row r="271">
          <cell r="C271">
            <v>1903.44</v>
          </cell>
        </row>
        <row r="272">
          <cell r="C272">
            <v>341.28</v>
          </cell>
        </row>
        <row r="273">
          <cell r="C273">
            <v>-688.94</v>
          </cell>
        </row>
        <row r="274">
          <cell r="C274">
            <v>1966.5</v>
          </cell>
        </row>
        <row r="276">
          <cell r="C276">
            <v>1170.18</v>
          </cell>
        </row>
        <row r="278">
          <cell r="C278">
            <v>0</v>
          </cell>
        </row>
        <row r="280">
          <cell r="C280">
            <v>489372.52999999991</v>
          </cell>
        </row>
        <row r="284">
          <cell r="C284">
            <v>503.8</v>
          </cell>
        </row>
        <row r="285">
          <cell r="C285">
            <v>4583.6000000000004</v>
          </cell>
        </row>
        <row r="286">
          <cell r="C286">
            <v>3595.9</v>
          </cell>
        </row>
        <row r="293">
          <cell r="C293">
            <v>2788.07</v>
          </cell>
        </row>
        <row r="294">
          <cell r="C294">
            <v>100</v>
          </cell>
        </row>
      </sheetData>
      <sheetData sheetId="8">
        <row r="6">
          <cell r="C6">
            <v>-16512.84</v>
          </cell>
        </row>
        <row r="7">
          <cell r="C7">
            <v>234119.61</v>
          </cell>
        </row>
        <row r="8">
          <cell r="C8">
            <v>5147.78</v>
          </cell>
        </row>
        <row r="10">
          <cell r="C10">
            <v>1823.1</v>
          </cell>
        </row>
        <row r="12">
          <cell r="C12">
            <v>32045.06</v>
          </cell>
        </row>
        <row r="13">
          <cell r="C13">
            <v>155.65</v>
          </cell>
        </row>
        <row r="14">
          <cell r="C14">
            <v>742.83</v>
          </cell>
        </row>
        <row r="15">
          <cell r="C15">
            <v>126.65</v>
          </cell>
        </row>
        <row r="16">
          <cell r="C16">
            <v>4.62</v>
          </cell>
        </row>
        <row r="17">
          <cell r="C17">
            <v>0</v>
          </cell>
        </row>
        <row r="18">
          <cell r="C18">
            <v>4.62</v>
          </cell>
        </row>
        <row r="19">
          <cell r="C19">
            <v>68.22</v>
          </cell>
        </row>
        <row r="21">
          <cell r="C21">
            <v>2478.4499999999998</v>
          </cell>
        </row>
        <row r="22">
          <cell r="C22">
            <v>145.04</v>
          </cell>
        </row>
        <row r="23">
          <cell r="C23">
            <v>48.89</v>
          </cell>
        </row>
        <row r="24">
          <cell r="C24">
            <v>299.87</v>
          </cell>
        </row>
        <row r="25">
          <cell r="C25">
            <v>0</v>
          </cell>
        </row>
        <row r="26">
          <cell r="C26">
            <v>45.4</v>
          </cell>
        </row>
        <row r="27">
          <cell r="C27">
            <v>0</v>
          </cell>
        </row>
        <row r="28">
          <cell r="C28">
            <v>131846.42000000001</v>
          </cell>
        </row>
        <row r="29">
          <cell r="C29">
            <v>135.38</v>
          </cell>
        </row>
        <row r="30">
          <cell r="C30">
            <v>88.2</v>
          </cell>
        </row>
        <row r="32">
          <cell r="C32">
            <v>12013.24</v>
          </cell>
        </row>
        <row r="33">
          <cell r="C33">
            <v>171.6</v>
          </cell>
        </row>
        <row r="34">
          <cell r="C34">
            <v>4717.3999999999996</v>
          </cell>
        </row>
        <row r="35">
          <cell r="C35">
            <v>393375.92</v>
          </cell>
        </row>
        <row r="36">
          <cell r="C36">
            <v>6444.87</v>
          </cell>
        </row>
        <row r="37">
          <cell r="C37">
            <v>182196.69</v>
          </cell>
        </row>
        <row r="38">
          <cell r="C38">
            <v>3468.94</v>
          </cell>
        </row>
        <row r="39">
          <cell r="C39">
            <v>12692.58</v>
          </cell>
        </row>
        <row r="40">
          <cell r="C40">
            <v>73.8</v>
          </cell>
        </row>
        <row r="41">
          <cell r="C41">
            <v>1827.37</v>
          </cell>
        </row>
        <row r="42">
          <cell r="C42">
            <v>0</v>
          </cell>
        </row>
        <row r="43">
          <cell r="C43">
            <v>148.83000000000001</v>
          </cell>
        </row>
        <row r="44">
          <cell r="C44">
            <v>0</v>
          </cell>
        </row>
        <row r="45">
          <cell r="C45">
            <v>343.05</v>
          </cell>
        </row>
        <row r="46">
          <cell r="C46">
            <v>0</v>
          </cell>
        </row>
        <row r="47">
          <cell r="C47">
            <v>3383.74</v>
          </cell>
        </row>
        <row r="48">
          <cell r="C48">
            <v>262.22000000000003</v>
          </cell>
        </row>
        <row r="49">
          <cell r="C49">
            <v>1013933.1999999998</v>
          </cell>
        </row>
        <row r="54">
          <cell r="C54">
            <v>-240.85</v>
          </cell>
        </row>
        <row r="55">
          <cell r="C55">
            <v>3479</v>
          </cell>
        </row>
        <row r="56">
          <cell r="C56">
            <v>0</v>
          </cell>
        </row>
        <row r="58">
          <cell r="C58">
            <v>2033.93</v>
          </cell>
        </row>
        <row r="60">
          <cell r="C60">
            <v>404.82</v>
          </cell>
        </row>
        <row r="61">
          <cell r="C61">
            <v>938.40000000000009</v>
          </cell>
        </row>
        <row r="63">
          <cell r="C63">
            <v>-1956.66</v>
          </cell>
        </row>
        <row r="64">
          <cell r="C64">
            <v>264.75</v>
          </cell>
        </row>
        <row r="66">
          <cell r="C66">
            <v>50.64</v>
          </cell>
        </row>
        <row r="67">
          <cell r="C67">
            <v>6.18</v>
          </cell>
        </row>
        <row r="68">
          <cell r="C68">
            <v>31.16</v>
          </cell>
        </row>
        <row r="69">
          <cell r="C69">
            <v>0</v>
          </cell>
        </row>
        <row r="70">
          <cell r="C70">
            <v>0</v>
          </cell>
        </row>
        <row r="72">
          <cell r="C72">
            <v>2408.2600000000002</v>
          </cell>
        </row>
        <row r="73">
          <cell r="C73">
            <v>0</v>
          </cell>
        </row>
        <row r="74">
          <cell r="C74">
            <v>0</v>
          </cell>
        </row>
        <row r="76">
          <cell r="C76">
            <v>7834.14</v>
          </cell>
        </row>
        <row r="77">
          <cell r="C77">
            <v>37.72</v>
          </cell>
        </row>
        <row r="78">
          <cell r="C78">
            <v>1679.14</v>
          </cell>
        </row>
        <row r="79">
          <cell r="C79">
            <v>0</v>
          </cell>
        </row>
        <row r="80">
          <cell r="C80">
            <v>293.16000000000003</v>
          </cell>
        </row>
        <row r="81">
          <cell r="C81">
            <v>42.63</v>
          </cell>
        </row>
        <row r="82">
          <cell r="C82">
            <v>221.52</v>
          </cell>
        </row>
        <row r="83">
          <cell r="C83">
            <v>56.13</v>
          </cell>
        </row>
        <row r="84">
          <cell r="C84">
            <v>0</v>
          </cell>
        </row>
        <row r="85">
          <cell r="C85">
            <v>32.78</v>
          </cell>
        </row>
        <row r="88">
          <cell r="C88">
            <v>27506.29</v>
          </cell>
        </row>
        <row r="89">
          <cell r="C89">
            <v>0</v>
          </cell>
        </row>
        <row r="90">
          <cell r="C90">
            <v>5987.6</v>
          </cell>
        </row>
        <row r="91">
          <cell r="C91">
            <v>0</v>
          </cell>
        </row>
        <row r="92">
          <cell r="C92">
            <v>0</v>
          </cell>
        </row>
        <row r="93">
          <cell r="C93">
            <v>14765.79</v>
          </cell>
        </row>
        <row r="94">
          <cell r="C94">
            <v>1509.6</v>
          </cell>
        </row>
        <row r="95">
          <cell r="C95">
            <v>1132.2</v>
          </cell>
        </row>
        <row r="96">
          <cell r="C96">
            <v>7178.2</v>
          </cell>
        </row>
        <row r="97">
          <cell r="C97">
            <v>717.83</v>
          </cell>
        </row>
        <row r="98">
          <cell r="C98">
            <v>0</v>
          </cell>
        </row>
        <row r="99">
          <cell r="C99">
            <v>10610.67</v>
          </cell>
        </row>
        <row r="100">
          <cell r="C100">
            <v>15158.1</v>
          </cell>
        </row>
        <row r="101">
          <cell r="C101">
            <v>3031.6</v>
          </cell>
        </row>
        <row r="102">
          <cell r="C102">
            <v>0</v>
          </cell>
        </row>
        <row r="103">
          <cell r="C103">
            <v>133.25</v>
          </cell>
        </row>
        <row r="104">
          <cell r="C104">
            <v>0</v>
          </cell>
        </row>
        <row r="105">
          <cell r="C105">
            <v>1504.14</v>
          </cell>
        </row>
        <row r="107">
          <cell r="C107">
            <v>79.95</v>
          </cell>
        </row>
        <row r="108">
          <cell r="C108">
            <v>0</v>
          </cell>
        </row>
        <row r="109">
          <cell r="C109">
            <v>91.16</v>
          </cell>
        </row>
        <row r="110">
          <cell r="C110">
            <v>84.89</v>
          </cell>
        </row>
        <row r="111">
          <cell r="C111">
            <v>0</v>
          </cell>
        </row>
        <row r="116">
          <cell r="C116">
            <v>913.00000000000011</v>
          </cell>
        </row>
        <row r="118">
          <cell r="C118">
            <v>3193.58</v>
          </cell>
        </row>
        <row r="119">
          <cell r="C119">
            <v>111.29</v>
          </cell>
        </row>
        <row r="120">
          <cell r="C120">
            <v>46.2</v>
          </cell>
        </row>
        <row r="122">
          <cell r="C122">
            <v>60.06</v>
          </cell>
        </row>
        <row r="123">
          <cell r="C123">
            <v>12.36</v>
          </cell>
        </row>
        <row r="124">
          <cell r="C124">
            <v>0</v>
          </cell>
        </row>
        <row r="125">
          <cell r="C125">
            <v>8.25</v>
          </cell>
        </row>
        <row r="126">
          <cell r="C126">
            <v>351</v>
          </cell>
        </row>
        <row r="127">
          <cell r="C127">
            <v>72.099999999999994</v>
          </cell>
        </row>
        <row r="129">
          <cell r="C129">
            <v>0</v>
          </cell>
        </row>
        <row r="131">
          <cell r="C131">
            <v>1244.75</v>
          </cell>
        </row>
        <row r="132">
          <cell r="C132">
            <v>981.95</v>
          </cell>
        </row>
        <row r="133">
          <cell r="C133">
            <v>253.95</v>
          </cell>
        </row>
        <row r="134">
          <cell r="C134">
            <v>0</v>
          </cell>
        </row>
        <row r="135">
          <cell r="C135">
            <v>0</v>
          </cell>
        </row>
        <row r="136">
          <cell r="C136">
            <v>0</v>
          </cell>
        </row>
        <row r="139">
          <cell r="C139">
            <v>812.24</v>
          </cell>
        </row>
        <row r="140">
          <cell r="C140">
            <v>242.48</v>
          </cell>
        </row>
        <row r="141">
          <cell r="C141">
            <v>0</v>
          </cell>
        </row>
        <row r="142">
          <cell r="C142">
            <v>5658.76</v>
          </cell>
        </row>
        <row r="143">
          <cell r="C143">
            <v>1018.58</v>
          </cell>
        </row>
        <row r="144">
          <cell r="C144">
            <v>905.4</v>
          </cell>
        </row>
        <row r="145">
          <cell r="C145">
            <v>40224.36</v>
          </cell>
        </row>
        <row r="146">
          <cell r="C146">
            <v>12605.52</v>
          </cell>
        </row>
        <row r="147">
          <cell r="C147">
            <v>2832.7</v>
          </cell>
        </row>
        <row r="148">
          <cell r="C148">
            <v>1133.07</v>
          </cell>
        </row>
        <row r="149">
          <cell r="C149">
            <v>35060.730000000003</v>
          </cell>
        </row>
        <row r="150">
          <cell r="C150">
            <v>49358.61</v>
          </cell>
        </row>
        <row r="151">
          <cell r="C151">
            <v>15277.73</v>
          </cell>
        </row>
        <row r="152">
          <cell r="C152">
            <v>6267.76</v>
          </cell>
        </row>
        <row r="153">
          <cell r="C153">
            <v>5876.04</v>
          </cell>
        </row>
        <row r="154">
          <cell r="C154">
            <v>320.64</v>
          </cell>
        </row>
        <row r="155">
          <cell r="C155">
            <v>0</v>
          </cell>
        </row>
        <row r="156">
          <cell r="C156">
            <v>580.52</v>
          </cell>
        </row>
        <row r="157">
          <cell r="C157">
            <v>922.07</v>
          </cell>
        </row>
        <row r="158">
          <cell r="C158">
            <v>1032.58</v>
          </cell>
        </row>
        <row r="159">
          <cell r="C159">
            <v>0</v>
          </cell>
        </row>
        <row r="160">
          <cell r="C160">
            <v>0</v>
          </cell>
        </row>
        <row r="161">
          <cell r="C161">
            <v>0</v>
          </cell>
        </row>
        <row r="162">
          <cell r="C162">
            <v>0</v>
          </cell>
        </row>
        <row r="163">
          <cell r="C163">
            <v>2632.9</v>
          </cell>
        </row>
        <row r="164">
          <cell r="C164">
            <v>0</v>
          </cell>
        </row>
        <row r="165">
          <cell r="C165">
            <v>0</v>
          </cell>
        </row>
        <row r="166">
          <cell r="C166">
            <v>0</v>
          </cell>
        </row>
        <row r="167">
          <cell r="C167">
            <v>0</v>
          </cell>
        </row>
        <row r="168">
          <cell r="C168">
            <v>0</v>
          </cell>
        </row>
        <row r="169">
          <cell r="C169">
            <v>488.94</v>
          </cell>
        </row>
        <row r="170">
          <cell r="C170">
            <v>0</v>
          </cell>
        </row>
        <row r="171">
          <cell r="C171">
            <v>0</v>
          </cell>
        </row>
        <row r="174">
          <cell r="C174">
            <v>25442.959999999999</v>
          </cell>
        </row>
        <row r="175">
          <cell r="C175">
            <v>175.62</v>
          </cell>
        </row>
        <row r="176">
          <cell r="C176">
            <v>0</v>
          </cell>
        </row>
        <row r="177">
          <cell r="C177">
            <v>6365.1</v>
          </cell>
        </row>
        <row r="178">
          <cell r="C178">
            <v>969.92</v>
          </cell>
        </row>
        <row r="179">
          <cell r="C179">
            <v>43836.46</v>
          </cell>
        </row>
        <row r="180">
          <cell r="C180">
            <v>9997.1299999999992</v>
          </cell>
        </row>
        <row r="181">
          <cell r="C181">
            <v>2716.2</v>
          </cell>
        </row>
        <row r="182">
          <cell r="C182">
            <v>603.6</v>
          </cell>
        </row>
        <row r="183">
          <cell r="C183">
            <v>2263.5</v>
          </cell>
        </row>
        <row r="185">
          <cell r="C185">
            <v>155.96</v>
          </cell>
        </row>
        <row r="186">
          <cell r="C186">
            <v>150</v>
          </cell>
        </row>
        <row r="187">
          <cell r="C187">
            <v>1700.01</v>
          </cell>
        </row>
        <row r="189">
          <cell r="C189">
            <v>0</v>
          </cell>
        </row>
        <row r="190">
          <cell r="C190">
            <v>0</v>
          </cell>
        </row>
        <row r="191">
          <cell r="C191">
            <v>0</v>
          </cell>
        </row>
        <row r="192">
          <cell r="C192">
            <v>36.85</v>
          </cell>
        </row>
        <row r="193">
          <cell r="C193">
            <v>368.5</v>
          </cell>
        </row>
        <row r="194">
          <cell r="C194">
            <v>269.68</v>
          </cell>
        </row>
        <row r="195">
          <cell r="C195">
            <v>1599.35</v>
          </cell>
        </row>
        <row r="196">
          <cell r="C196">
            <v>394259.08</v>
          </cell>
        </row>
        <row r="202">
          <cell r="C202">
            <v>2058.46</v>
          </cell>
        </row>
        <row r="203">
          <cell r="C203">
            <v>3720</v>
          </cell>
        </row>
        <row r="204">
          <cell r="C204">
            <v>9775</v>
          </cell>
        </row>
        <row r="205">
          <cell r="C205">
            <v>520</v>
          </cell>
        </row>
        <row r="206">
          <cell r="C206">
            <v>0</v>
          </cell>
        </row>
        <row r="209">
          <cell r="C209">
            <v>5645.25</v>
          </cell>
        </row>
        <row r="210">
          <cell r="C210">
            <v>8948.7999999999993</v>
          </cell>
        </row>
        <row r="211">
          <cell r="C211">
            <v>24359.3</v>
          </cell>
        </row>
        <row r="212">
          <cell r="C212">
            <v>2227.5</v>
          </cell>
        </row>
        <row r="213">
          <cell r="C213">
            <v>0</v>
          </cell>
        </row>
        <row r="216">
          <cell r="C216">
            <v>2068</v>
          </cell>
        </row>
        <row r="217">
          <cell r="C217">
            <v>1274</v>
          </cell>
        </row>
        <row r="218">
          <cell r="C218">
            <v>3932.16</v>
          </cell>
        </row>
        <row r="219">
          <cell r="C219">
            <v>93</v>
          </cell>
        </row>
        <row r="222">
          <cell r="C222">
            <v>2902.2</v>
          </cell>
        </row>
        <row r="223">
          <cell r="C223">
            <v>1327.8</v>
          </cell>
        </row>
        <row r="224">
          <cell r="C224">
            <v>6179.8</v>
          </cell>
        </row>
        <row r="225">
          <cell r="C225">
            <v>0</v>
          </cell>
        </row>
        <row r="228">
          <cell r="C228">
            <v>0</v>
          </cell>
        </row>
        <row r="229">
          <cell r="C229">
            <v>0</v>
          </cell>
        </row>
        <row r="230">
          <cell r="C230">
            <v>0</v>
          </cell>
        </row>
        <row r="231">
          <cell r="C231">
            <v>0</v>
          </cell>
        </row>
        <row r="232">
          <cell r="C232">
            <v>0</v>
          </cell>
        </row>
        <row r="235">
          <cell r="C235">
            <v>0</v>
          </cell>
        </row>
        <row r="236">
          <cell r="C236">
            <v>258.2</v>
          </cell>
        </row>
        <row r="237">
          <cell r="C237">
            <v>2711.1</v>
          </cell>
        </row>
        <row r="238">
          <cell r="C238">
            <v>6293.3</v>
          </cell>
        </row>
        <row r="239">
          <cell r="C239">
            <v>8816.4</v>
          </cell>
        </row>
        <row r="240">
          <cell r="C240">
            <v>441</v>
          </cell>
        </row>
        <row r="241">
          <cell r="C241">
            <v>5045.7</v>
          </cell>
        </row>
        <row r="244">
          <cell r="C244">
            <v>5696</v>
          </cell>
        </row>
        <row r="245">
          <cell r="C245">
            <v>35692.800000000003</v>
          </cell>
        </row>
        <row r="246">
          <cell r="C246">
            <v>1080.75</v>
          </cell>
        </row>
        <row r="247">
          <cell r="C247">
            <v>2920</v>
          </cell>
        </row>
        <row r="248">
          <cell r="C248">
            <v>742</v>
          </cell>
        </row>
        <row r="249">
          <cell r="C249">
            <v>473</v>
          </cell>
        </row>
        <row r="250">
          <cell r="C250">
            <v>0</v>
          </cell>
        </row>
        <row r="251">
          <cell r="C251">
            <v>0</v>
          </cell>
        </row>
        <row r="252">
          <cell r="C252">
            <v>292382.39</v>
          </cell>
        </row>
        <row r="254">
          <cell r="C254">
            <v>0</v>
          </cell>
        </row>
        <row r="255">
          <cell r="C255">
            <v>0</v>
          </cell>
        </row>
        <row r="258">
          <cell r="C258">
            <v>10815.3</v>
          </cell>
        </row>
        <row r="259">
          <cell r="C259">
            <v>12598.36</v>
          </cell>
        </row>
        <row r="260">
          <cell r="C260">
            <v>-482.64999999999992</v>
          </cell>
        </row>
        <row r="262">
          <cell r="C262">
            <v>0</v>
          </cell>
        </row>
        <row r="263">
          <cell r="C263">
            <v>0</v>
          </cell>
        </row>
        <row r="267">
          <cell r="C267">
            <v>1747.67</v>
          </cell>
        </row>
        <row r="268">
          <cell r="C268">
            <v>248.6</v>
          </cell>
        </row>
        <row r="269">
          <cell r="C269">
            <v>7557.44</v>
          </cell>
        </row>
        <row r="270">
          <cell r="C270">
            <v>403.7</v>
          </cell>
        </row>
        <row r="271">
          <cell r="C271">
            <v>1903.44</v>
          </cell>
        </row>
        <row r="272">
          <cell r="C272">
            <v>341.28</v>
          </cell>
        </row>
        <row r="273">
          <cell r="C273">
            <v>-688.94</v>
          </cell>
        </row>
        <row r="274">
          <cell r="C274">
            <v>1966.5</v>
          </cell>
        </row>
        <row r="276">
          <cell r="C276">
            <v>1170.18</v>
          </cell>
        </row>
        <row r="278">
          <cell r="C278">
            <v>0</v>
          </cell>
        </row>
        <row r="280">
          <cell r="C280">
            <v>475164.79</v>
          </cell>
        </row>
        <row r="284">
          <cell r="C284">
            <v>1287</v>
          </cell>
        </row>
        <row r="285">
          <cell r="C285">
            <v>4561</v>
          </cell>
        </row>
        <row r="286">
          <cell r="C286">
            <v>3577.7</v>
          </cell>
        </row>
        <row r="293">
          <cell r="C293">
            <v>2298.1299999999997</v>
          </cell>
        </row>
        <row r="294">
          <cell r="C294">
            <v>80</v>
          </cell>
        </row>
      </sheetData>
      <sheetData sheetId="9">
        <row r="6">
          <cell r="C6">
            <v>-16092.89</v>
          </cell>
        </row>
        <row r="7">
          <cell r="C7">
            <v>228679.61</v>
          </cell>
        </row>
        <row r="8">
          <cell r="C8">
            <v>4977.1000000000004</v>
          </cell>
        </row>
        <row r="10">
          <cell r="C10">
            <v>2029.1</v>
          </cell>
        </row>
        <row r="12">
          <cell r="C12">
            <v>30783.879999999997</v>
          </cell>
        </row>
        <row r="13">
          <cell r="C13">
            <v>222.75</v>
          </cell>
        </row>
        <row r="14">
          <cell r="C14">
            <v>780.67</v>
          </cell>
        </row>
        <row r="15">
          <cell r="C15">
            <v>204.68</v>
          </cell>
        </row>
        <row r="16">
          <cell r="C16">
            <v>1.54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0</v>
          </cell>
        </row>
        <row r="21">
          <cell r="C21">
            <v>2377.1799999999998</v>
          </cell>
        </row>
        <row r="22">
          <cell r="C22">
            <v>227.92</v>
          </cell>
        </row>
        <row r="23">
          <cell r="C23">
            <v>24.86</v>
          </cell>
        </row>
        <row r="24">
          <cell r="C24">
            <v>344.94</v>
          </cell>
        </row>
        <row r="25">
          <cell r="C25">
            <v>0</v>
          </cell>
        </row>
        <row r="26">
          <cell r="C26">
            <v>36.32</v>
          </cell>
        </row>
        <row r="27">
          <cell r="C27">
            <v>58</v>
          </cell>
        </row>
        <row r="28">
          <cell r="C28">
            <v>128252.04</v>
          </cell>
        </row>
        <row r="29">
          <cell r="C29">
            <v>251.42</v>
          </cell>
        </row>
        <row r="30">
          <cell r="C30">
            <v>33.6</v>
          </cell>
        </row>
        <row r="32">
          <cell r="C32">
            <v>11008.15</v>
          </cell>
        </row>
        <row r="33">
          <cell r="C33">
            <v>168.03</v>
          </cell>
        </row>
        <row r="34">
          <cell r="C34">
            <v>5036.63</v>
          </cell>
        </row>
        <row r="35">
          <cell r="C35">
            <v>378463.14</v>
          </cell>
        </row>
        <row r="36">
          <cell r="C36">
            <v>6647.13</v>
          </cell>
        </row>
        <row r="37">
          <cell r="C37">
            <v>183316.52</v>
          </cell>
        </row>
        <row r="38">
          <cell r="C38">
            <v>3845.56</v>
          </cell>
        </row>
        <row r="39">
          <cell r="C39">
            <v>13127.77</v>
          </cell>
        </row>
        <row r="40">
          <cell r="C40">
            <v>295.2</v>
          </cell>
        </row>
        <row r="41">
          <cell r="C41">
            <v>2027.94</v>
          </cell>
        </row>
        <row r="42">
          <cell r="C42">
            <v>97.14</v>
          </cell>
        </row>
        <row r="43">
          <cell r="C43">
            <v>202.95</v>
          </cell>
        </row>
        <row r="44">
          <cell r="C44">
            <v>0</v>
          </cell>
        </row>
        <row r="45">
          <cell r="C45">
            <v>119.32</v>
          </cell>
        </row>
        <row r="46">
          <cell r="C46">
            <v>0</v>
          </cell>
        </row>
        <row r="47">
          <cell r="C47">
            <v>4302.3999999999996</v>
          </cell>
        </row>
        <row r="48">
          <cell r="C48">
            <v>655.55</v>
          </cell>
        </row>
        <row r="49">
          <cell r="C49">
            <v>992506.15</v>
          </cell>
        </row>
        <row r="54">
          <cell r="C54">
            <v>-240.96</v>
          </cell>
        </row>
        <row r="55">
          <cell r="C55">
            <v>3479.01</v>
          </cell>
        </row>
        <row r="56">
          <cell r="C56">
            <v>0</v>
          </cell>
        </row>
        <row r="58">
          <cell r="C58">
            <v>2164.7600000000002</v>
          </cell>
        </row>
        <row r="60">
          <cell r="C60">
            <v>674.7</v>
          </cell>
        </row>
        <row r="61">
          <cell r="C61">
            <v>782</v>
          </cell>
        </row>
        <row r="63">
          <cell r="C63">
            <v>-1953.8400000000001</v>
          </cell>
        </row>
        <row r="64">
          <cell r="C64">
            <v>265.5</v>
          </cell>
        </row>
        <row r="66">
          <cell r="C66">
            <v>50.64</v>
          </cell>
        </row>
        <row r="67">
          <cell r="C67">
            <v>6.18</v>
          </cell>
        </row>
        <row r="68">
          <cell r="C68">
            <v>31.16</v>
          </cell>
        </row>
        <row r="69">
          <cell r="C69">
            <v>0</v>
          </cell>
        </row>
        <row r="70">
          <cell r="C70">
            <v>0</v>
          </cell>
        </row>
        <row r="72">
          <cell r="C72">
            <v>2341.33</v>
          </cell>
        </row>
        <row r="73">
          <cell r="C73">
            <v>0</v>
          </cell>
        </row>
        <row r="74">
          <cell r="C74">
            <v>0</v>
          </cell>
        </row>
        <row r="76">
          <cell r="C76">
            <v>7834.13</v>
          </cell>
        </row>
        <row r="77">
          <cell r="C77">
            <v>37.72</v>
          </cell>
        </row>
        <row r="78">
          <cell r="C78">
            <v>1679.14</v>
          </cell>
        </row>
        <row r="79">
          <cell r="C79">
            <v>0</v>
          </cell>
        </row>
        <row r="80">
          <cell r="C80">
            <v>293.16000000000003</v>
          </cell>
        </row>
        <row r="81">
          <cell r="C81">
            <v>42.63</v>
          </cell>
        </row>
        <row r="82">
          <cell r="C82">
            <v>221.52</v>
          </cell>
        </row>
        <row r="83">
          <cell r="C83">
            <v>56.13</v>
          </cell>
        </row>
        <row r="84">
          <cell r="C84">
            <v>0</v>
          </cell>
        </row>
        <row r="85">
          <cell r="C85">
            <v>32.78</v>
          </cell>
        </row>
        <row r="88">
          <cell r="C88">
            <v>27452.92</v>
          </cell>
        </row>
        <row r="89">
          <cell r="C89">
            <v>0</v>
          </cell>
        </row>
        <row r="90">
          <cell r="C90">
            <v>5950.18</v>
          </cell>
        </row>
        <row r="91">
          <cell r="C91">
            <v>0</v>
          </cell>
        </row>
        <row r="92">
          <cell r="C92">
            <v>0</v>
          </cell>
        </row>
        <row r="93">
          <cell r="C93">
            <v>14860.14</v>
          </cell>
        </row>
        <row r="94">
          <cell r="C94">
            <v>1509.6</v>
          </cell>
        </row>
        <row r="95">
          <cell r="C95">
            <v>1132.2</v>
          </cell>
        </row>
        <row r="96">
          <cell r="C96">
            <v>7088.47</v>
          </cell>
        </row>
        <row r="97">
          <cell r="C97">
            <v>717.83</v>
          </cell>
        </row>
        <row r="98">
          <cell r="C98">
            <v>0</v>
          </cell>
        </row>
        <row r="99">
          <cell r="C99">
            <v>10863.31</v>
          </cell>
        </row>
        <row r="100">
          <cell r="C100">
            <v>14652.84</v>
          </cell>
        </row>
        <row r="101">
          <cell r="C101">
            <v>3031.6</v>
          </cell>
        </row>
        <row r="102">
          <cell r="C102">
            <v>0</v>
          </cell>
        </row>
        <row r="103">
          <cell r="C103">
            <v>133.25</v>
          </cell>
        </row>
        <row r="104">
          <cell r="C104">
            <v>0</v>
          </cell>
        </row>
        <row r="105">
          <cell r="C105">
            <v>1230.6599999999999</v>
          </cell>
        </row>
        <row r="107">
          <cell r="C107">
            <v>53.3</v>
          </cell>
        </row>
        <row r="108">
          <cell r="C108">
            <v>0</v>
          </cell>
        </row>
        <row r="109">
          <cell r="C109">
            <v>0</v>
          </cell>
        </row>
        <row r="110">
          <cell r="C110">
            <v>0</v>
          </cell>
        </row>
        <row r="111">
          <cell r="C111">
            <v>118.69</v>
          </cell>
        </row>
        <row r="116">
          <cell r="C116">
            <v>974.77</v>
          </cell>
        </row>
        <row r="118">
          <cell r="C118">
            <v>1799.2</v>
          </cell>
        </row>
        <row r="119">
          <cell r="C119">
            <v>111.29</v>
          </cell>
        </row>
        <row r="120">
          <cell r="C120">
            <v>123.2</v>
          </cell>
        </row>
        <row r="122">
          <cell r="C122">
            <v>53.13</v>
          </cell>
        </row>
        <row r="123">
          <cell r="C123">
            <v>14.42</v>
          </cell>
        </row>
        <row r="124">
          <cell r="C124">
            <v>0</v>
          </cell>
        </row>
        <row r="125">
          <cell r="C125">
            <v>0</v>
          </cell>
        </row>
        <row r="126">
          <cell r="C126">
            <v>2837.25</v>
          </cell>
        </row>
        <row r="127">
          <cell r="C127">
            <v>51.5</v>
          </cell>
        </row>
        <row r="129">
          <cell r="C129">
            <v>0</v>
          </cell>
        </row>
        <row r="131">
          <cell r="C131">
            <v>1222.9000000000001</v>
          </cell>
        </row>
        <row r="132">
          <cell r="C132">
            <v>1015.8</v>
          </cell>
        </row>
        <row r="133">
          <cell r="C133">
            <v>253.95</v>
          </cell>
        </row>
        <row r="134">
          <cell r="C134">
            <v>0</v>
          </cell>
        </row>
        <row r="135">
          <cell r="C135">
            <v>0</v>
          </cell>
        </row>
        <row r="136">
          <cell r="C136">
            <v>0</v>
          </cell>
        </row>
        <row r="139">
          <cell r="C139">
            <v>790.29</v>
          </cell>
        </row>
        <row r="140">
          <cell r="C140">
            <v>242.48</v>
          </cell>
        </row>
        <row r="141">
          <cell r="C141">
            <v>0</v>
          </cell>
        </row>
        <row r="142">
          <cell r="C142">
            <v>5683.51</v>
          </cell>
        </row>
        <row r="143">
          <cell r="C143">
            <v>905.4</v>
          </cell>
        </row>
        <row r="144">
          <cell r="C144">
            <v>905.4</v>
          </cell>
        </row>
        <row r="145">
          <cell r="C145">
            <v>40153.53</v>
          </cell>
        </row>
        <row r="146">
          <cell r="C146">
            <v>12463.88</v>
          </cell>
        </row>
        <row r="147">
          <cell r="C147">
            <v>2549.4299999999998</v>
          </cell>
        </row>
        <row r="148">
          <cell r="C148">
            <v>1133.07</v>
          </cell>
        </row>
        <row r="149">
          <cell r="C149">
            <v>34669</v>
          </cell>
        </row>
        <row r="150">
          <cell r="C150">
            <v>46616.47</v>
          </cell>
        </row>
        <row r="151">
          <cell r="C151">
            <v>16746.73</v>
          </cell>
        </row>
        <row r="152">
          <cell r="C152">
            <v>6267.76</v>
          </cell>
        </row>
        <row r="153">
          <cell r="C153">
            <v>3917.36</v>
          </cell>
        </row>
        <row r="154">
          <cell r="C154">
            <v>320.64</v>
          </cell>
        </row>
        <row r="155">
          <cell r="C155">
            <v>0</v>
          </cell>
        </row>
        <row r="156">
          <cell r="C156">
            <v>580.52</v>
          </cell>
        </row>
        <row r="157">
          <cell r="C157">
            <v>922.07</v>
          </cell>
        </row>
        <row r="158">
          <cell r="C158">
            <v>1032.58</v>
          </cell>
        </row>
        <row r="159">
          <cell r="C159">
            <v>0</v>
          </cell>
        </row>
        <row r="160">
          <cell r="C160">
            <v>0</v>
          </cell>
        </row>
        <row r="161">
          <cell r="C161">
            <v>0</v>
          </cell>
        </row>
        <row r="162">
          <cell r="C162">
            <v>0</v>
          </cell>
        </row>
        <row r="163">
          <cell r="C163">
            <v>0</v>
          </cell>
        </row>
        <row r="164">
          <cell r="C164">
            <v>0</v>
          </cell>
        </row>
        <row r="165">
          <cell r="C165">
            <v>0</v>
          </cell>
        </row>
        <row r="166">
          <cell r="C166">
            <v>0</v>
          </cell>
        </row>
        <row r="167">
          <cell r="C167">
            <v>0</v>
          </cell>
        </row>
        <row r="168">
          <cell r="C168">
            <v>0</v>
          </cell>
        </row>
        <row r="169">
          <cell r="C169">
            <v>488.94</v>
          </cell>
        </row>
        <row r="170">
          <cell r="C170">
            <v>0</v>
          </cell>
        </row>
        <row r="171">
          <cell r="C171">
            <v>2632.9</v>
          </cell>
        </row>
        <row r="174">
          <cell r="C174">
            <v>25421</v>
          </cell>
        </row>
        <row r="175">
          <cell r="C175">
            <v>0</v>
          </cell>
        </row>
        <row r="176">
          <cell r="C176">
            <v>0</v>
          </cell>
        </row>
        <row r="177">
          <cell r="C177">
            <v>6425.72</v>
          </cell>
        </row>
        <row r="178">
          <cell r="C178">
            <v>969.92</v>
          </cell>
        </row>
        <row r="179">
          <cell r="C179">
            <v>43421.54</v>
          </cell>
        </row>
        <row r="180">
          <cell r="C180">
            <v>10185.75</v>
          </cell>
        </row>
        <row r="181">
          <cell r="C181">
            <v>2150.33</v>
          </cell>
        </row>
        <row r="182">
          <cell r="C182">
            <v>603.6</v>
          </cell>
        </row>
        <row r="183">
          <cell r="C183">
            <v>2263.5</v>
          </cell>
        </row>
        <row r="185">
          <cell r="C185">
            <v>44.56</v>
          </cell>
        </row>
        <row r="186">
          <cell r="C186">
            <v>90</v>
          </cell>
        </row>
        <row r="187">
          <cell r="C187">
            <v>921.25</v>
          </cell>
        </row>
        <row r="189">
          <cell r="C189">
            <v>0</v>
          </cell>
        </row>
        <row r="190">
          <cell r="C190">
            <v>0</v>
          </cell>
        </row>
        <row r="191">
          <cell r="C191">
            <v>0</v>
          </cell>
        </row>
        <row r="192">
          <cell r="C192">
            <v>147.4</v>
          </cell>
        </row>
        <row r="193">
          <cell r="C193">
            <v>0</v>
          </cell>
        </row>
        <row r="194">
          <cell r="C194">
            <v>202.26</v>
          </cell>
        </row>
        <row r="195">
          <cell r="C195">
            <v>647.29</v>
          </cell>
        </row>
        <row r="196">
          <cell r="C196">
            <v>387566.17</v>
          </cell>
        </row>
        <row r="202">
          <cell r="C202">
            <v>2573</v>
          </cell>
        </row>
        <row r="203">
          <cell r="C203">
            <v>3661.1</v>
          </cell>
        </row>
        <row r="204">
          <cell r="C204">
            <v>9384</v>
          </cell>
        </row>
        <row r="205">
          <cell r="C205">
            <v>520</v>
          </cell>
        </row>
        <row r="206">
          <cell r="C206">
            <v>0</v>
          </cell>
        </row>
        <row r="209">
          <cell r="C209">
            <v>5297.85</v>
          </cell>
        </row>
        <row r="210">
          <cell r="C210">
            <v>7616</v>
          </cell>
        </row>
        <row r="211">
          <cell r="C211">
            <v>22107.599999999999</v>
          </cell>
        </row>
        <row r="212">
          <cell r="C212">
            <v>1856.25</v>
          </cell>
        </row>
        <row r="213">
          <cell r="C213">
            <v>0</v>
          </cell>
        </row>
        <row r="216">
          <cell r="C216">
            <v>1823.3</v>
          </cell>
        </row>
        <row r="217">
          <cell r="C217">
            <v>640.48</v>
          </cell>
        </row>
        <row r="218">
          <cell r="C218">
            <v>2693.94</v>
          </cell>
        </row>
        <row r="219">
          <cell r="C219">
            <v>0</v>
          </cell>
        </row>
        <row r="222">
          <cell r="C222">
            <v>1347.45</v>
          </cell>
        </row>
        <row r="223">
          <cell r="C223">
            <v>663.9</v>
          </cell>
        </row>
        <row r="224">
          <cell r="C224">
            <v>6762.8</v>
          </cell>
        </row>
        <row r="225">
          <cell r="C225">
            <v>0</v>
          </cell>
        </row>
        <row r="228">
          <cell r="C228">
            <v>0</v>
          </cell>
        </row>
        <row r="229">
          <cell r="C229">
            <v>86.85</v>
          </cell>
        </row>
        <row r="230">
          <cell r="C230">
            <v>0</v>
          </cell>
        </row>
        <row r="231">
          <cell r="C231">
            <v>0</v>
          </cell>
        </row>
        <row r="232">
          <cell r="C232">
            <v>0</v>
          </cell>
        </row>
        <row r="235">
          <cell r="C235">
            <v>0</v>
          </cell>
        </row>
        <row r="236">
          <cell r="C236">
            <v>129.1</v>
          </cell>
        </row>
        <row r="237">
          <cell r="C237">
            <v>2323.8000000000002</v>
          </cell>
        </row>
        <row r="238">
          <cell r="C238">
            <v>5623.8</v>
          </cell>
        </row>
        <row r="239">
          <cell r="C239">
            <v>8389.7999999999993</v>
          </cell>
        </row>
        <row r="240">
          <cell r="C240">
            <v>147</v>
          </cell>
        </row>
        <row r="241">
          <cell r="C241">
            <v>4434.1000000000004</v>
          </cell>
        </row>
        <row r="244">
          <cell r="C244">
            <v>3293</v>
          </cell>
        </row>
        <row r="245">
          <cell r="C245">
            <v>31465</v>
          </cell>
        </row>
        <row r="246">
          <cell r="C246">
            <v>975.95</v>
          </cell>
        </row>
        <row r="247">
          <cell r="C247">
            <v>2680</v>
          </cell>
        </row>
        <row r="248">
          <cell r="C248">
            <v>237.5</v>
          </cell>
        </row>
        <row r="249">
          <cell r="C249">
            <v>430</v>
          </cell>
        </row>
        <row r="250">
          <cell r="C250">
            <v>0</v>
          </cell>
        </row>
        <row r="251">
          <cell r="C251">
            <v>0</v>
          </cell>
        </row>
        <row r="252">
          <cell r="C252">
            <v>267595.28999999998</v>
          </cell>
        </row>
        <row r="254">
          <cell r="C254">
            <v>0</v>
          </cell>
        </row>
        <row r="255">
          <cell r="C255">
            <v>0</v>
          </cell>
        </row>
        <row r="258">
          <cell r="C258">
            <v>10815.3</v>
          </cell>
        </row>
        <row r="259">
          <cell r="C259">
            <v>14359.38</v>
          </cell>
        </row>
        <row r="260">
          <cell r="C260">
            <v>-482.64999999999992</v>
          </cell>
        </row>
        <row r="262">
          <cell r="C262">
            <v>0</v>
          </cell>
        </row>
        <row r="263">
          <cell r="C263">
            <v>0</v>
          </cell>
        </row>
        <row r="267">
          <cell r="C267">
            <v>1747.67</v>
          </cell>
        </row>
        <row r="268">
          <cell r="C268">
            <v>248.6</v>
          </cell>
        </row>
        <row r="269">
          <cell r="C269">
            <v>7557.44</v>
          </cell>
        </row>
        <row r="270">
          <cell r="C270">
            <v>403.7</v>
          </cell>
        </row>
        <row r="271">
          <cell r="C271">
            <v>1903.44</v>
          </cell>
        </row>
        <row r="272">
          <cell r="C272">
            <v>341.28</v>
          </cell>
        </row>
        <row r="273">
          <cell r="C273">
            <v>-688.94</v>
          </cell>
        </row>
        <row r="274">
          <cell r="C274">
            <v>1966.5</v>
          </cell>
        </row>
        <row r="276">
          <cell r="C276">
            <v>1170.18</v>
          </cell>
        </row>
        <row r="278">
          <cell r="C278">
            <v>0</v>
          </cell>
        </row>
        <row r="280">
          <cell r="C280">
            <v>434100.75999999995</v>
          </cell>
        </row>
        <row r="284">
          <cell r="C284">
            <v>339</v>
          </cell>
        </row>
        <row r="285">
          <cell r="C285">
            <v>4248</v>
          </cell>
        </row>
        <row r="286">
          <cell r="C286">
            <v>-3543.65</v>
          </cell>
        </row>
        <row r="293">
          <cell r="C293">
            <v>3091.79</v>
          </cell>
        </row>
        <row r="294">
          <cell r="C294">
            <v>120</v>
          </cell>
        </row>
      </sheetData>
      <sheetData sheetId="10">
        <row r="6">
          <cell r="C6">
            <v>9266.15</v>
          </cell>
        </row>
        <row r="7">
          <cell r="C7">
            <v>232660</v>
          </cell>
        </row>
        <row r="8">
          <cell r="C8">
            <v>5321.45</v>
          </cell>
        </row>
        <row r="10">
          <cell r="C10">
            <v>813.7</v>
          </cell>
        </row>
        <row r="12">
          <cell r="C12">
            <v>31108.670000000002</v>
          </cell>
        </row>
        <row r="13">
          <cell r="C13">
            <v>140.25</v>
          </cell>
        </row>
        <row r="14">
          <cell r="C14">
            <v>755.38</v>
          </cell>
        </row>
        <row r="15">
          <cell r="C15">
            <v>127.53</v>
          </cell>
        </row>
        <row r="16">
          <cell r="C16">
            <v>4.62</v>
          </cell>
        </row>
        <row r="17">
          <cell r="C17">
            <v>0</v>
          </cell>
        </row>
        <row r="18">
          <cell r="C18">
            <v>4.62</v>
          </cell>
        </row>
        <row r="19">
          <cell r="C19">
            <v>60.41</v>
          </cell>
        </row>
        <row r="21">
          <cell r="C21">
            <v>2329.21</v>
          </cell>
        </row>
        <row r="22">
          <cell r="C22">
            <v>331.52</v>
          </cell>
        </row>
        <row r="23">
          <cell r="C23">
            <v>49.72</v>
          </cell>
        </row>
        <row r="24">
          <cell r="C24">
            <v>304.31</v>
          </cell>
        </row>
        <row r="25">
          <cell r="C25">
            <v>0</v>
          </cell>
        </row>
        <row r="26">
          <cell r="C26">
            <v>61.019999999999996</v>
          </cell>
        </row>
        <row r="27">
          <cell r="C27">
            <v>23.2</v>
          </cell>
        </row>
        <row r="28">
          <cell r="C28">
            <v>129078.6</v>
          </cell>
        </row>
        <row r="29">
          <cell r="C29">
            <v>135.38</v>
          </cell>
        </row>
        <row r="30">
          <cell r="C30">
            <v>48.3</v>
          </cell>
        </row>
        <row r="32">
          <cell r="C32">
            <v>11809.7</v>
          </cell>
        </row>
        <row r="33">
          <cell r="C33">
            <v>172.74</v>
          </cell>
        </row>
        <row r="34">
          <cell r="C34">
            <v>4411.72</v>
          </cell>
        </row>
        <row r="35">
          <cell r="C35">
            <v>394076.74</v>
          </cell>
        </row>
        <row r="36">
          <cell r="C36">
            <v>6971.85</v>
          </cell>
        </row>
        <row r="37">
          <cell r="C37">
            <v>182187.92</v>
          </cell>
        </row>
        <row r="38">
          <cell r="C38">
            <v>3647.5</v>
          </cell>
        </row>
        <row r="39">
          <cell r="C39">
            <v>13020.39</v>
          </cell>
        </row>
        <row r="40">
          <cell r="C40">
            <v>74.540000000000006</v>
          </cell>
        </row>
        <row r="41">
          <cell r="C41">
            <v>1364.05</v>
          </cell>
        </row>
        <row r="42">
          <cell r="C42">
            <v>0</v>
          </cell>
        </row>
        <row r="43">
          <cell r="C43">
            <v>355.14</v>
          </cell>
        </row>
        <row r="44">
          <cell r="C44">
            <v>0</v>
          </cell>
        </row>
        <row r="45">
          <cell r="C45">
            <v>362.46</v>
          </cell>
        </row>
        <row r="46">
          <cell r="C46">
            <v>0</v>
          </cell>
        </row>
        <row r="47">
          <cell r="C47">
            <v>4356.93</v>
          </cell>
        </row>
        <row r="48">
          <cell r="C48">
            <v>263.77999999999997</v>
          </cell>
        </row>
        <row r="49">
          <cell r="C49">
            <v>1035699.5000000002</v>
          </cell>
        </row>
        <row r="54">
          <cell r="C54">
            <v>-238.39</v>
          </cell>
        </row>
        <row r="55">
          <cell r="C55">
            <v>3443.51</v>
          </cell>
        </row>
        <row r="56">
          <cell r="C56">
            <v>0</v>
          </cell>
        </row>
        <row r="58">
          <cell r="C58">
            <v>1741.93</v>
          </cell>
        </row>
        <row r="61">
          <cell r="C61">
            <v>312.8</v>
          </cell>
        </row>
        <row r="63">
          <cell r="C63">
            <v>-1932.35</v>
          </cell>
        </row>
        <row r="64">
          <cell r="C64">
            <v>265.5</v>
          </cell>
        </row>
        <row r="66">
          <cell r="C66">
            <v>50.64</v>
          </cell>
        </row>
        <row r="67">
          <cell r="C67">
            <v>6.18</v>
          </cell>
        </row>
        <row r="68">
          <cell r="C68">
            <v>31.16</v>
          </cell>
        </row>
        <row r="72">
          <cell r="C72">
            <v>2356.1800000000003</v>
          </cell>
        </row>
        <row r="76">
          <cell r="C76">
            <v>7770.75</v>
          </cell>
        </row>
        <row r="77">
          <cell r="C77">
            <v>37.72</v>
          </cell>
        </row>
        <row r="78">
          <cell r="C78">
            <v>1572.42</v>
          </cell>
        </row>
        <row r="80">
          <cell r="C80">
            <v>293.16000000000003</v>
          </cell>
        </row>
        <row r="81">
          <cell r="C81">
            <v>42.63</v>
          </cell>
        </row>
        <row r="82">
          <cell r="C82">
            <v>221.52</v>
          </cell>
        </row>
        <row r="83">
          <cell r="C83">
            <v>56.13</v>
          </cell>
        </row>
        <row r="85">
          <cell r="C85">
            <v>32.78</v>
          </cell>
        </row>
        <row r="88">
          <cell r="C88">
            <v>27586.33</v>
          </cell>
        </row>
        <row r="90">
          <cell r="C90">
            <v>5987.6</v>
          </cell>
        </row>
        <row r="93">
          <cell r="C93">
            <v>15001.65</v>
          </cell>
        </row>
        <row r="94">
          <cell r="C94">
            <v>1509.6</v>
          </cell>
        </row>
        <row r="95">
          <cell r="C95">
            <v>1132.2</v>
          </cell>
        </row>
        <row r="96">
          <cell r="C96">
            <v>6819.29</v>
          </cell>
        </row>
        <row r="97">
          <cell r="C97">
            <v>717.83</v>
          </cell>
        </row>
        <row r="99">
          <cell r="C99">
            <v>11621.21</v>
          </cell>
        </row>
        <row r="100">
          <cell r="C100">
            <v>13137.02</v>
          </cell>
        </row>
        <row r="101">
          <cell r="C101">
            <v>3031.6</v>
          </cell>
        </row>
        <row r="103">
          <cell r="C103">
            <v>106.6</v>
          </cell>
        </row>
        <row r="105">
          <cell r="C105">
            <v>912.18</v>
          </cell>
        </row>
        <row r="111">
          <cell r="C111">
            <v>118.69</v>
          </cell>
        </row>
        <row r="116">
          <cell r="C116">
            <v>1116.8600000000001</v>
          </cell>
        </row>
        <row r="118">
          <cell r="C118">
            <v>2451.41</v>
          </cell>
        </row>
        <row r="119">
          <cell r="C119">
            <v>111.29</v>
          </cell>
        </row>
        <row r="120">
          <cell r="C120">
            <v>30.8</v>
          </cell>
        </row>
        <row r="122">
          <cell r="C122">
            <v>58.91</v>
          </cell>
        </row>
        <row r="123">
          <cell r="C123">
            <v>14.42</v>
          </cell>
        </row>
        <row r="126">
          <cell r="C126">
            <v>23.25</v>
          </cell>
        </row>
        <row r="127">
          <cell r="C127">
            <v>61.8</v>
          </cell>
        </row>
        <row r="131">
          <cell r="C131">
            <v>1270.95</v>
          </cell>
        </row>
        <row r="132">
          <cell r="C132">
            <v>1007.34</v>
          </cell>
        </row>
        <row r="133">
          <cell r="C133">
            <v>253.95</v>
          </cell>
        </row>
        <row r="139">
          <cell r="C139">
            <v>900.05</v>
          </cell>
        </row>
        <row r="140">
          <cell r="C140">
            <v>242.48</v>
          </cell>
        </row>
        <row r="142">
          <cell r="C142">
            <v>4828.8</v>
          </cell>
        </row>
        <row r="143">
          <cell r="C143">
            <v>905.4</v>
          </cell>
        </row>
        <row r="144">
          <cell r="C144">
            <v>905.4</v>
          </cell>
        </row>
        <row r="145">
          <cell r="C145">
            <v>40153.53</v>
          </cell>
        </row>
        <row r="146">
          <cell r="C146">
            <v>12463.88</v>
          </cell>
        </row>
        <row r="147">
          <cell r="C147">
            <v>1770.44</v>
          </cell>
        </row>
        <row r="148">
          <cell r="C148">
            <v>1133.07</v>
          </cell>
        </row>
        <row r="149">
          <cell r="C149">
            <v>34669.01</v>
          </cell>
        </row>
        <row r="150">
          <cell r="C150">
            <v>46224.73</v>
          </cell>
        </row>
        <row r="151">
          <cell r="C151">
            <v>16159.14</v>
          </cell>
        </row>
        <row r="152">
          <cell r="C152">
            <v>4113.22</v>
          </cell>
        </row>
        <row r="153">
          <cell r="C153">
            <v>9107.86</v>
          </cell>
        </row>
        <row r="154">
          <cell r="C154">
            <v>320.64</v>
          </cell>
        </row>
        <row r="156">
          <cell r="C156">
            <v>580.52</v>
          </cell>
        </row>
        <row r="157">
          <cell r="C157">
            <v>922.07</v>
          </cell>
        </row>
        <row r="158">
          <cell r="C158">
            <v>1032.58</v>
          </cell>
        </row>
        <row r="161">
          <cell r="C161">
            <v>0</v>
          </cell>
        </row>
        <row r="162">
          <cell r="C162">
            <v>0</v>
          </cell>
        </row>
        <row r="163">
          <cell r="C163">
            <v>2632.9</v>
          </cell>
        </row>
        <row r="164">
          <cell r="C164">
            <v>0</v>
          </cell>
        </row>
        <row r="165">
          <cell r="C165">
            <v>0</v>
          </cell>
        </row>
        <row r="166">
          <cell r="C166">
            <v>0</v>
          </cell>
        </row>
        <row r="168">
          <cell r="C168">
            <v>0</v>
          </cell>
        </row>
        <row r="169">
          <cell r="C169">
            <v>488.94</v>
          </cell>
        </row>
        <row r="174">
          <cell r="C174">
            <v>25349.279999999999</v>
          </cell>
        </row>
        <row r="175">
          <cell r="C175">
            <v>175.62</v>
          </cell>
        </row>
        <row r="177">
          <cell r="C177">
            <v>6304.48</v>
          </cell>
        </row>
        <row r="178">
          <cell r="C178">
            <v>969.92</v>
          </cell>
        </row>
        <row r="179">
          <cell r="C179">
            <v>41648.42</v>
          </cell>
        </row>
        <row r="180">
          <cell r="C180">
            <v>10751.63</v>
          </cell>
        </row>
        <row r="181">
          <cell r="C181">
            <v>1358.1</v>
          </cell>
        </row>
        <row r="182">
          <cell r="C182">
            <v>603.6</v>
          </cell>
        </row>
        <row r="183">
          <cell r="C183">
            <v>2263.5</v>
          </cell>
        </row>
        <row r="185">
          <cell r="C185">
            <v>22.28</v>
          </cell>
        </row>
        <row r="187">
          <cell r="C187">
            <v>958.81</v>
          </cell>
        </row>
        <row r="190">
          <cell r="C190">
            <v>89.12</v>
          </cell>
        </row>
        <row r="191">
          <cell r="C191">
            <v>30</v>
          </cell>
        </row>
        <row r="192">
          <cell r="C192">
            <v>184.25</v>
          </cell>
        </row>
        <row r="194">
          <cell r="C194">
            <v>269.68</v>
          </cell>
        </row>
        <row r="195">
          <cell r="C195">
            <v>462.35</v>
          </cell>
        </row>
        <row r="196">
          <cell r="C196">
            <v>381142.74999999988</v>
          </cell>
        </row>
        <row r="202">
          <cell r="C202">
            <v>2550.86</v>
          </cell>
        </row>
        <row r="203">
          <cell r="C203">
            <v>3720</v>
          </cell>
        </row>
        <row r="204">
          <cell r="C204">
            <v>8904.6</v>
          </cell>
        </row>
        <row r="205">
          <cell r="C205">
            <v>520</v>
          </cell>
        </row>
        <row r="206">
          <cell r="C206">
            <v>0</v>
          </cell>
        </row>
        <row r="209">
          <cell r="C209">
            <v>5124.1499999999996</v>
          </cell>
        </row>
        <row r="210">
          <cell r="C210">
            <v>7711.2</v>
          </cell>
        </row>
        <row r="211">
          <cell r="C211">
            <v>24666.35</v>
          </cell>
        </row>
        <row r="212">
          <cell r="C212">
            <v>1980</v>
          </cell>
        </row>
        <row r="213">
          <cell r="C213">
            <v>0</v>
          </cell>
        </row>
        <row r="216">
          <cell r="C216">
            <v>1762.5</v>
          </cell>
        </row>
        <row r="217">
          <cell r="C217">
            <v>390.31</v>
          </cell>
        </row>
        <row r="218">
          <cell r="C218">
            <v>3578.88</v>
          </cell>
        </row>
        <row r="219">
          <cell r="C219">
            <v>0</v>
          </cell>
        </row>
        <row r="222">
          <cell r="C222">
            <v>2694.9</v>
          </cell>
        </row>
        <row r="223">
          <cell r="C223">
            <v>553.25</v>
          </cell>
        </row>
        <row r="224">
          <cell r="C224">
            <v>7462.4</v>
          </cell>
        </row>
        <row r="225">
          <cell r="C225">
            <v>0</v>
          </cell>
        </row>
        <row r="228">
          <cell r="C228">
            <v>0</v>
          </cell>
        </row>
        <row r="229">
          <cell r="C229">
            <v>173.7</v>
          </cell>
        </row>
        <row r="230">
          <cell r="C230">
            <v>0</v>
          </cell>
        </row>
        <row r="231">
          <cell r="C231">
            <v>0</v>
          </cell>
        </row>
        <row r="232">
          <cell r="C232">
            <v>0</v>
          </cell>
        </row>
        <row r="235">
          <cell r="C235">
            <v>0</v>
          </cell>
        </row>
        <row r="236">
          <cell r="C236">
            <v>258.2</v>
          </cell>
        </row>
        <row r="237">
          <cell r="C237">
            <v>2452.9</v>
          </cell>
        </row>
        <row r="238">
          <cell r="C238">
            <v>5356</v>
          </cell>
        </row>
        <row r="239">
          <cell r="C239">
            <v>9811.7999999999993</v>
          </cell>
        </row>
        <row r="240">
          <cell r="C240">
            <v>147</v>
          </cell>
        </row>
        <row r="241">
          <cell r="C241">
            <v>5351.5</v>
          </cell>
        </row>
        <row r="244">
          <cell r="C244">
            <v>5251</v>
          </cell>
        </row>
        <row r="245">
          <cell r="C245">
            <v>35511</v>
          </cell>
        </row>
        <row r="246">
          <cell r="C246">
            <v>1067.6500000000001</v>
          </cell>
        </row>
        <row r="247">
          <cell r="C247">
            <v>3080</v>
          </cell>
        </row>
        <row r="248">
          <cell r="C248">
            <v>807.5</v>
          </cell>
        </row>
        <row r="249">
          <cell r="C249">
            <v>494.5</v>
          </cell>
        </row>
        <row r="250">
          <cell r="C250">
            <v>356</v>
          </cell>
        </row>
        <row r="251">
          <cell r="C251">
            <v>0</v>
          </cell>
        </row>
        <row r="252">
          <cell r="C252">
            <v>302093.14</v>
          </cell>
        </row>
        <row r="254">
          <cell r="C254">
            <v>0</v>
          </cell>
        </row>
        <row r="255">
          <cell r="C255">
            <v>0</v>
          </cell>
        </row>
        <row r="258">
          <cell r="C258">
            <v>10826.28</v>
          </cell>
        </row>
        <row r="259">
          <cell r="C259">
            <v>12655.66</v>
          </cell>
        </row>
        <row r="260">
          <cell r="C260">
            <v>-483.14</v>
          </cell>
        </row>
        <row r="262">
          <cell r="C262">
            <v>0</v>
          </cell>
        </row>
        <row r="263">
          <cell r="C263">
            <v>0</v>
          </cell>
        </row>
        <row r="267">
          <cell r="C267">
            <v>1747.67</v>
          </cell>
        </row>
        <row r="268">
          <cell r="C268">
            <v>248.6</v>
          </cell>
        </row>
        <row r="269">
          <cell r="C269">
            <v>7557.44</v>
          </cell>
        </row>
        <row r="270">
          <cell r="C270">
            <v>403.7</v>
          </cell>
        </row>
        <row r="271">
          <cell r="C271">
            <v>1903.44</v>
          </cell>
        </row>
        <row r="272">
          <cell r="C272">
            <v>341.28</v>
          </cell>
        </row>
        <row r="273">
          <cell r="C273">
            <v>-688.94</v>
          </cell>
        </row>
        <row r="274">
          <cell r="C274">
            <v>1966.5</v>
          </cell>
        </row>
        <row r="276">
          <cell r="C276">
            <v>1168.8700000000001</v>
          </cell>
        </row>
        <row r="278">
          <cell r="C278">
            <v>0</v>
          </cell>
        </row>
        <row r="280">
          <cell r="C280">
            <v>481478.65</v>
          </cell>
        </row>
        <row r="284">
          <cell r="C284">
            <v>700.6</v>
          </cell>
        </row>
        <row r="285">
          <cell r="C285">
            <v>4898.3999999999996</v>
          </cell>
        </row>
        <row r="286">
          <cell r="C286">
            <v>4186.3500000000004</v>
          </cell>
        </row>
        <row r="293">
          <cell r="C293">
            <v>2357.46</v>
          </cell>
        </row>
        <row r="294">
          <cell r="C294">
            <v>40</v>
          </cell>
        </row>
      </sheetData>
      <sheetData sheetId="11">
        <row r="6">
          <cell r="C6">
            <v>-15658.12</v>
          </cell>
        </row>
        <row r="7">
          <cell r="C7">
            <v>225223.41</v>
          </cell>
        </row>
        <row r="8">
          <cell r="C8">
            <v>5140.3999999999996</v>
          </cell>
        </row>
        <row r="10">
          <cell r="C10">
            <v>1308.0999999999999</v>
          </cell>
        </row>
        <row r="12">
          <cell r="C12">
            <v>27961.260000000002</v>
          </cell>
        </row>
        <row r="13">
          <cell r="C13">
            <v>206.25</v>
          </cell>
        </row>
        <row r="14">
          <cell r="C14">
            <v>804.06</v>
          </cell>
        </row>
        <row r="15">
          <cell r="C15">
            <v>103.08</v>
          </cell>
        </row>
        <row r="16">
          <cell r="C16">
            <v>1.54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69.84</v>
          </cell>
        </row>
        <row r="21">
          <cell r="C21">
            <v>2303.8000000000002</v>
          </cell>
        </row>
        <row r="22">
          <cell r="C22">
            <v>124.32</v>
          </cell>
        </row>
        <row r="23">
          <cell r="C23">
            <v>49.72</v>
          </cell>
        </row>
        <row r="24">
          <cell r="C24">
            <v>349.38</v>
          </cell>
        </row>
        <row r="25">
          <cell r="C25">
            <v>0</v>
          </cell>
        </row>
        <row r="26">
          <cell r="C26">
            <v>31.88</v>
          </cell>
        </row>
        <row r="27">
          <cell r="C27">
            <v>0</v>
          </cell>
        </row>
        <row r="28">
          <cell r="C28">
            <v>123366.2</v>
          </cell>
        </row>
        <row r="29">
          <cell r="C29">
            <v>58.02</v>
          </cell>
        </row>
        <row r="30">
          <cell r="C30">
            <v>46.2</v>
          </cell>
        </row>
        <row r="32">
          <cell r="C32">
            <v>10590.14</v>
          </cell>
        </row>
        <row r="33">
          <cell r="C33">
            <v>143.38</v>
          </cell>
        </row>
        <row r="34">
          <cell r="C34">
            <v>4679.3100000000004</v>
          </cell>
        </row>
        <row r="35">
          <cell r="C35">
            <v>370318.56</v>
          </cell>
        </row>
        <row r="36">
          <cell r="C36">
            <v>6903.13</v>
          </cell>
        </row>
        <row r="37">
          <cell r="C37">
            <v>183446.71</v>
          </cell>
        </row>
        <row r="38">
          <cell r="C38">
            <v>3959</v>
          </cell>
        </row>
        <row r="39">
          <cell r="C39">
            <v>13784.82</v>
          </cell>
        </row>
        <row r="40">
          <cell r="C40">
            <v>295.2</v>
          </cell>
        </row>
        <row r="41">
          <cell r="C41">
            <v>1850.12</v>
          </cell>
        </row>
        <row r="42">
          <cell r="C42">
            <v>97.14</v>
          </cell>
        </row>
        <row r="43">
          <cell r="C43">
            <v>216.48</v>
          </cell>
        </row>
        <row r="44">
          <cell r="C44">
            <v>0</v>
          </cell>
        </row>
        <row r="45">
          <cell r="C45">
            <v>119.32</v>
          </cell>
        </row>
        <row r="46">
          <cell r="C46">
            <v>0</v>
          </cell>
        </row>
        <row r="47">
          <cell r="C47">
            <v>3825.26</v>
          </cell>
        </row>
        <row r="48">
          <cell r="C48">
            <v>506.69</v>
          </cell>
        </row>
        <row r="49">
          <cell r="C49">
            <v>972224.59999999974</v>
          </cell>
        </row>
        <row r="54">
          <cell r="C54">
            <v>-235.7</v>
          </cell>
        </row>
        <row r="55">
          <cell r="C55">
            <v>3422.21</v>
          </cell>
        </row>
        <row r="56">
          <cell r="C56">
            <v>0</v>
          </cell>
        </row>
        <row r="58">
          <cell r="C58">
            <v>1495.68</v>
          </cell>
        </row>
        <row r="60">
          <cell r="C60">
            <v>0</v>
          </cell>
        </row>
        <row r="61">
          <cell r="C61">
            <v>391</v>
          </cell>
        </row>
        <row r="63">
          <cell r="C63">
            <v>-1942.25</v>
          </cell>
        </row>
        <row r="64">
          <cell r="C64">
            <v>265.5</v>
          </cell>
        </row>
        <row r="66">
          <cell r="C66">
            <v>55.26</v>
          </cell>
        </row>
        <row r="67">
          <cell r="C67">
            <v>6.18</v>
          </cell>
        </row>
        <row r="68">
          <cell r="C68">
            <v>31.16</v>
          </cell>
        </row>
        <row r="69">
          <cell r="C69">
            <v>0</v>
          </cell>
        </row>
        <row r="70">
          <cell r="C70">
            <v>0</v>
          </cell>
        </row>
        <row r="72">
          <cell r="C72">
            <v>2285.83</v>
          </cell>
        </row>
        <row r="73">
          <cell r="C73">
            <v>0</v>
          </cell>
        </row>
        <row r="74">
          <cell r="C74">
            <v>0</v>
          </cell>
        </row>
        <row r="76">
          <cell r="C76">
            <v>7775.28</v>
          </cell>
        </row>
        <row r="77">
          <cell r="C77">
            <v>37.72</v>
          </cell>
        </row>
        <row r="78">
          <cell r="C78">
            <v>1477.33</v>
          </cell>
        </row>
        <row r="79">
          <cell r="C79">
            <v>0</v>
          </cell>
        </row>
        <row r="80">
          <cell r="C80">
            <v>293.16000000000003</v>
          </cell>
        </row>
        <row r="81">
          <cell r="C81">
            <v>42.63</v>
          </cell>
        </row>
        <row r="82">
          <cell r="C82">
            <v>221.52</v>
          </cell>
        </row>
        <row r="83">
          <cell r="C83">
            <v>56.13</v>
          </cell>
        </row>
        <row r="84">
          <cell r="C84">
            <v>0</v>
          </cell>
        </row>
        <row r="85">
          <cell r="C85">
            <v>0</v>
          </cell>
        </row>
        <row r="88">
          <cell r="C88">
            <v>27771.85</v>
          </cell>
        </row>
        <row r="89">
          <cell r="C89">
            <v>0</v>
          </cell>
        </row>
        <row r="90">
          <cell r="C90">
            <v>5987.6</v>
          </cell>
        </row>
        <row r="91">
          <cell r="C91">
            <v>0</v>
          </cell>
        </row>
        <row r="92">
          <cell r="C92">
            <v>0</v>
          </cell>
        </row>
        <row r="93">
          <cell r="C93">
            <v>15096</v>
          </cell>
        </row>
        <row r="94">
          <cell r="C94">
            <v>1509.6</v>
          </cell>
        </row>
        <row r="95">
          <cell r="C95">
            <v>1132.2</v>
          </cell>
        </row>
        <row r="96">
          <cell r="C96">
            <v>6819.29</v>
          </cell>
        </row>
        <row r="97">
          <cell r="C97">
            <v>717.83</v>
          </cell>
        </row>
        <row r="98">
          <cell r="C98">
            <v>0</v>
          </cell>
        </row>
        <row r="99">
          <cell r="C99">
            <v>11621.21</v>
          </cell>
        </row>
        <row r="100">
          <cell r="C100">
            <v>13137.02</v>
          </cell>
        </row>
        <row r="101">
          <cell r="C101">
            <v>3031.6</v>
          </cell>
        </row>
        <row r="102">
          <cell r="C102">
            <v>0</v>
          </cell>
        </row>
        <row r="103">
          <cell r="C103">
            <v>185.38</v>
          </cell>
        </row>
        <row r="104">
          <cell r="C104">
            <v>0</v>
          </cell>
        </row>
        <row r="105">
          <cell r="C105">
            <v>1000.63</v>
          </cell>
        </row>
        <row r="107">
          <cell r="C107">
            <v>26.65</v>
          </cell>
        </row>
        <row r="108">
          <cell r="C108">
            <v>0</v>
          </cell>
        </row>
        <row r="109">
          <cell r="C109">
            <v>0</v>
          </cell>
        </row>
        <row r="110">
          <cell r="C110">
            <v>0</v>
          </cell>
        </row>
        <row r="111">
          <cell r="C111">
            <v>0</v>
          </cell>
        </row>
        <row r="116">
          <cell r="C116">
            <v>1196.05</v>
          </cell>
        </row>
        <row r="118">
          <cell r="C118">
            <v>2966.72</v>
          </cell>
        </row>
        <row r="119">
          <cell r="C119">
            <v>111.29</v>
          </cell>
        </row>
        <row r="120">
          <cell r="C120">
            <v>180.05</v>
          </cell>
        </row>
        <row r="122">
          <cell r="C122">
            <v>55.44</v>
          </cell>
        </row>
        <row r="123">
          <cell r="C123">
            <v>14.42</v>
          </cell>
        </row>
        <row r="124">
          <cell r="C124">
            <v>0</v>
          </cell>
        </row>
        <row r="125">
          <cell r="C125">
            <v>0</v>
          </cell>
        </row>
        <row r="126">
          <cell r="C126">
            <v>55</v>
          </cell>
        </row>
        <row r="127">
          <cell r="C127">
            <v>30.900000000000002</v>
          </cell>
        </row>
        <row r="129">
          <cell r="C129">
            <v>0</v>
          </cell>
        </row>
        <row r="131">
          <cell r="C131">
            <v>1253.48</v>
          </cell>
        </row>
        <row r="132">
          <cell r="C132">
            <v>990.02</v>
          </cell>
        </row>
        <row r="133">
          <cell r="C133">
            <v>253.95</v>
          </cell>
        </row>
        <row r="134">
          <cell r="C134">
            <v>0</v>
          </cell>
        </row>
        <row r="135">
          <cell r="C135">
            <v>0</v>
          </cell>
        </row>
        <row r="136">
          <cell r="C136">
            <v>32.78</v>
          </cell>
        </row>
        <row r="139">
          <cell r="C139">
            <v>878.1</v>
          </cell>
        </row>
        <row r="140">
          <cell r="C140">
            <v>121.24</v>
          </cell>
        </row>
        <row r="141">
          <cell r="C141">
            <v>0</v>
          </cell>
        </row>
        <row r="142">
          <cell r="C142">
            <v>4677.8999999999996</v>
          </cell>
        </row>
        <row r="143">
          <cell r="C143">
            <v>905.4</v>
          </cell>
        </row>
        <row r="144">
          <cell r="C144">
            <v>905.4</v>
          </cell>
        </row>
        <row r="145">
          <cell r="C145">
            <v>40295.160000000003</v>
          </cell>
        </row>
        <row r="146">
          <cell r="C146">
            <v>12463.88</v>
          </cell>
        </row>
        <row r="147">
          <cell r="C147">
            <v>2549.4299999999998</v>
          </cell>
        </row>
        <row r="148">
          <cell r="C148">
            <v>1133.07</v>
          </cell>
        </row>
        <row r="149">
          <cell r="C149">
            <v>35452.47</v>
          </cell>
        </row>
        <row r="150">
          <cell r="C150">
            <v>43874.32</v>
          </cell>
        </row>
        <row r="151">
          <cell r="C151">
            <v>17628.150000000001</v>
          </cell>
        </row>
        <row r="152">
          <cell r="C152">
            <v>3133.88</v>
          </cell>
        </row>
        <row r="153">
          <cell r="C153">
            <v>7834.72</v>
          </cell>
        </row>
        <row r="154">
          <cell r="C154">
            <v>320.64</v>
          </cell>
        </row>
        <row r="155">
          <cell r="C155">
            <v>0</v>
          </cell>
        </row>
        <row r="156">
          <cell r="C156">
            <v>580.52</v>
          </cell>
        </row>
        <row r="157">
          <cell r="C157">
            <v>922.07</v>
          </cell>
        </row>
        <row r="158">
          <cell r="C158">
            <v>1032.58</v>
          </cell>
        </row>
        <row r="159">
          <cell r="C159">
            <v>0</v>
          </cell>
        </row>
        <row r="160">
          <cell r="C160">
            <v>0</v>
          </cell>
        </row>
        <row r="161">
          <cell r="C161">
            <v>0</v>
          </cell>
        </row>
        <row r="162">
          <cell r="C162">
            <v>0</v>
          </cell>
        </row>
        <row r="163">
          <cell r="C163">
            <v>2632.9</v>
          </cell>
        </row>
        <row r="164">
          <cell r="C164">
            <v>0</v>
          </cell>
        </row>
        <row r="165">
          <cell r="C165">
            <v>0</v>
          </cell>
        </row>
        <row r="166">
          <cell r="C166">
            <v>0</v>
          </cell>
        </row>
        <row r="167">
          <cell r="C167">
            <v>0</v>
          </cell>
        </row>
        <row r="168">
          <cell r="C168">
            <v>0</v>
          </cell>
        </row>
        <row r="169">
          <cell r="C169">
            <v>488.94</v>
          </cell>
        </row>
        <row r="170">
          <cell r="C170">
            <v>0</v>
          </cell>
        </row>
        <row r="171">
          <cell r="C171">
            <v>0</v>
          </cell>
        </row>
        <row r="174">
          <cell r="C174">
            <v>25025.45</v>
          </cell>
        </row>
        <row r="175">
          <cell r="C175">
            <v>175.62</v>
          </cell>
        </row>
        <row r="176">
          <cell r="C176">
            <v>0</v>
          </cell>
        </row>
        <row r="177">
          <cell r="C177">
            <v>6455.43</v>
          </cell>
        </row>
        <row r="178">
          <cell r="C178">
            <v>969.92</v>
          </cell>
        </row>
        <row r="179">
          <cell r="C179">
            <v>41155.67</v>
          </cell>
        </row>
        <row r="180">
          <cell r="C180">
            <v>10864.8</v>
          </cell>
        </row>
        <row r="181">
          <cell r="C181">
            <v>1358.1</v>
          </cell>
        </row>
        <row r="182">
          <cell r="C182">
            <v>603.6</v>
          </cell>
        </row>
        <row r="183">
          <cell r="C183">
            <v>2263.5</v>
          </cell>
        </row>
        <row r="185">
          <cell r="C185">
            <v>22.28</v>
          </cell>
        </row>
        <row r="186">
          <cell r="C186">
            <v>0</v>
          </cell>
        </row>
        <row r="187">
          <cell r="C187">
            <v>1214.6300000000001</v>
          </cell>
        </row>
        <row r="189">
          <cell r="C189">
            <v>0</v>
          </cell>
        </row>
        <row r="190">
          <cell r="C190">
            <v>89.12</v>
          </cell>
        </row>
        <row r="191">
          <cell r="C191">
            <v>0</v>
          </cell>
        </row>
        <row r="192">
          <cell r="C192">
            <v>0</v>
          </cell>
        </row>
        <row r="193">
          <cell r="C193">
            <v>147.4</v>
          </cell>
        </row>
        <row r="194">
          <cell r="C194">
            <v>268.33</v>
          </cell>
        </row>
        <row r="195">
          <cell r="C195">
            <v>647.29</v>
          </cell>
        </row>
        <row r="196">
          <cell r="C196">
            <v>379947.51</v>
          </cell>
        </row>
        <row r="202">
          <cell r="C202">
            <v>2630.11</v>
          </cell>
        </row>
        <row r="203">
          <cell r="C203">
            <v>3720</v>
          </cell>
        </row>
        <row r="204">
          <cell r="C204">
            <v>8732.52</v>
          </cell>
        </row>
        <row r="205">
          <cell r="C205">
            <v>520</v>
          </cell>
        </row>
        <row r="206">
          <cell r="C206">
            <v>0</v>
          </cell>
        </row>
        <row r="209">
          <cell r="C209">
            <v>6079.5</v>
          </cell>
        </row>
        <row r="210">
          <cell r="C210">
            <v>6949.6</v>
          </cell>
        </row>
        <row r="211">
          <cell r="C211">
            <v>24052.25</v>
          </cell>
        </row>
        <row r="212">
          <cell r="C212">
            <v>2475</v>
          </cell>
        </row>
        <row r="213">
          <cell r="C213">
            <v>0</v>
          </cell>
        </row>
        <row r="216">
          <cell r="C216">
            <v>1468.98</v>
          </cell>
        </row>
        <row r="217">
          <cell r="C217">
            <v>545.16999999999996</v>
          </cell>
        </row>
        <row r="218">
          <cell r="C218">
            <v>3060.77</v>
          </cell>
        </row>
        <row r="219">
          <cell r="C219">
            <v>0</v>
          </cell>
        </row>
        <row r="222">
          <cell r="C222">
            <v>2591.25</v>
          </cell>
        </row>
        <row r="223">
          <cell r="C223">
            <v>553.25</v>
          </cell>
        </row>
        <row r="224">
          <cell r="C224">
            <v>7462.4000000000005</v>
          </cell>
        </row>
        <row r="225">
          <cell r="C225">
            <v>0</v>
          </cell>
        </row>
        <row r="228">
          <cell r="C228">
            <v>0</v>
          </cell>
        </row>
        <row r="229">
          <cell r="C229">
            <v>260.55</v>
          </cell>
        </row>
        <row r="230">
          <cell r="C230">
            <v>0</v>
          </cell>
        </row>
        <row r="231">
          <cell r="C231">
            <v>0</v>
          </cell>
        </row>
        <row r="232">
          <cell r="C232">
            <v>0</v>
          </cell>
        </row>
        <row r="235">
          <cell r="C235">
            <v>0</v>
          </cell>
        </row>
        <row r="236">
          <cell r="C236">
            <v>258.2</v>
          </cell>
        </row>
        <row r="237">
          <cell r="C237">
            <v>2711.1</v>
          </cell>
        </row>
        <row r="238">
          <cell r="C238">
            <v>4820.3999999999996</v>
          </cell>
        </row>
        <row r="239">
          <cell r="C239">
            <v>9811.7999999999993</v>
          </cell>
        </row>
        <row r="240">
          <cell r="C240">
            <v>588</v>
          </cell>
        </row>
        <row r="241">
          <cell r="C241">
            <v>7186.3</v>
          </cell>
        </row>
        <row r="244">
          <cell r="C244">
            <v>3738</v>
          </cell>
        </row>
        <row r="245">
          <cell r="C245">
            <v>35837.760000000002</v>
          </cell>
        </row>
        <row r="246">
          <cell r="C246">
            <v>1159.3499999999999</v>
          </cell>
        </row>
        <row r="247">
          <cell r="C247">
            <v>3040</v>
          </cell>
        </row>
        <row r="248">
          <cell r="C248">
            <v>522.5</v>
          </cell>
        </row>
        <row r="249">
          <cell r="C249">
            <v>623.5</v>
          </cell>
        </row>
        <row r="250">
          <cell r="C250">
            <v>534</v>
          </cell>
        </row>
        <row r="251">
          <cell r="C251">
            <v>0</v>
          </cell>
        </row>
        <row r="252">
          <cell r="C252">
            <v>296496.77999999997</v>
          </cell>
        </row>
        <row r="254">
          <cell r="C254">
            <v>0</v>
          </cell>
        </row>
        <row r="255">
          <cell r="C255">
            <v>0</v>
          </cell>
        </row>
        <row r="258">
          <cell r="C258">
            <v>10826.28</v>
          </cell>
        </row>
        <row r="259">
          <cell r="C259">
            <v>12457.16</v>
          </cell>
        </row>
        <row r="260">
          <cell r="C260">
            <v>-483.14</v>
          </cell>
        </row>
        <row r="262">
          <cell r="C262">
            <v>0</v>
          </cell>
        </row>
        <row r="263">
          <cell r="C263">
            <v>0</v>
          </cell>
        </row>
        <row r="267">
          <cell r="C267">
            <v>1747.67</v>
          </cell>
        </row>
        <row r="268">
          <cell r="C268">
            <v>248.6</v>
          </cell>
        </row>
        <row r="269">
          <cell r="C269">
            <v>7557.44</v>
          </cell>
        </row>
        <row r="270">
          <cell r="C270">
            <v>403.7</v>
          </cell>
        </row>
        <row r="271">
          <cell r="C271">
            <v>1903.44</v>
          </cell>
        </row>
        <row r="272">
          <cell r="C272">
            <v>341.28</v>
          </cell>
        </row>
        <row r="273">
          <cell r="C273">
            <v>-688.94</v>
          </cell>
        </row>
        <row r="274">
          <cell r="C274">
            <v>2496.6</v>
          </cell>
        </row>
        <row r="276">
          <cell r="C276">
            <v>1170.18</v>
          </cell>
        </row>
        <row r="278">
          <cell r="C278">
            <v>0</v>
          </cell>
        </row>
        <row r="280">
          <cell r="C280">
            <v>476409.30999999994</v>
          </cell>
        </row>
        <row r="284">
          <cell r="C284">
            <v>858.8</v>
          </cell>
        </row>
        <row r="285">
          <cell r="C285">
            <v>4188.8</v>
          </cell>
        </row>
        <row r="286">
          <cell r="C286">
            <v>3928.4</v>
          </cell>
        </row>
        <row r="293">
          <cell r="C293">
            <v>1972.9199999999998</v>
          </cell>
        </row>
        <row r="294">
          <cell r="C294">
            <v>140</v>
          </cell>
        </row>
      </sheetData>
      <sheetData sheetId="12">
        <row r="49">
          <cell r="C49">
            <v>927527.9</v>
          </cell>
        </row>
        <row r="196">
          <cell r="C196">
            <v>368934.82999999996</v>
          </cell>
        </row>
        <row r="280">
          <cell r="C280">
            <v>436739.02</v>
          </cell>
        </row>
        <row r="293">
          <cell r="C293">
            <v>3868.53</v>
          </cell>
        </row>
        <row r="294">
          <cell r="C294">
            <v>20</v>
          </cell>
        </row>
      </sheetData>
      <sheetData sheetId="13">
        <row r="49">
          <cell r="C49">
            <v>910392.4</v>
          </cell>
          <cell r="L49">
            <v>446256.00999999995</v>
          </cell>
        </row>
        <row r="171">
          <cell r="B171">
            <v>1284.4100000000001</v>
          </cell>
        </row>
        <row r="196">
          <cell r="C196">
            <v>366734.23000000004</v>
          </cell>
        </row>
        <row r="280">
          <cell r="C280">
            <v>490100.57</v>
          </cell>
        </row>
        <row r="293">
          <cell r="C293">
            <v>2945.3</v>
          </cell>
        </row>
        <row r="294">
          <cell r="C294">
            <v>80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 Recon"/>
      <sheetName val="Total 2015"/>
      <sheetName val="American 12-15"/>
      <sheetName val="American 11-15"/>
      <sheetName val="American 10-15"/>
      <sheetName val="American 9-15"/>
      <sheetName val="American 8-15"/>
      <sheetName val="American 7-15"/>
      <sheetName val="American 6-15"/>
      <sheetName val="American 5-15"/>
      <sheetName val="American 4-15"/>
      <sheetName val="American 3-15"/>
      <sheetName val="American 2-15"/>
      <sheetName val="American 1-15"/>
    </sheetNames>
    <sheetDataSet>
      <sheetData sheetId="0"/>
      <sheetData sheetId="1"/>
      <sheetData sheetId="2">
        <row r="49">
          <cell r="C49">
            <v>282072.30999999994</v>
          </cell>
        </row>
        <row r="196">
          <cell r="C196">
            <v>162002.61000000002</v>
          </cell>
        </row>
      </sheetData>
      <sheetData sheetId="3">
        <row r="49">
          <cell r="C49">
            <v>531445.35</v>
          </cell>
        </row>
        <row r="196">
          <cell r="C196">
            <v>161424.77000000002</v>
          </cell>
        </row>
      </sheetData>
      <sheetData sheetId="4">
        <row r="49">
          <cell r="C49">
            <v>531045.71</v>
          </cell>
        </row>
        <row r="196">
          <cell r="C196">
            <v>162760.79</v>
          </cell>
        </row>
      </sheetData>
      <sheetData sheetId="5">
        <row r="49">
          <cell r="C49">
            <v>538675.55999999994</v>
          </cell>
        </row>
        <row r="196">
          <cell r="C196">
            <v>164867.18</v>
          </cell>
        </row>
      </sheetData>
      <sheetData sheetId="6">
        <row r="49">
          <cell r="C49">
            <v>530776.95000000019</v>
          </cell>
        </row>
        <row r="196">
          <cell r="C196">
            <v>168579.87999999995</v>
          </cell>
        </row>
      </sheetData>
      <sheetData sheetId="7">
        <row r="49">
          <cell r="C49">
            <v>533405.09000000008</v>
          </cell>
        </row>
        <row r="196">
          <cell r="C196">
            <v>168463.53999999998</v>
          </cell>
        </row>
      </sheetData>
      <sheetData sheetId="8">
        <row r="49">
          <cell r="C49">
            <v>522832.21000000008</v>
          </cell>
        </row>
        <row r="196">
          <cell r="C196">
            <v>166140.69999999998</v>
          </cell>
        </row>
      </sheetData>
      <sheetData sheetId="9">
        <row r="49">
          <cell r="C49">
            <v>522733.84</v>
          </cell>
        </row>
        <row r="196">
          <cell r="C196">
            <v>163146.71999999997</v>
          </cell>
        </row>
      </sheetData>
      <sheetData sheetId="10">
        <row r="49">
          <cell r="C49">
            <v>525694.03</v>
          </cell>
        </row>
        <row r="196">
          <cell r="C196">
            <v>159653.27000000002</v>
          </cell>
        </row>
      </sheetData>
      <sheetData sheetId="11">
        <row r="49">
          <cell r="C49">
            <v>511497.45</v>
          </cell>
        </row>
        <row r="196">
          <cell r="C196">
            <v>159232.98000000001</v>
          </cell>
        </row>
      </sheetData>
      <sheetData sheetId="12">
        <row r="49">
          <cell r="C49">
            <v>470491.02</v>
          </cell>
        </row>
        <row r="196">
          <cell r="C196">
            <v>154639.83000000005</v>
          </cell>
        </row>
      </sheetData>
      <sheetData sheetId="13">
        <row r="49">
          <cell r="C49">
            <v>472923.85</v>
          </cell>
          <cell r="L49">
            <v>227017.96499999997</v>
          </cell>
        </row>
        <row r="196">
          <cell r="C196">
            <v>153915.29000000007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"/>
      <sheetName val="Instructions"/>
      <sheetName val="User"/>
      <sheetName val="Settings"/>
      <sheetName val="Orientation"/>
      <sheetName val="Delivery"/>
      <sheetName val="RptClose"/>
      <sheetName val="Hidd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ss A IS"/>
      <sheetName val="2183 IS"/>
      <sheetName val="2184 IS"/>
      <sheetName val="2185 IS"/>
      <sheetName val="Consolidated IS"/>
      <sheetName val="Ratios Thurston"/>
      <sheetName val="2183 Pro forma"/>
      <sheetName val="2183 Ratios"/>
      <sheetName val="Restating Expl"/>
      <sheetName val="Pro forma Expl"/>
      <sheetName val="Pacific Regulated - Price Out"/>
      <sheetName val="Total Matrix"/>
      <sheetName val="Packer_RO Matrix"/>
      <sheetName val="COS Packer_RO"/>
      <sheetName val="Res YW Matix"/>
      <sheetName val="Res Recy Matrix"/>
      <sheetName val="MF Recy Matrix"/>
      <sheetName val="COS RR YW MFR"/>
      <sheetName val="Total Pac,Rural"/>
      <sheetName val="Rural"/>
      <sheetName val="LG-Pacific Pckr Rts"/>
      <sheetName val="LG-RO"/>
      <sheetName val="Res Recycl"/>
      <sheetName val="MF Recycl"/>
      <sheetName val="YW"/>
      <sheetName val="Depr Summary 2183"/>
      <sheetName val="Trucks 2183"/>
      <sheetName val="Containers 2183"/>
      <sheetName val="OTHER EQUIP 2183"/>
      <sheetName val="LeMay Global"/>
      <sheetName val="Fuel"/>
      <sheetName val="DF Schedule"/>
      <sheetName val="2183 Payroll"/>
      <sheetName val="2184 Payroll"/>
      <sheetName val="2185 Payroll"/>
      <sheetName val="Cust Cnt"/>
      <sheetName val="Unit Cnt"/>
      <sheetName val="70148 Summary"/>
      <sheetName val="Time Study"/>
      <sheetName val="Corp OH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49">
          <cell r="M49">
            <v>8000432.4617248299</v>
          </cell>
        </row>
        <row r="50">
          <cell r="F50">
            <v>8158680.0299999993</v>
          </cell>
        </row>
        <row r="58">
          <cell r="M58">
            <v>2625393.5068796892</v>
          </cell>
        </row>
        <row r="59">
          <cell r="F59">
            <v>2119461.4499999997</v>
          </cell>
        </row>
        <row r="69">
          <cell r="M69">
            <v>1361744.4391882615</v>
          </cell>
        </row>
        <row r="70">
          <cell r="F70">
            <v>1347163.92</v>
          </cell>
        </row>
        <row r="213">
          <cell r="M213">
            <v>4757117.5866496488</v>
          </cell>
        </row>
        <row r="214">
          <cell r="F214">
            <v>4859462.2200000007</v>
          </cell>
        </row>
        <row r="221">
          <cell r="M221">
            <v>395543.82663328515</v>
          </cell>
        </row>
        <row r="222">
          <cell r="F222">
            <v>332798.89999999997</v>
          </cell>
        </row>
        <row r="281">
          <cell r="M281">
            <v>1187221.5155152699</v>
          </cell>
        </row>
        <row r="282">
          <cell r="F282">
            <v>744277.47999999975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riff Rate Sheet"/>
      <sheetName val="Class A IS"/>
      <sheetName val="2149 BS"/>
      <sheetName val="9-30-11 BS"/>
      <sheetName val="2149 IS"/>
      <sheetName val="Consolidated IS"/>
      <sheetName val="Ratios"/>
      <sheetName val="Restating Adj"/>
      <sheetName val="Restating Expl"/>
      <sheetName val="Pro forma Adj"/>
      <sheetName val="Pro-forma"/>
      <sheetName val="LG-Combined"/>
      <sheetName val="LG-Pckr,RO"/>
      <sheetName val="LG-Recycl"/>
      <sheetName val="Price Out"/>
      <sheetName val="Rate Sheet"/>
      <sheetName val="Pckr, RO, Matrix"/>
      <sheetName val="COS Packer,RO "/>
      <sheetName val="Recycl Matrix"/>
      <sheetName val="COS Recycle"/>
      <sheetName val="Disposal Calc"/>
      <sheetName val="Disposal Schedule"/>
      <sheetName val="Fuel"/>
      <sheetName val="PR Summary"/>
      <sheetName val="Depr Summary"/>
      <sheetName val="Depreciation"/>
      <sheetName val="Cust Count"/>
      <sheetName val="Rt Study Summary"/>
      <sheetName val="Recycl Tons, Commodity Value"/>
      <sheetName val="Tribal Cnts"/>
      <sheetName val="Corp OH"/>
      <sheetName val="Corp Debt Equity"/>
      <sheetName val="Balance Sheet"/>
      <sheetName val="P&amp;L"/>
      <sheetName val="70195 JE-WRRA Dues"/>
      <sheetName val="56095 JE"/>
      <sheetName val="Non-Reg Price Out"/>
      <sheetName val="30% Commodity Justification"/>
      <sheetName val="TRC Processing Justfication"/>
      <sheetName val="Orig Price Out"/>
      <sheetName val="Rate Sheet Dec 2012"/>
      <sheetName val="Orig COS Packer,RO "/>
      <sheetName val="LG-Pckr w DF"/>
      <sheetName val="LG-Pckr w-out DF"/>
      <sheetName val="LG-RO"/>
    </sheetNames>
    <sheetDataSet>
      <sheetData sheetId="0">
        <row r="107">
          <cell r="L107">
            <v>1755086.2007667283</v>
          </cell>
        </row>
        <row r="214">
          <cell r="L214">
            <v>861493.18580596044</v>
          </cell>
        </row>
        <row r="278">
          <cell r="L278">
            <v>840474.49671344017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23">
          <cell r="L23">
            <v>2329.3388396454475</v>
          </cell>
        </row>
      </sheetData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rorNote"/>
      <sheetName val="ControlPanel"/>
      <sheetName val="PL_ActReview"/>
      <sheetName val="BS_Close"/>
      <sheetName val="PL_ActTranx"/>
      <sheetName val="JE_Review"/>
      <sheetName val="PL_CloseByDay"/>
      <sheetName val="PL_IS200"/>
      <sheetName val="PL_IS210"/>
      <sheetName val="PL_ActByDistrict"/>
      <sheetName val="PL_ProjReview"/>
    </sheetNames>
    <sheetDataSet>
      <sheetData sheetId="0" refreshError="1"/>
      <sheetData sheetId="1" refreshError="1">
        <row r="2">
          <cell r="X2" t="str">
            <v>P&amp;L Close Report</v>
          </cell>
          <cell r="Z2" t="str">
            <v>Consolidated</v>
          </cell>
        </row>
        <row r="3">
          <cell r="Z3" t="str">
            <v>Region</v>
          </cell>
        </row>
        <row r="4">
          <cell r="Z4" t="str">
            <v>District</v>
          </cell>
        </row>
        <row r="5">
          <cell r="Z5" t="str">
            <v>Multiple Districts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ss A, IS "/>
      <sheetName val="Vashon BS"/>
      <sheetName val="Vashon IS"/>
      <sheetName val="Consolidated IS"/>
      <sheetName val="Restating Adj"/>
      <sheetName val="Prof Adj"/>
      <sheetName val="Price-out"/>
      <sheetName val="LG-Total Comp"/>
      <sheetName val="LG-Packer Rts"/>
      <sheetName val="LG-RO Rts"/>
      <sheetName val="LG-Recycl"/>
      <sheetName val="DF Schedule"/>
      <sheetName val="Depr-Summary"/>
      <sheetName val="2132 Trks"/>
      <sheetName val="2132 Cont, DB"/>
      <sheetName val="2132 Oth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M001Tranx"/>
      <sheetName val="JEexport"/>
      <sheetName val="Intro Memo"/>
      <sheetName val="JE_Summary"/>
      <sheetName val="Mth00"/>
      <sheetName val="Mth01"/>
      <sheetName val="Mth02"/>
      <sheetName val="Mth03"/>
      <sheetName val="Mth04"/>
      <sheetName val="Mth05"/>
      <sheetName val="Mth06"/>
      <sheetName val="Mth07"/>
      <sheetName val="Mth08"/>
      <sheetName val="Mth09"/>
      <sheetName val="Mth10"/>
      <sheetName val="Mth11"/>
      <sheetName val="Mth12"/>
      <sheetName val="TEST"/>
      <sheetName val="To Do"/>
      <sheetName val="GLMapping"/>
      <sheetName val="BatchLog"/>
      <sheetName val="Reference"/>
    </sheetNames>
    <sheetDataSet>
      <sheetData sheetId="0"/>
      <sheetData sheetId="1">
        <row r="9">
          <cell r="L9">
            <v>11501</v>
          </cell>
        </row>
        <row r="10">
          <cell r="L10" t="str">
            <v>11501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rorNote"/>
      <sheetName val="ControlPanel"/>
      <sheetName val="PL_ActReview"/>
      <sheetName val="PL_ActReview2"/>
      <sheetName val="BS_Close"/>
      <sheetName val="PL_ActTranx"/>
      <sheetName val="IS200PL"/>
      <sheetName val="IS210PL"/>
      <sheetName val="ProjRevCheck"/>
      <sheetName val="BDebtCheck"/>
      <sheetName val="52901Check"/>
      <sheetName val="ICCheck"/>
      <sheetName val="BSCheck"/>
      <sheetName val="BadJECheck"/>
      <sheetName val="JE_Review"/>
      <sheetName val="Proj1"/>
      <sheetName val="Proj2"/>
    </sheetNames>
    <sheetDataSet>
      <sheetData sheetId="0"/>
      <sheetData sheetId="1" refreshError="1">
        <row r="2">
          <cell r="S2" t="str">
            <v>P&amp;L Close Report</v>
          </cell>
        </row>
        <row r="3">
          <cell r="S3" t="str">
            <v>P&amp;L Close Report 2</v>
          </cell>
        </row>
        <row r="4">
          <cell r="S4" t="str">
            <v>BS Close Report</v>
          </cell>
        </row>
        <row r="5">
          <cell r="S5" t="str">
            <v>IS 200 - PL Review</v>
          </cell>
        </row>
        <row r="6">
          <cell r="S6" t="str">
            <v>IS 210 - PL Review</v>
          </cell>
        </row>
        <row r="7">
          <cell r="S7" t="str">
            <v>P&amp;L Tranx Report</v>
          </cell>
        </row>
        <row r="8">
          <cell r="S8" t="str">
            <v>JE Review Report</v>
          </cell>
        </row>
        <row r="9">
          <cell r="S9" t="str">
            <v>Corp: Rev/Proj Check</v>
          </cell>
        </row>
        <row r="10">
          <cell r="S10" t="str">
            <v>Corp: 52901 Check</v>
          </cell>
        </row>
        <row r="11">
          <cell r="S11" t="str">
            <v>Corp: BS Check</v>
          </cell>
        </row>
        <row r="12">
          <cell r="S12" t="str">
            <v>Corp: Bad Debt Check</v>
          </cell>
        </row>
        <row r="13">
          <cell r="S13" t="str">
            <v>Corp: IC Check</v>
          </cell>
        </row>
        <row r="14">
          <cell r="S14" t="str">
            <v>Corp: JE Neg Check</v>
          </cell>
        </row>
        <row r="15">
          <cell r="S15" t="str">
            <v>Proj Review Report</v>
          </cell>
        </row>
        <row r="16">
          <cell r="S16" t="str">
            <v>Proj Review Report 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ssA, Certification"/>
      <sheetName val="OrgControl"/>
      <sheetName val="InsuranceAccident"/>
      <sheetName val="bsasset"/>
      <sheetName val="bsliab"/>
      <sheetName val="FixedAssets"/>
      <sheetName val="RetainedEarnings"/>
      <sheetName val="Income Statement"/>
      <sheetName val="RevenuesCust"/>
      <sheetName val="Recycle"/>
      <sheetName val="contracts"/>
      <sheetName val="GarbageDisp"/>
      <sheetName val="RecycleProcessing"/>
      <sheetName val="Payroll"/>
      <sheetName val="FeeCal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1"/>
  <sheetViews>
    <sheetView zoomScaleNormal="100" workbookViewId="0">
      <selection activeCell="C69" sqref="C69"/>
    </sheetView>
  </sheetViews>
  <sheetFormatPr defaultColWidth="9.1796875" defaultRowHeight="14.5"/>
  <cols>
    <col min="1" max="1" width="31.26953125" style="3" customWidth="1"/>
    <col min="2" max="2" width="7" style="23" customWidth="1"/>
    <col min="3" max="3" width="19" style="3" bestFit="1" customWidth="1"/>
    <col min="4" max="4" width="16" style="3" bestFit="1" customWidth="1"/>
    <col min="5" max="5" width="10.54296875" style="3" bestFit="1" customWidth="1"/>
    <col min="6" max="6" width="7" style="3" bestFit="1" customWidth="1"/>
    <col min="7" max="7" width="11.453125" style="3" bestFit="1" customWidth="1"/>
    <col min="8" max="8" width="10" style="3" bestFit="1" customWidth="1"/>
    <col min="9" max="9" width="8" style="3" bestFit="1" customWidth="1"/>
    <col min="10" max="10" width="15.81640625" style="3" bestFit="1" customWidth="1"/>
    <col min="11" max="11" width="14.54296875" style="3" customWidth="1"/>
    <col min="12" max="16384" width="9.1796875" style="3"/>
  </cols>
  <sheetData>
    <row r="1" spans="1:9">
      <c r="A1" s="432" t="s">
        <v>19</v>
      </c>
      <c r="B1" s="432"/>
      <c r="C1" s="432"/>
      <c r="D1" s="432"/>
      <c r="E1" s="432"/>
      <c r="F1" s="432"/>
      <c r="G1" s="432"/>
      <c r="H1" s="432"/>
      <c r="I1" s="432"/>
    </row>
    <row r="2" spans="1:9">
      <c r="A2" s="3" t="s">
        <v>55</v>
      </c>
      <c r="C2" s="10" t="s">
        <v>42</v>
      </c>
      <c r="D2" s="10" t="s">
        <v>43</v>
      </c>
      <c r="E2" s="10" t="s">
        <v>44</v>
      </c>
      <c r="F2" s="11" t="s">
        <v>46</v>
      </c>
      <c r="G2" s="11" t="s">
        <v>47</v>
      </c>
      <c r="H2" s="11" t="s">
        <v>48</v>
      </c>
      <c r="I2" s="10" t="s">
        <v>51</v>
      </c>
    </row>
    <row r="3" spans="1:9">
      <c r="A3" s="3" t="s">
        <v>52</v>
      </c>
      <c r="C3" s="1">
        <f>52*5/12</f>
        <v>21.666666666666668</v>
      </c>
      <c r="D3" s="12">
        <f>$C$3*2</f>
        <v>43.333333333333336</v>
      </c>
      <c r="E3" s="12">
        <f>$C$3*3</f>
        <v>65</v>
      </c>
      <c r="F3" s="12">
        <f>$C$3*4</f>
        <v>86.666666666666671</v>
      </c>
      <c r="G3" s="12">
        <f>$C$3*5</f>
        <v>108.33333333333334</v>
      </c>
      <c r="H3" s="12">
        <f>$C$3*6</f>
        <v>130</v>
      </c>
      <c r="I3" s="12">
        <f>$C$3*7</f>
        <v>151.66666666666669</v>
      </c>
    </row>
    <row r="4" spans="1:9">
      <c r="A4" s="3" t="s">
        <v>89</v>
      </c>
      <c r="C4" s="1">
        <f>52*4/12</f>
        <v>17.333333333333332</v>
      </c>
      <c r="D4" s="12">
        <f>$C$4*2</f>
        <v>34.666666666666664</v>
      </c>
      <c r="E4" s="12">
        <f>$C$4*3</f>
        <v>52</v>
      </c>
      <c r="F4" s="12">
        <f>$C$4*4</f>
        <v>69.333333333333329</v>
      </c>
      <c r="G4" s="12">
        <f>$C$4*5</f>
        <v>86.666666666666657</v>
      </c>
      <c r="H4" s="12">
        <f>$C$4*6</f>
        <v>104</v>
      </c>
      <c r="I4" s="12">
        <f>$C$4*7</f>
        <v>121.33333333333333</v>
      </c>
    </row>
    <row r="5" spans="1:9">
      <c r="A5" s="3" t="s">
        <v>53</v>
      </c>
      <c r="C5" s="1">
        <f>52*3/12</f>
        <v>13</v>
      </c>
      <c r="D5" s="12">
        <f>$C$5*2</f>
        <v>26</v>
      </c>
      <c r="E5" s="12">
        <f>$C$5*3</f>
        <v>39</v>
      </c>
      <c r="F5" s="12">
        <f>$C$5*4</f>
        <v>52</v>
      </c>
      <c r="G5" s="12">
        <f>$C$5*5</f>
        <v>65</v>
      </c>
      <c r="H5" s="12">
        <f>$C$5*6</f>
        <v>78</v>
      </c>
      <c r="I5" s="12">
        <f>$C$5*7</f>
        <v>91</v>
      </c>
    </row>
    <row r="6" spans="1:9">
      <c r="A6" s="3" t="s">
        <v>54</v>
      </c>
      <c r="C6" s="1">
        <f>52*2/12</f>
        <v>8.6666666666666661</v>
      </c>
      <c r="D6" s="13">
        <f>$C$6*2</f>
        <v>17.333333333333332</v>
      </c>
      <c r="E6" s="13">
        <f>$C$6*3</f>
        <v>26</v>
      </c>
      <c r="F6" s="13">
        <f>$C$6*4</f>
        <v>34.666666666666664</v>
      </c>
      <c r="G6" s="13">
        <f>$C$6*5</f>
        <v>43.333333333333329</v>
      </c>
      <c r="H6" s="13">
        <f>$C$6*6</f>
        <v>52</v>
      </c>
      <c r="I6" s="13">
        <f>$C$6*7</f>
        <v>60.666666666666664</v>
      </c>
    </row>
    <row r="7" spans="1:9">
      <c r="A7" s="3" t="s">
        <v>22</v>
      </c>
      <c r="C7" s="1">
        <f>52/12</f>
        <v>4.333333333333333</v>
      </c>
      <c r="D7" s="13">
        <f>$C$7*2</f>
        <v>8.6666666666666661</v>
      </c>
      <c r="E7" s="13">
        <f>$C$7*3</f>
        <v>13</v>
      </c>
      <c r="F7" s="13">
        <f>$C$7*4</f>
        <v>17.333333333333332</v>
      </c>
      <c r="G7" s="13">
        <f>$C$7*5</f>
        <v>21.666666666666664</v>
      </c>
      <c r="H7" s="13">
        <f>$C$7*6</f>
        <v>26</v>
      </c>
      <c r="I7" s="13">
        <f>$C$7*7</f>
        <v>30.333333333333332</v>
      </c>
    </row>
    <row r="8" spans="1:9">
      <c r="A8" s="3" t="s">
        <v>24</v>
      </c>
      <c r="C8" s="1">
        <f>26/12</f>
        <v>2.1666666666666665</v>
      </c>
      <c r="D8" s="13">
        <f>$C$8*2</f>
        <v>4.333333333333333</v>
      </c>
      <c r="E8" s="13">
        <f>$C$8*3</f>
        <v>6.5</v>
      </c>
      <c r="F8" s="13">
        <f>$C$8*4</f>
        <v>8.6666666666666661</v>
      </c>
      <c r="G8" s="13">
        <f>$C$8*5</f>
        <v>10.833333333333332</v>
      </c>
      <c r="H8" s="13">
        <f>$C$8*6</f>
        <v>13</v>
      </c>
      <c r="I8" s="13">
        <f>$C$8*7</f>
        <v>15.166666666666666</v>
      </c>
    </row>
    <row r="9" spans="1:9">
      <c r="A9" s="3" t="s">
        <v>23</v>
      </c>
      <c r="C9" s="1">
        <f>12/12</f>
        <v>1</v>
      </c>
      <c r="D9" s="13">
        <f>$C$9*2</f>
        <v>2</v>
      </c>
      <c r="E9" s="13">
        <f>$C$9*3</f>
        <v>3</v>
      </c>
      <c r="F9" s="13">
        <f>$C$9*4</f>
        <v>4</v>
      </c>
      <c r="G9" s="13">
        <f>$C$9*5</f>
        <v>5</v>
      </c>
      <c r="H9" s="13">
        <f>$C$9*6</f>
        <v>6</v>
      </c>
      <c r="I9" s="13">
        <f>$C$9*7</f>
        <v>7</v>
      </c>
    </row>
    <row r="10" spans="1:9">
      <c r="A10" s="23" t="s">
        <v>120</v>
      </c>
      <c r="C10" s="1">
        <v>1</v>
      </c>
      <c r="D10" s="13"/>
      <c r="E10" s="13"/>
      <c r="F10" s="13"/>
      <c r="G10" s="13"/>
      <c r="H10" s="13"/>
      <c r="I10" s="13"/>
    </row>
    <row r="11" spans="1:9">
      <c r="A11" s="432" t="s">
        <v>11</v>
      </c>
      <c r="B11" s="432"/>
      <c r="C11" s="432"/>
      <c r="D11" s="27"/>
      <c r="E11" s="13"/>
      <c r="F11" s="13"/>
      <c r="G11" s="13"/>
      <c r="H11" s="13"/>
      <c r="I11" s="13"/>
    </row>
    <row r="12" spans="1:9">
      <c r="A12" s="25" t="s">
        <v>50</v>
      </c>
      <c r="B12" s="25"/>
      <c r="C12" s="29" t="s">
        <v>79</v>
      </c>
      <c r="D12" s="27"/>
      <c r="E12" s="13"/>
      <c r="F12" s="13"/>
      <c r="G12" s="13"/>
      <c r="H12" s="13"/>
      <c r="I12" s="13"/>
    </row>
    <row r="13" spans="1:9">
      <c r="A13" s="28" t="s">
        <v>80</v>
      </c>
      <c r="B13" s="48"/>
      <c r="C13" s="26">
        <v>20</v>
      </c>
      <c r="D13" s="27"/>
      <c r="E13" s="13"/>
      <c r="F13" s="13"/>
      <c r="G13" s="13"/>
      <c r="H13" s="13"/>
      <c r="I13" s="13"/>
    </row>
    <row r="14" spans="1:9">
      <c r="A14" s="28" t="s">
        <v>56</v>
      </c>
      <c r="B14" s="48"/>
      <c r="C14" s="26">
        <v>34</v>
      </c>
      <c r="D14" s="27"/>
      <c r="E14" s="13"/>
      <c r="F14" s="13"/>
      <c r="G14" s="13"/>
      <c r="H14" s="13"/>
      <c r="I14" s="13"/>
    </row>
    <row r="15" spans="1:9">
      <c r="A15" s="28" t="s">
        <v>57</v>
      </c>
      <c r="B15" s="48"/>
      <c r="C15" s="26">
        <v>51</v>
      </c>
      <c r="D15" s="27"/>
      <c r="E15" s="13"/>
      <c r="F15" s="13"/>
      <c r="G15" s="13"/>
      <c r="H15" s="13"/>
      <c r="I15" s="13"/>
    </row>
    <row r="16" spans="1:9">
      <c r="A16" s="28" t="s">
        <v>58</v>
      </c>
      <c r="B16" s="48"/>
      <c r="C16" s="26">
        <v>77</v>
      </c>
      <c r="D16" s="27"/>
      <c r="E16" s="13"/>
      <c r="F16" s="13"/>
      <c r="G16" s="3" t="s">
        <v>20</v>
      </c>
      <c r="H16" s="7">
        <v>2000</v>
      </c>
      <c r="I16" s="13"/>
    </row>
    <row r="17" spans="1:9">
      <c r="A17" s="28" t="s">
        <v>59</v>
      </c>
      <c r="B17" s="48"/>
      <c r="C17" s="26">
        <v>97</v>
      </c>
      <c r="D17" s="27"/>
      <c r="E17" s="13"/>
      <c r="F17" s="13"/>
      <c r="G17" s="3" t="s">
        <v>21</v>
      </c>
      <c r="H17" s="15" t="s">
        <v>45</v>
      </c>
      <c r="I17" s="13"/>
    </row>
    <row r="18" spans="1:9">
      <c r="A18" s="28" t="s">
        <v>60</v>
      </c>
      <c r="B18" s="48"/>
      <c r="C18" s="26">
        <v>117</v>
      </c>
      <c r="D18" s="27"/>
      <c r="E18" s="13"/>
      <c r="F18" s="13"/>
      <c r="I18" s="13"/>
    </row>
    <row r="19" spans="1:9">
      <c r="A19" s="28" t="s">
        <v>61</v>
      </c>
      <c r="B19" s="48"/>
      <c r="C19" s="26">
        <v>137</v>
      </c>
      <c r="D19" s="27"/>
      <c r="E19" s="13"/>
      <c r="F19" s="13"/>
      <c r="G19" s="161" t="s">
        <v>82</v>
      </c>
      <c r="H19" s="182">
        <v>12</v>
      </c>
      <c r="I19" s="13"/>
    </row>
    <row r="20" spans="1:9" s="23" customFormat="1">
      <c r="A20" s="48" t="s">
        <v>443</v>
      </c>
      <c r="B20" s="48"/>
      <c r="C20" s="38">
        <v>40</v>
      </c>
      <c r="D20" s="47" t="s">
        <v>81</v>
      </c>
      <c r="E20" s="27"/>
      <c r="F20" s="27"/>
      <c r="G20" s="8"/>
      <c r="H20" s="9"/>
      <c r="I20" s="27"/>
    </row>
    <row r="21" spans="1:9">
      <c r="A21" s="28" t="s">
        <v>62</v>
      </c>
      <c r="B21" s="48"/>
      <c r="C21" s="26">
        <v>47</v>
      </c>
      <c r="D21" s="27"/>
      <c r="E21" s="13"/>
      <c r="F21" s="13"/>
      <c r="G21" s="13"/>
      <c r="H21" s="13"/>
      <c r="I21" s="13"/>
    </row>
    <row r="22" spans="1:9">
      <c r="A22" s="28" t="s">
        <v>63</v>
      </c>
      <c r="B22" s="48"/>
      <c r="C22" s="26">
        <v>68</v>
      </c>
      <c r="D22" s="27"/>
      <c r="E22" s="13"/>
      <c r="F22" s="13"/>
      <c r="G22" s="13"/>
      <c r="H22" s="13"/>
      <c r="I22" s="13"/>
    </row>
    <row r="23" spans="1:9">
      <c r="A23" s="28" t="s">
        <v>64</v>
      </c>
      <c r="B23" s="48"/>
      <c r="C23" s="26">
        <v>34</v>
      </c>
      <c r="D23" s="27"/>
      <c r="E23" s="13"/>
      <c r="F23" s="13"/>
      <c r="G23" s="13"/>
      <c r="H23" s="13"/>
      <c r="I23" s="13"/>
    </row>
    <row r="24" spans="1:9">
      <c r="A24" s="28" t="s">
        <v>32</v>
      </c>
      <c r="B24" s="48"/>
      <c r="C24" s="26">
        <v>34</v>
      </c>
      <c r="D24" s="27"/>
      <c r="E24" s="13"/>
      <c r="F24" s="13"/>
      <c r="G24" s="13"/>
      <c r="H24" s="13"/>
      <c r="I24" s="13"/>
    </row>
    <row r="25" spans="1:9">
      <c r="A25" s="25" t="s">
        <v>65</v>
      </c>
      <c r="B25" s="25"/>
      <c r="C25" s="26"/>
      <c r="D25" s="27"/>
      <c r="E25" s="13"/>
      <c r="F25" s="13"/>
      <c r="G25" s="13"/>
      <c r="H25" s="13"/>
      <c r="I25" s="13"/>
    </row>
    <row r="26" spans="1:9">
      <c r="A26" s="28" t="s">
        <v>66</v>
      </c>
      <c r="B26" s="48"/>
      <c r="C26" s="26">
        <v>29</v>
      </c>
      <c r="D26" s="27"/>
      <c r="E26" s="13"/>
      <c r="F26" s="13"/>
      <c r="G26" s="13"/>
      <c r="H26" s="13"/>
      <c r="I26" s="13"/>
    </row>
    <row r="27" spans="1:9" s="23" customFormat="1">
      <c r="A27" s="48" t="s">
        <v>78</v>
      </c>
      <c r="B27" s="48"/>
      <c r="C27" s="38">
        <v>125</v>
      </c>
      <c r="D27" s="47"/>
      <c r="E27" s="47"/>
      <c r="F27" s="47"/>
      <c r="G27" s="47"/>
      <c r="H27" s="47"/>
      <c r="I27" s="47"/>
    </row>
    <row r="28" spans="1:9">
      <c r="A28" s="28" t="s">
        <v>67</v>
      </c>
      <c r="B28" s="48"/>
      <c r="C28" s="26">
        <v>175</v>
      </c>
      <c r="D28" s="27"/>
      <c r="E28" s="13"/>
      <c r="F28" s="13"/>
      <c r="G28" s="13"/>
      <c r="H28" s="13"/>
      <c r="I28" s="13"/>
    </row>
    <row r="29" spans="1:9">
      <c r="A29" s="28" t="s">
        <v>68</v>
      </c>
      <c r="B29" s="48"/>
      <c r="C29" s="26">
        <v>250</v>
      </c>
      <c r="D29" s="27"/>
      <c r="E29" s="13"/>
      <c r="F29" s="13"/>
      <c r="G29" s="13"/>
      <c r="H29" s="13"/>
      <c r="I29" s="13"/>
    </row>
    <row r="30" spans="1:9">
      <c r="A30" s="28" t="s">
        <v>69</v>
      </c>
      <c r="B30" s="48"/>
      <c r="C30" s="26">
        <v>324</v>
      </c>
      <c r="D30" s="27"/>
      <c r="E30" s="13"/>
      <c r="F30" s="13"/>
      <c r="G30" s="13"/>
      <c r="H30" s="13"/>
      <c r="I30" s="13"/>
    </row>
    <row r="31" spans="1:9">
      <c r="A31" s="28" t="s">
        <v>70</v>
      </c>
      <c r="B31" s="48"/>
      <c r="C31" s="26">
        <v>473</v>
      </c>
      <c r="D31" s="27"/>
      <c r="E31" s="13"/>
      <c r="F31" s="13"/>
      <c r="G31" s="13"/>
      <c r="H31" s="13"/>
      <c r="I31" s="13"/>
    </row>
    <row r="32" spans="1:9">
      <c r="A32" s="28" t="s">
        <v>71</v>
      </c>
      <c r="B32" s="48"/>
      <c r="C32" s="26">
        <v>613</v>
      </c>
      <c r="D32" s="27"/>
      <c r="E32" s="13"/>
      <c r="F32" s="13"/>
      <c r="G32" s="13"/>
      <c r="H32" s="13"/>
      <c r="I32" s="13"/>
    </row>
    <row r="33" spans="1:9">
      <c r="A33" s="28" t="s">
        <v>72</v>
      </c>
      <c r="B33" s="48"/>
      <c r="C33" s="26">
        <v>840</v>
      </c>
      <c r="D33" s="27"/>
      <c r="E33" s="13"/>
      <c r="F33" s="13"/>
      <c r="G33" s="13"/>
      <c r="H33" s="13"/>
      <c r="I33" s="13"/>
    </row>
    <row r="34" spans="1:9">
      <c r="A34" s="28" t="s">
        <v>73</v>
      </c>
      <c r="B34" s="48"/>
      <c r="C34" s="26">
        <v>980</v>
      </c>
      <c r="D34" s="172"/>
      <c r="E34" s="13"/>
      <c r="F34" s="13"/>
      <c r="G34" s="13"/>
      <c r="H34" s="13"/>
      <c r="I34" s="13"/>
    </row>
    <row r="35" spans="1:9" s="23" customFormat="1">
      <c r="A35" s="173" t="s">
        <v>277</v>
      </c>
      <c r="B35" s="173">
        <v>2.25</v>
      </c>
      <c r="C35" s="38"/>
      <c r="D35" s="172"/>
      <c r="E35" s="47"/>
      <c r="F35" s="47"/>
      <c r="G35" s="47"/>
      <c r="H35" s="47"/>
      <c r="I35" s="47"/>
    </row>
    <row r="36" spans="1:9" s="23" customFormat="1">
      <c r="A36" s="28" t="s">
        <v>75</v>
      </c>
      <c r="B36" s="48"/>
      <c r="C36" s="26">
        <f>C30*$B$35</f>
        <v>729</v>
      </c>
      <c r="D36" s="27" t="s">
        <v>81</v>
      </c>
      <c r="E36" s="24"/>
      <c r="F36" s="24"/>
      <c r="G36" s="24"/>
      <c r="H36" s="24"/>
      <c r="I36" s="24"/>
    </row>
    <row r="37" spans="1:9" s="23" customFormat="1">
      <c r="A37" s="28" t="s">
        <v>76</v>
      </c>
      <c r="B37" s="48"/>
      <c r="C37" s="38">
        <f>C32*$B$35</f>
        <v>1379.25</v>
      </c>
      <c r="D37" s="47" t="s">
        <v>81</v>
      </c>
      <c r="E37" s="24"/>
      <c r="F37" s="24"/>
      <c r="G37" s="24"/>
      <c r="H37" s="24"/>
      <c r="I37" s="24"/>
    </row>
    <row r="38" spans="1:9" s="23" customFormat="1">
      <c r="A38" s="28" t="s">
        <v>77</v>
      </c>
      <c r="B38" s="48"/>
      <c r="C38" s="38">
        <f>C33*$B$35</f>
        <v>1890</v>
      </c>
      <c r="D38" s="47" t="s">
        <v>81</v>
      </c>
      <c r="E38" s="24"/>
      <c r="F38" s="24"/>
      <c r="G38" s="24"/>
      <c r="H38" s="24"/>
      <c r="I38" s="24"/>
    </row>
    <row r="39" spans="1:9" s="23" customFormat="1">
      <c r="A39" s="173" t="s">
        <v>276</v>
      </c>
      <c r="B39" s="173">
        <v>3</v>
      </c>
      <c r="C39" s="38"/>
      <c r="D39" s="47"/>
      <c r="E39" s="47"/>
      <c r="F39" s="47"/>
      <c r="G39" s="47"/>
      <c r="H39" s="47"/>
      <c r="I39" s="47"/>
    </row>
    <row r="40" spans="1:9" s="23" customFormat="1">
      <c r="A40" s="48" t="s">
        <v>75</v>
      </c>
      <c r="B40" s="48"/>
      <c r="C40" s="175">
        <f>C30*$B$39</f>
        <v>972</v>
      </c>
      <c r="D40" s="47" t="s">
        <v>81</v>
      </c>
      <c r="E40" s="47"/>
      <c r="F40" s="47"/>
      <c r="G40" s="47"/>
      <c r="H40" s="47"/>
      <c r="I40" s="47"/>
    </row>
    <row r="41" spans="1:9" s="23" customFormat="1">
      <c r="A41" s="48" t="s">
        <v>74</v>
      </c>
      <c r="B41" s="48"/>
      <c r="C41" s="175">
        <f t="shared" ref="C41:C43" si="0">C31*$B$39</f>
        <v>1419</v>
      </c>
      <c r="D41" s="47" t="s">
        <v>81</v>
      </c>
      <c r="E41" s="47"/>
      <c r="F41" s="47"/>
      <c r="G41" s="47"/>
      <c r="H41" s="47"/>
      <c r="I41" s="47"/>
    </row>
    <row r="42" spans="1:9" s="23" customFormat="1">
      <c r="A42" s="48" t="s">
        <v>76</v>
      </c>
      <c r="B42" s="48"/>
      <c r="C42" s="175">
        <f t="shared" si="0"/>
        <v>1839</v>
      </c>
      <c r="D42" s="47" t="s">
        <v>81</v>
      </c>
      <c r="E42" s="47"/>
      <c r="F42" s="47"/>
      <c r="G42" s="47"/>
      <c r="H42" s="47"/>
      <c r="I42" s="47"/>
    </row>
    <row r="43" spans="1:9" s="23" customFormat="1">
      <c r="A43" s="48" t="s">
        <v>77</v>
      </c>
      <c r="B43" s="48"/>
      <c r="C43" s="175">
        <f t="shared" si="0"/>
        <v>2520</v>
      </c>
      <c r="D43" s="47" t="s">
        <v>81</v>
      </c>
      <c r="E43" s="47"/>
      <c r="F43" s="47"/>
      <c r="G43" s="47"/>
      <c r="H43" s="47"/>
      <c r="I43" s="47"/>
    </row>
    <row r="44" spans="1:9" s="23" customFormat="1">
      <c r="A44" s="173" t="s">
        <v>278</v>
      </c>
      <c r="B44" s="173">
        <v>4</v>
      </c>
      <c r="C44" s="38"/>
      <c r="D44" s="47"/>
      <c r="E44" s="47"/>
      <c r="F44" s="47"/>
      <c r="G44" s="47"/>
      <c r="H44" s="47"/>
      <c r="I44" s="47"/>
    </row>
    <row r="45" spans="1:9" s="23" customFormat="1">
      <c r="A45" s="48" t="s">
        <v>74</v>
      </c>
      <c r="B45" s="48"/>
      <c r="C45" s="175">
        <f t="shared" ref="C45:C47" si="1">C31*$B$44</f>
        <v>1892</v>
      </c>
      <c r="D45" s="47" t="s">
        <v>81</v>
      </c>
      <c r="E45" s="47"/>
      <c r="F45" s="47"/>
      <c r="G45" s="47"/>
      <c r="H45" s="47"/>
      <c r="I45" s="47"/>
    </row>
    <row r="46" spans="1:9" s="23" customFormat="1">
      <c r="A46" s="48" t="s">
        <v>76</v>
      </c>
      <c r="B46" s="48"/>
      <c r="C46" s="175">
        <f t="shared" si="1"/>
        <v>2452</v>
      </c>
      <c r="D46" s="47" t="s">
        <v>81</v>
      </c>
      <c r="E46" s="47"/>
      <c r="F46" s="47"/>
      <c r="G46" s="47"/>
      <c r="H46" s="47"/>
      <c r="I46" s="47"/>
    </row>
    <row r="47" spans="1:9" s="23" customFormat="1">
      <c r="A47" s="48" t="s">
        <v>77</v>
      </c>
      <c r="B47" s="48"/>
      <c r="C47" s="175">
        <f t="shared" si="1"/>
        <v>3360</v>
      </c>
      <c r="D47" s="47" t="s">
        <v>81</v>
      </c>
      <c r="E47" s="47"/>
      <c r="F47" s="47"/>
      <c r="G47" s="47"/>
      <c r="H47" s="47"/>
      <c r="I47" s="47"/>
    </row>
    <row r="48" spans="1:9" s="23" customFormat="1">
      <c r="A48" s="173" t="s">
        <v>279</v>
      </c>
      <c r="B48" s="173">
        <v>5</v>
      </c>
      <c r="C48" s="38"/>
      <c r="D48" s="47"/>
      <c r="E48" s="47"/>
      <c r="F48" s="47"/>
      <c r="G48" s="47"/>
      <c r="H48" s="47"/>
      <c r="I48" s="47"/>
    </row>
    <row r="49" spans="1:10" s="23" customFormat="1">
      <c r="A49" s="48" t="s">
        <v>76</v>
      </c>
      <c r="B49" s="48"/>
      <c r="C49" s="175">
        <f>C32*$B$48</f>
        <v>3065</v>
      </c>
      <c r="D49" s="47" t="s">
        <v>81</v>
      </c>
      <c r="E49" s="47"/>
      <c r="F49" s="47"/>
      <c r="G49" s="47"/>
      <c r="H49" s="47"/>
      <c r="I49" s="47"/>
    </row>
    <row r="50" spans="1:10" s="23" customFormat="1">
      <c r="A50" s="48" t="s">
        <v>77</v>
      </c>
      <c r="B50" s="48"/>
      <c r="C50" s="175">
        <f>C33*$B$48</f>
        <v>4200</v>
      </c>
      <c r="D50" s="47" t="s">
        <v>81</v>
      </c>
      <c r="E50" s="47"/>
      <c r="F50" s="47"/>
      <c r="G50" s="47"/>
      <c r="H50" s="47"/>
      <c r="I50" s="47"/>
    </row>
    <row r="51" spans="1:10">
      <c r="C51" s="434" t="s">
        <v>280</v>
      </c>
      <c r="D51" s="434"/>
    </row>
    <row r="52" spans="1:10">
      <c r="C52" s="3" t="s">
        <v>281</v>
      </c>
    </row>
    <row r="54" spans="1:10">
      <c r="A54" s="22" t="s">
        <v>272</v>
      </c>
      <c r="B54" s="52"/>
      <c r="C54" s="20" t="s">
        <v>6</v>
      </c>
      <c r="D54" s="20" t="s">
        <v>7</v>
      </c>
      <c r="G54" s="433" t="s">
        <v>27</v>
      </c>
      <c r="H54" s="433"/>
    </row>
    <row r="55" spans="1:10">
      <c r="A55" s="16" t="s">
        <v>8</v>
      </c>
      <c r="B55" s="170"/>
      <c r="C55" s="165">
        <v>144.97</v>
      </c>
      <c r="D55" s="166">
        <f>C55/2000</f>
        <v>7.2484999999999994E-2</v>
      </c>
      <c r="G55" s="3" t="s">
        <v>28</v>
      </c>
      <c r="H55" s="4">
        <f>0.015</f>
        <v>1.4999999999999999E-2</v>
      </c>
    </row>
    <row r="56" spans="1:10">
      <c r="A56" s="16" t="s">
        <v>9</v>
      </c>
      <c r="B56" s="170"/>
      <c r="C56" s="97">
        <v>145.84</v>
      </c>
      <c r="D56" s="167">
        <f>C56/2000</f>
        <v>7.2919999999999999E-2</v>
      </c>
      <c r="G56" s="3" t="s">
        <v>29</v>
      </c>
      <c r="H56" s="5">
        <f>0.004275</f>
        <v>4.2750000000000002E-3</v>
      </c>
    </row>
    <row r="57" spans="1:10">
      <c r="A57" s="14" t="s">
        <v>10</v>
      </c>
      <c r="B57" s="48"/>
      <c r="C57" s="165">
        <f>C56-C55</f>
        <v>0.87000000000000455</v>
      </c>
      <c r="D57" s="168">
        <f>D56-D55</f>
        <v>4.3500000000000483E-4</v>
      </c>
      <c r="E57" s="162">
        <f>C57/C55</f>
        <v>6.0012416362006243E-3</v>
      </c>
      <c r="G57" s="3" t="s">
        <v>49</v>
      </c>
      <c r="H57" s="6"/>
    </row>
    <row r="58" spans="1:10">
      <c r="D58" s="146"/>
      <c r="G58" s="3" t="s">
        <v>17</v>
      </c>
      <c r="H58" s="17">
        <f>SUM(H55:H57)</f>
        <v>1.9275E-2</v>
      </c>
      <c r="J58" s="145"/>
    </row>
    <row r="59" spans="1:10">
      <c r="C59" s="21" t="s">
        <v>92</v>
      </c>
    </row>
    <row r="60" spans="1:10">
      <c r="A60" s="3" t="s">
        <v>4</v>
      </c>
      <c r="C60" s="18">
        <f>C57</f>
        <v>0.87000000000000455</v>
      </c>
      <c r="G60" s="3" t="s">
        <v>30</v>
      </c>
      <c r="H60" s="19">
        <f>1-H58</f>
        <v>0.98072499999999996</v>
      </c>
    </row>
    <row r="61" spans="1:10">
      <c r="A61" s="3" t="s">
        <v>26</v>
      </c>
      <c r="C61" s="321">
        <f>C60/$H$60</f>
        <v>0.88709882994723754</v>
      </c>
    </row>
    <row r="62" spans="1:10">
      <c r="A62" s="3" t="s">
        <v>25</v>
      </c>
      <c r="C62" s="147">
        <f>'DF Calculation'!D134</f>
        <v>65230.76112481716</v>
      </c>
      <c r="D62" s="18"/>
    </row>
    <row r="63" spans="1:10">
      <c r="A63" s="2" t="s">
        <v>31</v>
      </c>
      <c r="B63" s="25"/>
      <c r="C63" s="330">
        <f>C61*C62</f>
        <v>57866.131870393052</v>
      </c>
    </row>
    <row r="66" spans="1:5" ht="15" thickBot="1"/>
    <row r="67" spans="1:5">
      <c r="A67" s="99" t="s">
        <v>87</v>
      </c>
      <c r="B67" s="174"/>
      <c r="C67" s="217" t="s">
        <v>85</v>
      </c>
      <c r="E67" s="18"/>
    </row>
    <row r="68" spans="1:5">
      <c r="A68" s="100" t="s">
        <v>86</v>
      </c>
      <c r="B68" s="64"/>
      <c r="C68" s="331">
        <f>'DF Calculation'!R105</f>
        <v>57864.726609938298</v>
      </c>
    </row>
    <row r="69" spans="1:5">
      <c r="A69" s="100" t="s">
        <v>13</v>
      </c>
      <c r="B69" s="64"/>
      <c r="C69" s="331">
        <f>C68-C63</f>
        <v>-1.4052604547541705</v>
      </c>
    </row>
    <row r="70" spans="1:5">
      <c r="A70" s="100"/>
      <c r="B70" s="64"/>
      <c r="C70" s="101"/>
    </row>
    <row r="71" spans="1:5" ht="15" thickBot="1">
      <c r="A71" s="218" t="s">
        <v>704</v>
      </c>
      <c r="B71" s="219"/>
      <c r="C71" s="220">
        <f>C69/C63</f>
        <v>-2.4284679299138807E-5</v>
      </c>
    </row>
  </sheetData>
  <mergeCells count="4">
    <mergeCell ref="A1:I1"/>
    <mergeCell ref="G54:H54"/>
    <mergeCell ref="A11:C11"/>
    <mergeCell ref="C51:D51"/>
  </mergeCells>
  <pageMargins left="0.28000000000000003" right="0.52" top="0.75" bottom="0.75" header="0.3" footer="0.3"/>
  <pageSetup scale="66" orientation="portrait" r:id="rId1"/>
  <headerFooter>
    <oddHeader xml:space="preserve">&amp;C&amp;"-,Bold"&amp;12Murrey's Disposal Co, Inc. 
American Disposal Co.,  Inc.
Dump Fee Increase Reference Page
</oddHeader>
    <oddFooter>&amp;L&amp;F - &amp;A&amp;C&amp;D&amp;R&amp;P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522"/>
  <sheetViews>
    <sheetView showGridLines="0" zoomScale="85" zoomScaleNormal="85" workbookViewId="0">
      <selection sqref="A1:A3"/>
    </sheetView>
  </sheetViews>
  <sheetFormatPr defaultColWidth="13.81640625" defaultRowHeight="12.5" outlineLevelRow="1"/>
  <cols>
    <col min="1" max="1" width="7.81640625" style="250" customWidth="1"/>
    <col min="2" max="3" width="2.26953125" style="250" customWidth="1"/>
    <col min="4" max="4" width="31.453125" style="250" customWidth="1"/>
    <col min="5" max="5" width="2.26953125" style="250" customWidth="1"/>
    <col min="6" max="6" width="2.1796875" style="250" customWidth="1"/>
    <col min="7" max="7" width="12.26953125" style="280" customWidth="1"/>
    <col min="8" max="8" width="1.54296875" style="250" customWidth="1"/>
    <col min="9" max="9" width="12.26953125" style="280" customWidth="1"/>
    <col min="10" max="10" width="1.54296875" style="250" customWidth="1"/>
    <col min="11" max="11" width="12.26953125" style="280" customWidth="1"/>
    <col min="12" max="12" width="1.54296875" style="250" customWidth="1"/>
    <col min="13" max="13" width="13.54296875" style="280" customWidth="1"/>
    <col min="14" max="14" width="0.81640625" style="250" customWidth="1"/>
    <col min="15" max="15" width="12.26953125" style="280" customWidth="1"/>
    <col min="16" max="16" width="1.54296875" style="250" customWidth="1"/>
    <col min="17" max="17" width="12.26953125" style="280" customWidth="1"/>
    <col min="18" max="18" width="1.54296875" style="250" customWidth="1"/>
    <col min="19" max="19" width="12.26953125" style="280" customWidth="1"/>
    <col min="20" max="20" width="0.81640625" style="250" customWidth="1"/>
    <col min="21" max="21" width="12.26953125" style="280" customWidth="1"/>
    <col min="22" max="22" width="1.54296875" style="250" customWidth="1"/>
    <col min="23" max="23" width="12.26953125" style="280" customWidth="1"/>
    <col min="24" max="24" width="1.54296875" style="250" customWidth="1"/>
    <col min="25" max="25" width="12.26953125" style="280" customWidth="1"/>
    <col min="26" max="26" width="0.81640625" style="250" customWidth="1"/>
    <col min="27" max="27" width="12.26953125" style="280" customWidth="1"/>
    <col min="28" max="28" width="1.54296875" style="250" customWidth="1"/>
    <col min="29" max="29" width="12.26953125" style="280" customWidth="1"/>
    <col min="30" max="30" width="1.54296875" style="250" customWidth="1"/>
    <col min="31" max="31" width="12.26953125" style="280" customWidth="1"/>
    <col min="32" max="32" width="4.54296875" style="250" customWidth="1"/>
    <col min="33" max="33" width="1.453125" style="250" customWidth="1"/>
    <col min="34" max="16384" width="13.81640625" style="250"/>
  </cols>
  <sheetData>
    <row r="1" spans="1:33" s="222" customFormat="1" ht="15.5">
      <c r="A1" s="221" t="s">
        <v>859</v>
      </c>
      <c r="J1" s="223"/>
      <c r="K1" s="224"/>
      <c r="N1" s="223"/>
      <c r="O1" s="225"/>
      <c r="P1" s="223"/>
      <c r="Q1" s="224"/>
      <c r="V1" s="223"/>
      <c r="W1" s="224"/>
      <c r="AB1" s="223"/>
      <c r="AC1" s="224"/>
      <c r="AE1" s="226"/>
    </row>
    <row r="2" spans="1:33" s="222" customFormat="1" ht="15.5">
      <c r="A2" s="221" t="s">
        <v>709</v>
      </c>
      <c r="K2" s="227"/>
      <c r="N2" s="223"/>
      <c r="O2" s="227"/>
      <c r="Q2" s="227" t="s">
        <v>710</v>
      </c>
      <c r="W2" s="227" t="s">
        <v>710</v>
      </c>
      <c r="AC2" s="227" t="s">
        <v>710</v>
      </c>
    </row>
    <row r="3" spans="1:33" s="222" customFormat="1" ht="15.5">
      <c r="A3" s="228" t="s">
        <v>711</v>
      </c>
    </row>
    <row r="4" spans="1:33" s="222" customFormat="1" ht="15.5">
      <c r="A4" s="229"/>
    </row>
    <row r="5" spans="1:33" s="222" customFormat="1" ht="15.5">
      <c r="A5" s="230"/>
    </row>
    <row r="6" spans="1:33" s="222" customFormat="1" ht="15.5">
      <c r="A6" s="231"/>
      <c r="B6" s="231"/>
      <c r="C6" s="231"/>
      <c r="D6" s="231"/>
      <c r="E6" s="231"/>
      <c r="F6" s="231"/>
      <c r="G6" s="232"/>
      <c r="H6" s="233"/>
      <c r="I6" s="232"/>
      <c r="J6" s="233"/>
      <c r="K6" s="234"/>
      <c r="L6" s="233"/>
      <c r="M6" s="232"/>
      <c r="N6" s="233"/>
      <c r="O6" s="232"/>
      <c r="P6" s="233"/>
      <c r="Q6" s="234"/>
      <c r="R6" s="233"/>
      <c r="S6" s="232"/>
      <c r="T6" s="233"/>
      <c r="U6" s="232"/>
      <c r="V6" s="233"/>
      <c r="W6" s="234"/>
      <c r="X6" s="233"/>
      <c r="Y6" s="232"/>
      <c r="Z6" s="233"/>
      <c r="AA6" s="232"/>
      <c r="AB6" s="233"/>
      <c r="AC6" s="234"/>
      <c r="AD6" s="233"/>
      <c r="AE6" s="232"/>
      <c r="AF6" s="232"/>
    </row>
    <row r="7" spans="1:33" s="222" customFormat="1" ht="16" thickBot="1">
      <c r="A7" s="231"/>
      <c r="B7" s="231"/>
      <c r="C7" s="231"/>
      <c r="D7" s="231"/>
      <c r="E7" s="231"/>
      <c r="F7" s="231"/>
      <c r="G7" s="235">
        <v>42005</v>
      </c>
      <c r="H7" s="236"/>
      <c r="I7" s="235">
        <v>42037</v>
      </c>
      <c r="J7" s="236"/>
      <c r="K7" s="235">
        <v>42066</v>
      </c>
      <c r="L7" s="237"/>
      <c r="M7" s="235">
        <v>42098</v>
      </c>
      <c r="N7" s="236"/>
      <c r="O7" s="235">
        <v>42129</v>
      </c>
      <c r="P7" s="236"/>
      <c r="Q7" s="235">
        <v>42161</v>
      </c>
      <c r="R7" s="237"/>
      <c r="S7" s="235">
        <v>42192</v>
      </c>
      <c r="T7" s="236"/>
      <c r="U7" s="235">
        <v>42224</v>
      </c>
      <c r="V7" s="236"/>
      <c r="W7" s="235">
        <v>42256</v>
      </c>
      <c r="X7" s="237"/>
      <c r="Y7" s="235">
        <v>42287</v>
      </c>
      <c r="Z7" s="236"/>
      <c r="AA7" s="235">
        <v>42319</v>
      </c>
      <c r="AB7" s="236"/>
      <c r="AC7" s="235">
        <v>42350</v>
      </c>
      <c r="AD7" s="237"/>
      <c r="AE7" s="238" t="s">
        <v>17</v>
      </c>
      <c r="AF7" s="239"/>
    </row>
    <row r="8" spans="1:33" customFormat="1" ht="14.5"/>
    <row r="9" spans="1:33" s="240" customFormat="1" ht="4.5" customHeight="1">
      <c r="G9" s="241"/>
      <c r="H9" s="222"/>
      <c r="I9" s="241"/>
      <c r="J9" s="222"/>
      <c r="K9" s="241"/>
      <c r="L9" s="222"/>
      <c r="M9" s="241"/>
      <c r="N9" s="222"/>
      <c r="O9" s="241"/>
      <c r="P9" s="222"/>
      <c r="Q9" s="241"/>
      <c r="R9" s="222"/>
      <c r="S9" s="241"/>
      <c r="T9" s="222"/>
      <c r="U9" s="241"/>
      <c r="V9" s="222"/>
      <c r="W9" s="241"/>
      <c r="X9" s="222"/>
      <c r="Y9" s="241"/>
      <c r="Z9" s="222"/>
      <c r="AA9" s="241"/>
      <c r="AB9" s="222"/>
      <c r="AC9" s="241"/>
      <c r="AD9" s="222"/>
      <c r="AE9" s="241"/>
      <c r="AF9" s="242"/>
      <c r="AG9" s="222"/>
    </row>
    <row r="10" spans="1:33" s="240" customFormat="1" ht="15.5" outlineLevel="1">
      <c r="G10" s="241"/>
      <c r="H10" s="222"/>
      <c r="I10" s="241"/>
      <c r="J10" s="222"/>
      <c r="K10" s="241"/>
      <c r="L10" s="222"/>
      <c r="M10" s="241"/>
      <c r="N10" s="222"/>
      <c r="O10" s="241"/>
      <c r="P10" s="222"/>
      <c r="Q10" s="241"/>
      <c r="R10" s="222"/>
      <c r="S10" s="241"/>
      <c r="T10" s="222"/>
      <c r="U10" s="241"/>
      <c r="V10" s="222"/>
      <c r="W10" s="241"/>
      <c r="X10" s="222"/>
      <c r="Y10" s="241"/>
      <c r="Z10" s="222"/>
      <c r="AA10" s="241"/>
      <c r="AB10" s="222"/>
      <c r="AC10" s="241"/>
      <c r="AD10" s="222"/>
      <c r="AE10" s="241"/>
      <c r="AF10" s="243"/>
      <c r="AG10" s="222"/>
    </row>
    <row r="11" spans="1:33" outlineLevel="1">
      <c r="A11" s="244">
        <v>31000</v>
      </c>
      <c r="B11" s="244" t="s">
        <v>712</v>
      </c>
      <c r="C11" s="245"/>
      <c r="D11" s="246"/>
      <c r="E11" s="240"/>
      <c r="F11" s="241"/>
      <c r="G11" s="247">
        <v>12935.51</v>
      </c>
      <c r="H11" s="241"/>
      <c r="I11" s="247">
        <v>14439.46</v>
      </c>
      <c r="J11" s="241"/>
      <c r="K11" s="247">
        <v>15850.09</v>
      </c>
      <c r="L11" s="241"/>
      <c r="M11" s="247">
        <v>14836.35</v>
      </c>
      <c r="N11" s="241"/>
      <c r="O11" s="247">
        <v>14617.36</v>
      </c>
      <c r="P11" s="241"/>
      <c r="Q11" s="247">
        <v>15503.15</v>
      </c>
      <c r="R11" s="241"/>
      <c r="S11" s="247">
        <v>18462.14</v>
      </c>
      <c r="T11" s="241"/>
      <c r="U11" s="247">
        <v>16888.45</v>
      </c>
      <c r="V11" s="241"/>
      <c r="W11" s="247">
        <v>18131.68</v>
      </c>
      <c r="X11" s="241"/>
      <c r="Y11" s="247">
        <v>15510.6</v>
      </c>
      <c r="Z11" s="241"/>
      <c r="AA11" s="247">
        <v>15019.61</v>
      </c>
      <c r="AB11" s="241"/>
      <c r="AC11" s="247">
        <v>16055.85</v>
      </c>
      <c r="AD11" s="241"/>
      <c r="AE11" s="247">
        <f t="shared" ref="AE11:AE17" si="0">AC11+AA11+Y11+W11+U11+S11+Q11+O11+M11+K11+I11+G11</f>
        <v>188250.25</v>
      </c>
      <c r="AF11" s="248">
        <f t="shared" ref="AF11:AF17" si="1">IF(AE$47=0,0,AE11/AE$47)</f>
        <v>2.0759789647644255E-2</v>
      </c>
      <c r="AG11" s="249"/>
    </row>
    <row r="12" spans="1:33" outlineLevel="1">
      <c r="A12" s="244">
        <v>31005</v>
      </c>
      <c r="B12" s="244" t="s">
        <v>713</v>
      </c>
      <c r="C12" s="245"/>
      <c r="D12" s="246"/>
      <c r="E12" s="240"/>
      <c r="F12" s="241"/>
      <c r="G12" s="247">
        <v>46980.87</v>
      </c>
      <c r="H12" s="241"/>
      <c r="I12" s="247">
        <v>45720.85</v>
      </c>
      <c r="J12" s="241"/>
      <c r="K12" s="247">
        <v>54479.8</v>
      </c>
      <c r="L12" s="241"/>
      <c r="M12" s="247">
        <v>47769.1</v>
      </c>
      <c r="N12" s="241"/>
      <c r="O12" s="247">
        <v>51467.32</v>
      </c>
      <c r="P12" s="241"/>
      <c r="Q12" s="247">
        <v>51062.82</v>
      </c>
      <c r="R12" s="241"/>
      <c r="S12" s="247">
        <v>62885.15</v>
      </c>
      <c r="T12" s="241"/>
      <c r="U12" s="247">
        <v>51438.29</v>
      </c>
      <c r="V12" s="241"/>
      <c r="W12" s="247">
        <v>57785.09</v>
      </c>
      <c r="X12" s="241"/>
      <c r="Y12" s="247">
        <v>52931.5</v>
      </c>
      <c r="Z12" s="241"/>
      <c r="AA12" s="247">
        <v>52440.06</v>
      </c>
      <c r="AB12" s="241"/>
      <c r="AC12" s="247">
        <v>50590.21</v>
      </c>
      <c r="AD12" s="241"/>
      <c r="AE12" s="247">
        <f t="shared" si="0"/>
        <v>625551.05999999994</v>
      </c>
      <c r="AF12" s="248">
        <f t="shared" si="1"/>
        <v>6.8984282461568514E-2</v>
      </c>
      <c r="AG12" s="249"/>
    </row>
    <row r="13" spans="1:33" outlineLevel="1">
      <c r="A13" s="244">
        <v>31010</v>
      </c>
      <c r="B13" s="244" t="s">
        <v>716</v>
      </c>
      <c r="C13" s="245"/>
      <c r="D13" s="246"/>
      <c r="E13" s="240"/>
      <c r="F13" s="241"/>
      <c r="G13" s="247">
        <v>2728.25</v>
      </c>
      <c r="H13" s="241"/>
      <c r="I13" s="247">
        <v>3394.6</v>
      </c>
      <c r="J13" s="241"/>
      <c r="K13" s="247">
        <v>3692.8</v>
      </c>
      <c r="L13" s="241"/>
      <c r="M13" s="247">
        <v>3494</v>
      </c>
      <c r="N13" s="241"/>
      <c r="O13" s="247">
        <v>3593.7</v>
      </c>
      <c r="P13" s="241"/>
      <c r="Q13" s="247">
        <v>3376.25</v>
      </c>
      <c r="R13" s="241"/>
      <c r="S13" s="247">
        <v>4732.95</v>
      </c>
      <c r="T13" s="241"/>
      <c r="U13" s="247">
        <v>3917.05</v>
      </c>
      <c r="V13" s="241"/>
      <c r="W13" s="247">
        <v>3839.3</v>
      </c>
      <c r="X13" s="241"/>
      <c r="Y13" s="247">
        <v>3432.7</v>
      </c>
      <c r="Z13" s="241"/>
      <c r="AA13" s="247">
        <v>3577.05</v>
      </c>
      <c r="AB13" s="241"/>
      <c r="AC13" s="247">
        <v>3427.7</v>
      </c>
      <c r="AD13" s="241"/>
      <c r="AE13" s="247">
        <f t="shared" si="0"/>
        <v>43206.35</v>
      </c>
      <c r="AF13" s="248">
        <f t="shared" si="1"/>
        <v>4.764693472877164E-3</v>
      </c>
      <c r="AG13" s="249"/>
    </row>
    <row r="14" spans="1:33" outlineLevel="1">
      <c r="A14" s="244">
        <v>32000</v>
      </c>
      <c r="B14" s="244" t="s">
        <v>717</v>
      </c>
      <c r="C14" s="245"/>
      <c r="D14" s="246"/>
      <c r="E14" s="240"/>
      <c r="F14" s="241"/>
      <c r="G14" s="247">
        <v>497451.27</v>
      </c>
      <c r="H14" s="241"/>
      <c r="I14" s="247">
        <v>497799.81</v>
      </c>
      <c r="J14" s="241"/>
      <c r="K14" s="247">
        <v>506124.5</v>
      </c>
      <c r="L14" s="241"/>
      <c r="M14" s="247">
        <v>505970.45</v>
      </c>
      <c r="N14" s="241"/>
      <c r="O14" s="247">
        <v>504392.68</v>
      </c>
      <c r="P14" s="241"/>
      <c r="Q14" s="247">
        <v>515192.42</v>
      </c>
      <c r="R14" s="241"/>
      <c r="S14" s="247">
        <v>517032.22</v>
      </c>
      <c r="T14" s="241"/>
      <c r="U14" s="247">
        <v>521217.69</v>
      </c>
      <c r="V14" s="241"/>
      <c r="W14" s="247">
        <v>520376.78</v>
      </c>
      <c r="X14" s="241"/>
      <c r="Y14" s="247">
        <v>521290.97</v>
      </c>
      <c r="Z14" s="241"/>
      <c r="AA14" s="247">
        <v>521497.89</v>
      </c>
      <c r="AB14" s="241"/>
      <c r="AC14" s="247">
        <v>520631.74</v>
      </c>
      <c r="AD14" s="241"/>
      <c r="AE14" s="247">
        <f t="shared" si="0"/>
        <v>6148978.4199999999</v>
      </c>
      <c r="AF14" s="248">
        <f t="shared" si="1"/>
        <v>0.6780947092877907</v>
      </c>
      <c r="AG14" s="249"/>
    </row>
    <row r="15" spans="1:33" outlineLevel="1">
      <c r="A15" s="244">
        <v>32001</v>
      </c>
      <c r="B15" s="244" t="s">
        <v>718</v>
      </c>
      <c r="C15" s="245"/>
      <c r="D15" s="246"/>
      <c r="E15" s="240"/>
      <c r="F15" s="241"/>
      <c r="G15" s="247">
        <v>12086.04</v>
      </c>
      <c r="H15" s="241"/>
      <c r="I15" s="247">
        <v>9520.15</v>
      </c>
      <c r="J15" s="241"/>
      <c r="K15" s="247">
        <v>13328.29</v>
      </c>
      <c r="L15" s="241"/>
      <c r="M15" s="247">
        <v>14028.27</v>
      </c>
      <c r="N15" s="241"/>
      <c r="O15" s="247">
        <v>16443.96</v>
      </c>
      <c r="P15" s="241"/>
      <c r="Q15" s="247">
        <v>22518.25</v>
      </c>
      <c r="R15" s="241"/>
      <c r="S15" s="247">
        <v>22364.34</v>
      </c>
      <c r="T15" s="241"/>
      <c r="U15" s="247">
        <v>22281.29</v>
      </c>
      <c r="V15" s="241"/>
      <c r="W15" s="247">
        <v>22879.48</v>
      </c>
      <c r="X15" s="241"/>
      <c r="Y15" s="247">
        <v>16008.69</v>
      </c>
      <c r="Z15" s="241"/>
      <c r="AA15" s="247">
        <v>20425.48</v>
      </c>
      <c r="AB15" s="241"/>
      <c r="AC15" s="247">
        <v>24659.59</v>
      </c>
      <c r="AD15" s="241"/>
      <c r="AE15" s="247">
        <f t="shared" si="0"/>
        <v>216543.83</v>
      </c>
      <c r="AF15" s="248">
        <f t="shared" si="1"/>
        <v>2.3879938328343453E-2</v>
      </c>
      <c r="AG15" s="249"/>
    </row>
    <row r="16" spans="1:33" outlineLevel="1">
      <c r="A16" s="244">
        <v>33000</v>
      </c>
      <c r="B16" s="244" t="s">
        <v>719</v>
      </c>
      <c r="C16" s="245"/>
      <c r="D16" s="246"/>
      <c r="E16" s="240"/>
      <c r="F16" s="241"/>
      <c r="G16" s="247">
        <v>160545.95000000001</v>
      </c>
      <c r="H16" s="241"/>
      <c r="I16" s="247">
        <v>160526.71</v>
      </c>
      <c r="J16" s="241"/>
      <c r="K16" s="247">
        <v>164740.29</v>
      </c>
      <c r="L16" s="241"/>
      <c r="M16" s="247">
        <v>164551.14000000001</v>
      </c>
      <c r="N16" s="241"/>
      <c r="O16" s="247">
        <v>167588.92000000001</v>
      </c>
      <c r="P16" s="241"/>
      <c r="Q16" s="247">
        <v>169157.72</v>
      </c>
      <c r="R16" s="241"/>
      <c r="S16" s="247">
        <v>171681.57</v>
      </c>
      <c r="T16" s="241"/>
      <c r="U16" s="247">
        <v>173319.47</v>
      </c>
      <c r="V16" s="241"/>
      <c r="W16" s="247">
        <v>169538.92</v>
      </c>
      <c r="X16" s="241"/>
      <c r="Y16" s="247">
        <v>167832.22</v>
      </c>
      <c r="Z16" s="241"/>
      <c r="AA16" s="247">
        <v>166627.04</v>
      </c>
      <c r="AB16" s="241"/>
      <c r="AC16" s="247">
        <v>166600.22</v>
      </c>
      <c r="AD16" s="241"/>
      <c r="AE16" s="247">
        <f t="shared" si="0"/>
        <v>2002710.1699999997</v>
      </c>
      <c r="AF16" s="248">
        <f t="shared" si="1"/>
        <v>0.22085411230209712</v>
      </c>
      <c r="AG16" s="249"/>
    </row>
    <row r="17" spans="1:33" outlineLevel="1">
      <c r="A17" s="244">
        <v>33011</v>
      </c>
      <c r="B17" s="244" t="s">
        <v>720</v>
      </c>
      <c r="C17" s="245"/>
      <c r="D17" s="246"/>
      <c r="E17" s="240"/>
      <c r="F17" s="241"/>
      <c r="G17" s="247">
        <v>1334.66</v>
      </c>
      <c r="H17" s="241"/>
      <c r="I17" s="247">
        <v>1174.4100000000001</v>
      </c>
      <c r="J17" s="241"/>
      <c r="K17" s="247">
        <v>1244.8</v>
      </c>
      <c r="L17" s="241"/>
      <c r="M17" s="247">
        <v>1397.46</v>
      </c>
      <c r="N17" s="241"/>
      <c r="O17" s="247">
        <v>2122.0100000000002</v>
      </c>
      <c r="P17" s="241"/>
      <c r="Q17" s="247">
        <v>2664.02</v>
      </c>
      <c r="R17" s="241"/>
      <c r="S17" s="247">
        <v>3219.11</v>
      </c>
      <c r="T17" s="241"/>
      <c r="U17" s="247">
        <v>2127.65</v>
      </c>
      <c r="V17" s="241"/>
      <c r="W17" s="247">
        <v>1942.78</v>
      </c>
      <c r="X17" s="241"/>
      <c r="Y17" s="247">
        <v>1479.65</v>
      </c>
      <c r="Z17" s="241"/>
      <c r="AA17" s="247">
        <v>1609.12</v>
      </c>
      <c r="AB17" s="241"/>
      <c r="AC17" s="247">
        <v>1879.01</v>
      </c>
      <c r="AD17" s="241"/>
      <c r="AE17" s="247">
        <f t="shared" si="0"/>
        <v>22194.68</v>
      </c>
      <c r="AF17" s="248">
        <f t="shared" si="1"/>
        <v>2.4475765004124935E-3</v>
      </c>
      <c r="AG17" s="249"/>
    </row>
    <row r="18" spans="1:33" s="240" customFormat="1" ht="4.5" customHeight="1" outlineLevel="1">
      <c r="G18" s="251"/>
      <c r="H18" s="222"/>
      <c r="I18" s="251"/>
      <c r="J18" s="222"/>
      <c r="K18" s="251"/>
      <c r="L18" s="222"/>
      <c r="M18" s="251"/>
      <c r="N18" s="222"/>
      <c r="O18" s="251"/>
      <c r="P18" s="222"/>
      <c r="Q18" s="251"/>
      <c r="R18" s="222"/>
      <c r="S18" s="251"/>
      <c r="T18" s="222"/>
      <c r="U18" s="251"/>
      <c r="V18" s="222"/>
      <c r="W18" s="251"/>
      <c r="X18" s="222"/>
      <c r="Y18" s="251"/>
      <c r="Z18" s="222"/>
      <c r="AA18" s="251"/>
      <c r="AB18" s="222"/>
      <c r="AC18" s="251"/>
      <c r="AD18" s="222"/>
      <c r="AE18" s="251"/>
      <c r="AF18" s="243"/>
      <c r="AG18" s="222"/>
    </row>
    <row r="19" spans="1:33" s="240" customFormat="1" ht="15.5">
      <c r="C19" s="240" t="s">
        <v>641</v>
      </c>
      <c r="G19" s="252">
        <f>SUM(G10:G18)</f>
        <v>734062.55000000016</v>
      </c>
      <c r="H19" s="253"/>
      <c r="I19" s="252">
        <f>SUM(I10:I18)</f>
        <v>732575.99</v>
      </c>
      <c r="J19" s="253"/>
      <c r="K19" s="252">
        <f>SUM(K10:K18)</f>
        <v>759460.57000000007</v>
      </c>
      <c r="L19" s="253"/>
      <c r="M19" s="252">
        <f>SUM(M10:M18)</f>
        <v>752046.77</v>
      </c>
      <c r="N19" s="253"/>
      <c r="O19" s="252">
        <f>SUM(O10:O18)</f>
        <v>760225.95</v>
      </c>
      <c r="P19" s="253"/>
      <c r="Q19" s="252">
        <f>SUM(Q10:Q18)</f>
        <v>779474.63</v>
      </c>
      <c r="R19" s="253"/>
      <c r="S19" s="252">
        <f>SUM(S10:S18)</f>
        <v>800377.47999999986</v>
      </c>
      <c r="T19" s="253"/>
      <c r="U19" s="252">
        <f>SUM(U10:U18)</f>
        <v>791189.89</v>
      </c>
      <c r="V19" s="253"/>
      <c r="W19" s="252">
        <f>SUM(W10:W18)</f>
        <v>794494.03</v>
      </c>
      <c r="X19" s="253"/>
      <c r="Y19" s="252">
        <f>SUM(Y10:Y18)</f>
        <v>778486.33</v>
      </c>
      <c r="Z19" s="253"/>
      <c r="AA19" s="252">
        <f>SUM(AA10:AA18)</f>
        <v>781196.25</v>
      </c>
      <c r="AB19" s="253"/>
      <c r="AC19" s="252">
        <f>SUM(AC10:AC18)</f>
        <v>783844.32</v>
      </c>
      <c r="AD19" s="253"/>
      <c r="AE19" s="252">
        <f>SUM(AE10:AE18)</f>
        <v>9247434.7599999998</v>
      </c>
      <c r="AF19" s="248">
        <f>IF(AE$47=0,0,AE19/AE$47)</f>
        <v>1.0197851020007338</v>
      </c>
      <c r="AG19" s="222"/>
    </row>
    <row r="20" spans="1:33" s="240" customFormat="1" ht="15.5" outlineLevel="1">
      <c r="G20" s="254"/>
      <c r="H20" s="253"/>
      <c r="I20" s="254"/>
      <c r="J20" s="253"/>
      <c r="K20" s="254"/>
      <c r="L20" s="253"/>
      <c r="M20" s="254"/>
      <c r="N20" s="253"/>
      <c r="O20" s="254"/>
      <c r="P20" s="253"/>
      <c r="Q20" s="254"/>
      <c r="R20" s="253"/>
      <c r="S20" s="254"/>
      <c r="T20" s="253"/>
      <c r="U20" s="254"/>
      <c r="V20" s="253"/>
      <c r="W20" s="254"/>
      <c r="X20" s="253"/>
      <c r="Y20" s="254"/>
      <c r="Z20" s="253"/>
      <c r="AA20" s="254"/>
      <c r="AB20" s="253"/>
      <c r="AC20" s="254"/>
      <c r="AD20" s="253"/>
      <c r="AE20" s="254"/>
      <c r="AF20" s="243"/>
      <c r="AG20" s="222"/>
    </row>
    <row r="21" spans="1:33" outlineLevel="1">
      <c r="A21" s="244">
        <v>35009</v>
      </c>
      <c r="B21" s="244" t="s">
        <v>860</v>
      </c>
      <c r="C21" s="245"/>
      <c r="D21" s="246"/>
      <c r="E21" s="240"/>
      <c r="F21" s="241"/>
      <c r="G21" s="247">
        <v>391.4</v>
      </c>
      <c r="H21" s="241"/>
      <c r="I21" s="247">
        <v>378.16</v>
      </c>
      <c r="J21" s="241"/>
      <c r="K21" s="247">
        <v>1148</v>
      </c>
      <c r="L21" s="241"/>
      <c r="M21" s="247">
        <v>287</v>
      </c>
      <c r="N21" s="241"/>
      <c r="O21" s="247">
        <v>0</v>
      </c>
      <c r="P21" s="241"/>
      <c r="Q21" s="247">
        <v>0</v>
      </c>
      <c r="R21" s="241"/>
      <c r="S21" s="247">
        <v>0</v>
      </c>
      <c r="T21" s="241"/>
      <c r="U21" s="247">
        <v>0</v>
      </c>
      <c r="V21" s="241"/>
      <c r="W21" s="247">
        <v>0</v>
      </c>
      <c r="X21" s="241"/>
      <c r="Y21" s="247">
        <v>0</v>
      </c>
      <c r="Z21" s="241"/>
      <c r="AA21" s="247">
        <v>0</v>
      </c>
      <c r="AB21" s="241"/>
      <c r="AC21" s="247">
        <v>0</v>
      </c>
      <c r="AD21" s="241"/>
      <c r="AE21" s="247">
        <f>AC21+AA21+Y21+W21+U21+S21+Q21+O21+M21+K21+I21+G21</f>
        <v>2204.56</v>
      </c>
      <c r="AF21" s="248">
        <f>IF(AE$47=0,0,AE21/AE$47)</f>
        <v>2.4311363127332164E-4</v>
      </c>
      <c r="AG21" s="249"/>
    </row>
    <row r="22" spans="1:33" s="240" customFormat="1" ht="5.15" customHeight="1" outlineLevel="1">
      <c r="A22" s="245"/>
      <c r="B22" s="245"/>
      <c r="C22" s="245"/>
      <c r="D22" s="245"/>
      <c r="G22" s="255"/>
      <c r="H22" s="253"/>
      <c r="I22" s="255"/>
      <c r="J22" s="253"/>
      <c r="K22" s="255"/>
      <c r="L22" s="253"/>
      <c r="M22" s="255"/>
      <c r="N22" s="253"/>
      <c r="O22" s="255"/>
      <c r="P22" s="253"/>
      <c r="Q22" s="255"/>
      <c r="R22" s="253"/>
      <c r="S22" s="255"/>
      <c r="T22" s="253"/>
      <c r="U22" s="255"/>
      <c r="V22" s="253"/>
      <c r="W22" s="255"/>
      <c r="X22" s="253"/>
      <c r="Y22" s="255"/>
      <c r="Z22" s="253"/>
      <c r="AA22" s="255"/>
      <c r="AB22" s="253"/>
      <c r="AC22" s="255"/>
      <c r="AD22" s="253"/>
      <c r="AE22" s="255"/>
      <c r="AF22" s="243"/>
      <c r="AG22" s="222"/>
    </row>
    <row r="23" spans="1:33" s="240" customFormat="1" ht="15.5">
      <c r="C23" s="245" t="s">
        <v>721</v>
      </c>
      <c r="G23" s="252">
        <f>SUM(G21:G22)</f>
        <v>391.4</v>
      </c>
      <c r="H23" s="253"/>
      <c r="I23" s="252">
        <f>SUM(I21:I22)</f>
        <v>378.16</v>
      </c>
      <c r="J23" s="253"/>
      <c r="K23" s="252">
        <f>SUM(K21:K22)</f>
        <v>1148</v>
      </c>
      <c r="L23" s="253"/>
      <c r="M23" s="252">
        <f>SUM(M21:M22)</f>
        <v>287</v>
      </c>
      <c r="N23" s="253"/>
      <c r="O23" s="252">
        <f>SUM(O21:O22)</f>
        <v>0</v>
      </c>
      <c r="P23" s="253"/>
      <c r="Q23" s="252">
        <f>SUM(Q21:Q22)</f>
        <v>0</v>
      </c>
      <c r="R23" s="253"/>
      <c r="S23" s="252">
        <f>SUM(S21:S22)</f>
        <v>0</v>
      </c>
      <c r="T23" s="253"/>
      <c r="U23" s="252">
        <f>SUM(U21:U22)</f>
        <v>0</v>
      </c>
      <c r="V23" s="253"/>
      <c r="W23" s="252">
        <f>SUM(W21:W22)</f>
        <v>0</v>
      </c>
      <c r="X23" s="253"/>
      <c r="Y23" s="252">
        <f>SUM(Y21:Y22)</f>
        <v>0</v>
      </c>
      <c r="Z23" s="253"/>
      <c r="AA23" s="252">
        <f>SUM(AA21:AA22)</f>
        <v>0</v>
      </c>
      <c r="AB23" s="253"/>
      <c r="AC23" s="252">
        <f>SUM(AC21:AC22)</f>
        <v>0</v>
      </c>
      <c r="AD23" s="253"/>
      <c r="AE23" s="252">
        <f>SUM(AE21:AE22)</f>
        <v>2204.56</v>
      </c>
      <c r="AF23" s="248">
        <f>IF(AE$47=0,0,AE23/AE$47)</f>
        <v>2.4311363127332164E-4</v>
      </c>
      <c r="AG23" s="222"/>
    </row>
    <row r="24" spans="1:33" s="240" customFormat="1" ht="15.5" outlineLevel="1">
      <c r="G24" s="254"/>
      <c r="H24" s="253"/>
      <c r="I24" s="254"/>
      <c r="J24" s="253"/>
      <c r="K24" s="254"/>
      <c r="L24" s="253"/>
      <c r="M24" s="254"/>
      <c r="N24" s="253"/>
      <c r="O24" s="254"/>
      <c r="P24" s="253"/>
      <c r="Q24" s="254"/>
      <c r="R24" s="253"/>
      <c r="S24" s="254"/>
      <c r="T24" s="253"/>
      <c r="U24" s="254"/>
      <c r="V24" s="253"/>
      <c r="W24" s="254"/>
      <c r="X24" s="253"/>
      <c r="Y24" s="254"/>
      <c r="Z24" s="253"/>
      <c r="AA24" s="254"/>
      <c r="AB24" s="253"/>
      <c r="AC24" s="254"/>
      <c r="AD24" s="253"/>
      <c r="AE24" s="254"/>
      <c r="AF24" s="243"/>
      <c r="AG24" s="222"/>
    </row>
    <row r="25" spans="1:33" s="240" customFormat="1" ht="15.5" outlineLevel="1">
      <c r="G25" s="254"/>
      <c r="H25" s="253"/>
      <c r="I25" s="254"/>
      <c r="J25" s="253"/>
      <c r="K25" s="254"/>
      <c r="L25" s="253"/>
      <c r="M25" s="254"/>
      <c r="N25" s="253"/>
      <c r="O25" s="254"/>
      <c r="P25" s="253"/>
      <c r="Q25" s="254"/>
      <c r="R25" s="253"/>
      <c r="S25" s="254"/>
      <c r="T25" s="253"/>
      <c r="U25" s="254"/>
      <c r="V25" s="253"/>
      <c r="W25" s="254"/>
      <c r="X25" s="253"/>
      <c r="Y25" s="254"/>
      <c r="Z25" s="253"/>
      <c r="AA25" s="254"/>
      <c r="AB25" s="253"/>
      <c r="AC25" s="254"/>
      <c r="AD25" s="253"/>
      <c r="AE25" s="254"/>
      <c r="AF25" s="243"/>
      <c r="AG25" s="222"/>
    </row>
    <row r="26" spans="1:33" outlineLevel="1">
      <c r="A26" s="244">
        <v>35510</v>
      </c>
      <c r="B26" s="244" t="s">
        <v>722</v>
      </c>
      <c r="C26" s="245"/>
      <c r="D26" s="246"/>
      <c r="E26" s="240"/>
      <c r="F26" s="241"/>
      <c r="G26" s="247">
        <v>0</v>
      </c>
      <c r="H26" s="241"/>
      <c r="I26" s="247">
        <v>0</v>
      </c>
      <c r="J26" s="241"/>
      <c r="K26" s="247">
        <v>0</v>
      </c>
      <c r="L26" s="241"/>
      <c r="M26" s="247">
        <v>0</v>
      </c>
      <c r="N26" s="241"/>
      <c r="O26" s="247">
        <v>0</v>
      </c>
      <c r="P26" s="241"/>
      <c r="Q26" s="247">
        <v>0</v>
      </c>
      <c r="R26" s="241"/>
      <c r="S26" s="247">
        <v>152.6</v>
      </c>
      <c r="T26" s="241"/>
      <c r="U26" s="247">
        <v>331.18</v>
      </c>
      <c r="V26" s="241"/>
      <c r="W26" s="247">
        <v>176.4</v>
      </c>
      <c r="X26" s="241"/>
      <c r="Y26" s="247">
        <v>271.58</v>
      </c>
      <c r="Z26" s="241"/>
      <c r="AA26" s="247">
        <v>0</v>
      </c>
      <c r="AB26" s="241"/>
      <c r="AC26" s="247">
        <v>0</v>
      </c>
      <c r="AD26" s="241"/>
      <c r="AE26" s="247">
        <f t="shared" ref="AE26:AE28" si="2">AC26+AA26+Y26+W26+U26+S26+Q26+O26+M26+K26+I26+G26</f>
        <v>931.7600000000001</v>
      </c>
      <c r="AF26" s="248">
        <f t="shared" ref="AF26:AF28" si="3">IF(AE$47=0,0,AE26/AE$47)</f>
        <v>1.0275227577168696E-4</v>
      </c>
      <c r="AG26" s="249"/>
    </row>
    <row r="27" spans="1:33" outlineLevel="1">
      <c r="A27" s="244">
        <v>35518</v>
      </c>
      <c r="B27" s="244" t="s">
        <v>724</v>
      </c>
      <c r="C27" s="245"/>
      <c r="D27" s="246"/>
      <c r="E27" s="240"/>
      <c r="F27" s="241"/>
      <c r="G27" s="247">
        <v>3030.6</v>
      </c>
      <c r="H27" s="241"/>
      <c r="I27" s="247">
        <v>845.8</v>
      </c>
      <c r="J27" s="241"/>
      <c r="K27" s="247">
        <v>950.93</v>
      </c>
      <c r="L27" s="241"/>
      <c r="M27" s="247">
        <v>1142.1500000000001</v>
      </c>
      <c r="N27" s="241"/>
      <c r="O27" s="247">
        <v>4340.46</v>
      </c>
      <c r="P27" s="241"/>
      <c r="Q27" s="247">
        <v>5936.1</v>
      </c>
      <c r="R27" s="241"/>
      <c r="S27" s="247">
        <v>3411.96</v>
      </c>
      <c r="T27" s="241"/>
      <c r="U27" s="247">
        <v>199.31</v>
      </c>
      <c r="V27" s="241"/>
      <c r="W27" s="247">
        <v>55.83</v>
      </c>
      <c r="X27" s="241"/>
      <c r="Y27" s="247">
        <v>809.14</v>
      </c>
      <c r="Z27" s="241"/>
      <c r="AA27" s="247">
        <v>93.25</v>
      </c>
      <c r="AB27" s="241"/>
      <c r="AC27" s="247">
        <v>0</v>
      </c>
      <c r="AD27" s="241"/>
      <c r="AE27" s="247">
        <f t="shared" si="2"/>
        <v>20815.529999999995</v>
      </c>
      <c r="AF27" s="248">
        <f t="shared" si="3"/>
        <v>2.295487119959885E-3</v>
      </c>
      <c r="AG27" s="249"/>
    </row>
    <row r="28" spans="1:33" outlineLevel="1">
      <c r="A28" s="244">
        <v>35527</v>
      </c>
      <c r="B28" s="244" t="s">
        <v>725</v>
      </c>
      <c r="C28" s="245"/>
      <c r="D28" s="246"/>
      <c r="E28" s="240"/>
      <c r="F28" s="241"/>
      <c r="G28" s="247">
        <v>-17920.77</v>
      </c>
      <c r="H28" s="241"/>
      <c r="I28" s="247">
        <v>-18319.330000000002</v>
      </c>
      <c r="J28" s="241"/>
      <c r="K28" s="247">
        <v>-15838.33</v>
      </c>
      <c r="L28" s="241"/>
      <c r="M28" s="247">
        <v>-19183.259999999998</v>
      </c>
      <c r="N28" s="241"/>
      <c r="O28" s="247">
        <v>-14514.71</v>
      </c>
      <c r="P28" s="241"/>
      <c r="Q28" s="247">
        <v>-22294.16</v>
      </c>
      <c r="R28" s="241"/>
      <c r="S28" s="247">
        <v>-22729.49</v>
      </c>
      <c r="T28" s="241"/>
      <c r="U28" s="247">
        <v>-16671.05</v>
      </c>
      <c r="V28" s="241"/>
      <c r="W28" s="247">
        <v>-19377.72</v>
      </c>
      <c r="X28" s="241"/>
      <c r="Y28" s="247">
        <v>-19278.59</v>
      </c>
      <c r="Z28" s="241"/>
      <c r="AA28" s="247">
        <v>-19173.02</v>
      </c>
      <c r="AB28" s="241"/>
      <c r="AC28" s="247">
        <v>-16027</v>
      </c>
      <c r="AD28" s="241"/>
      <c r="AE28" s="247">
        <f t="shared" si="2"/>
        <v>-221327.42999999996</v>
      </c>
      <c r="AF28" s="248">
        <f t="shared" si="3"/>
        <v>-2.4407462354252958E-2</v>
      </c>
      <c r="AG28" s="249"/>
    </row>
    <row r="29" spans="1:33" s="240" customFormat="1" ht="5.15" customHeight="1" outlineLevel="1">
      <c r="A29" s="245"/>
      <c r="B29" s="245"/>
      <c r="C29" s="245"/>
      <c r="D29" s="245"/>
      <c r="G29" s="255"/>
      <c r="H29" s="253"/>
      <c r="I29" s="255"/>
      <c r="J29" s="253"/>
      <c r="K29" s="255"/>
      <c r="L29" s="253"/>
      <c r="M29" s="255"/>
      <c r="N29" s="253"/>
      <c r="O29" s="255"/>
      <c r="P29" s="253"/>
      <c r="Q29" s="255"/>
      <c r="R29" s="253"/>
      <c r="S29" s="255"/>
      <c r="T29" s="253"/>
      <c r="U29" s="255"/>
      <c r="V29" s="253"/>
      <c r="W29" s="255"/>
      <c r="X29" s="253"/>
      <c r="Y29" s="255"/>
      <c r="Z29" s="253"/>
      <c r="AA29" s="255"/>
      <c r="AB29" s="253"/>
      <c r="AC29" s="255"/>
      <c r="AD29" s="253"/>
      <c r="AE29" s="255"/>
      <c r="AF29" s="243"/>
      <c r="AG29" s="222"/>
    </row>
    <row r="30" spans="1:33" s="240" customFormat="1" ht="15.5">
      <c r="C30" s="245" t="s">
        <v>726</v>
      </c>
      <c r="G30" s="252">
        <f>SUM(G25:G29)</f>
        <v>-14890.17</v>
      </c>
      <c r="H30" s="253"/>
      <c r="I30" s="252">
        <f>SUM(I25:I29)</f>
        <v>-17473.530000000002</v>
      </c>
      <c r="J30" s="253"/>
      <c r="K30" s="252">
        <f>SUM(K25:K29)</f>
        <v>-14887.4</v>
      </c>
      <c r="L30" s="253"/>
      <c r="M30" s="252">
        <f>SUM(M25:M29)</f>
        <v>-18041.109999999997</v>
      </c>
      <c r="N30" s="253"/>
      <c r="O30" s="252">
        <f>SUM(O25:O29)</f>
        <v>-10174.25</v>
      </c>
      <c r="P30" s="253"/>
      <c r="Q30" s="252">
        <f>SUM(Q25:Q29)</f>
        <v>-16358.06</v>
      </c>
      <c r="R30" s="253"/>
      <c r="S30" s="252">
        <f>SUM(S25:S29)</f>
        <v>-19164.93</v>
      </c>
      <c r="T30" s="253"/>
      <c r="U30" s="252">
        <f>SUM(U25:U29)</f>
        <v>-16140.56</v>
      </c>
      <c r="V30" s="253"/>
      <c r="W30" s="252">
        <f>SUM(W25:W29)</f>
        <v>-19145.490000000002</v>
      </c>
      <c r="X30" s="253"/>
      <c r="Y30" s="252">
        <f>SUM(Y25:Y29)</f>
        <v>-18197.87</v>
      </c>
      <c r="Z30" s="253"/>
      <c r="AA30" s="252">
        <f>SUM(AA25:AA29)</f>
        <v>-19079.77</v>
      </c>
      <c r="AB30" s="253"/>
      <c r="AC30" s="252">
        <f>SUM(AC25:AC29)</f>
        <v>-16027</v>
      </c>
      <c r="AD30" s="253"/>
      <c r="AE30" s="252">
        <f>SUM(AE25:AE29)</f>
        <v>-199580.13999999996</v>
      </c>
      <c r="AF30" s="248">
        <f>IF(AE$47=0,0,AE30/AE$47)</f>
        <v>-2.2009222958521386E-2</v>
      </c>
      <c r="AG30" s="222"/>
    </row>
    <row r="31" spans="1:33" s="240" customFormat="1" ht="15.5" outlineLevel="1">
      <c r="A31" s="245"/>
      <c r="B31" s="245"/>
      <c r="C31" s="245"/>
      <c r="D31" s="245"/>
      <c r="G31" s="254"/>
      <c r="H31" s="253"/>
      <c r="I31" s="254"/>
      <c r="J31" s="253"/>
      <c r="K31" s="254"/>
      <c r="L31" s="253"/>
      <c r="M31" s="254"/>
      <c r="N31" s="253"/>
      <c r="O31" s="254"/>
      <c r="P31" s="253"/>
      <c r="Q31" s="254"/>
      <c r="R31" s="253"/>
      <c r="S31" s="254"/>
      <c r="T31" s="253"/>
      <c r="U31" s="254"/>
      <c r="V31" s="253"/>
      <c r="W31" s="254"/>
      <c r="X31" s="253"/>
      <c r="Y31" s="254"/>
      <c r="Z31" s="253"/>
      <c r="AA31" s="254"/>
      <c r="AB31" s="253"/>
      <c r="AC31" s="254"/>
      <c r="AD31" s="253"/>
      <c r="AE31" s="254"/>
      <c r="AF31" s="243"/>
      <c r="AG31" s="222"/>
    </row>
    <row r="32" spans="1:33" s="240" customFormat="1" ht="15.5" outlineLevel="1">
      <c r="G32" s="254"/>
      <c r="H32" s="253"/>
      <c r="I32" s="254"/>
      <c r="J32" s="253"/>
      <c r="K32" s="254"/>
      <c r="L32" s="253"/>
      <c r="M32" s="254"/>
      <c r="N32" s="253"/>
      <c r="O32" s="254"/>
      <c r="P32" s="253"/>
      <c r="Q32" s="254"/>
      <c r="R32" s="253"/>
      <c r="S32" s="254"/>
      <c r="T32" s="253"/>
      <c r="U32" s="254"/>
      <c r="V32" s="253"/>
      <c r="W32" s="254"/>
      <c r="X32" s="253"/>
      <c r="Y32" s="254"/>
      <c r="Z32" s="253"/>
      <c r="AA32" s="254"/>
      <c r="AB32" s="253"/>
      <c r="AC32" s="254"/>
      <c r="AD32" s="253"/>
      <c r="AE32" s="254"/>
      <c r="AF32" s="243"/>
      <c r="AG32" s="222"/>
    </row>
    <row r="33" spans="1:33" customFormat="1" ht="14.5" outlineLevel="1"/>
    <row r="34" spans="1:33" s="240" customFormat="1" ht="3.75" customHeight="1" outlineLevel="1">
      <c r="A34" s="245"/>
      <c r="B34" s="245"/>
      <c r="C34" s="245"/>
      <c r="D34" s="245"/>
      <c r="G34" s="255"/>
      <c r="H34" s="253"/>
      <c r="I34" s="255"/>
      <c r="J34" s="253"/>
      <c r="K34" s="255"/>
      <c r="L34" s="253"/>
      <c r="M34" s="255"/>
      <c r="N34" s="253"/>
      <c r="O34" s="255"/>
      <c r="P34" s="253"/>
      <c r="Q34" s="255"/>
      <c r="R34" s="253"/>
      <c r="S34" s="255"/>
      <c r="T34" s="253"/>
      <c r="U34" s="255"/>
      <c r="V34" s="253"/>
      <c r="W34" s="255"/>
      <c r="X34" s="253"/>
      <c r="Y34" s="255"/>
      <c r="Z34" s="253"/>
      <c r="AA34" s="255"/>
      <c r="AB34" s="253"/>
      <c r="AC34" s="255"/>
      <c r="AD34" s="253"/>
      <c r="AE34" s="255"/>
      <c r="AF34" s="243"/>
      <c r="AG34" s="222"/>
    </row>
    <row r="35" spans="1:33" s="240" customFormat="1" ht="15.5">
      <c r="C35" s="245" t="s">
        <v>727</v>
      </c>
      <c r="G35" s="252">
        <f>SUM(G32:G34)</f>
        <v>0</v>
      </c>
      <c r="H35" s="253"/>
      <c r="I35" s="252">
        <f>SUM(I32:I34)</f>
        <v>0</v>
      </c>
      <c r="J35" s="253"/>
      <c r="K35" s="252">
        <f>SUM(K32:K34)</f>
        <v>0</v>
      </c>
      <c r="L35" s="253"/>
      <c r="M35" s="252">
        <f>SUM(M32:M34)</f>
        <v>0</v>
      </c>
      <c r="N35" s="253"/>
      <c r="O35" s="252">
        <f>SUM(O32:O34)</f>
        <v>0</v>
      </c>
      <c r="P35" s="253"/>
      <c r="Q35" s="252">
        <f>SUM(Q32:Q34)</f>
        <v>0</v>
      </c>
      <c r="R35" s="253"/>
      <c r="S35" s="252">
        <f>SUM(S32:S34)</f>
        <v>0</v>
      </c>
      <c r="T35" s="253"/>
      <c r="U35" s="252">
        <f>SUM(U32:U34)</f>
        <v>0</v>
      </c>
      <c r="V35" s="253"/>
      <c r="W35" s="252">
        <f>SUM(W32:W34)</f>
        <v>0</v>
      </c>
      <c r="X35" s="253"/>
      <c r="Y35" s="252">
        <f>SUM(Y32:Y34)</f>
        <v>0</v>
      </c>
      <c r="Z35" s="253"/>
      <c r="AA35" s="252">
        <f>SUM(AA32:AA34)</f>
        <v>0</v>
      </c>
      <c r="AB35" s="253"/>
      <c r="AC35" s="252">
        <f>SUM(AC32:AC34)</f>
        <v>0</v>
      </c>
      <c r="AD35" s="253"/>
      <c r="AE35" s="252">
        <f>SUM(AE32:AE34)</f>
        <v>0</v>
      </c>
      <c r="AF35" s="248">
        <f>IF(AE$47=0,0,AE35/AE$47)</f>
        <v>0</v>
      </c>
      <c r="AG35" s="222"/>
    </row>
    <row r="36" spans="1:33" s="240" customFormat="1" ht="15.5" outlineLevel="1">
      <c r="G36" s="254"/>
      <c r="H36" s="253"/>
      <c r="I36" s="254"/>
      <c r="J36" s="253"/>
      <c r="K36" s="254"/>
      <c r="L36" s="253"/>
      <c r="M36" s="254"/>
      <c r="N36" s="253"/>
      <c r="O36" s="254"/>
      <c r="P36" s="253"/>
      <c r="Q36" s="254"/>
      <c r="R36" s="253"/>
      <c r="S36" s="254"/>
      <c r="T36" s="253"/>
      <c r="U36" s="254"/>
      <c r="V36" s="253"/>
      <c r="W36" s="254"/>
      <c r="X36" s="253"/>
      <c r="Y36" s="254"/>
      <c r="Z36" s="253"/>
      <c r="AA36" s="254"/>
      <c r="AB36" s="253"/>
      <c r="AC36" s="254"/>
      <c r="AD36" s="253"/>
      <c r="AE36" s="254"/>
      <c r="AF36" s="243"/>
      <c r="AG36" s="222"/>
    </row>
    <row r="37" spans="1:33" customFormat="1" ht="14.5" outlineLevel="1"/>
    <row r="38" spans="1:33" s="240" customFormat="1" ht="3.75" customHeight="1" outlineLevel="1">
      <c r="A38" s="245"/>
      <c r="B38" s="245"/>
      <c r="C38" s="245"/>
      <c r="D38" s="245"/>
      <c r="G38" s="255"/>
      <c r="H38" s="253"/>
      <c r="I38" s="255"/>
      <c r="J38" s="253"/>
      <c r="K38" s="255"/>
      <c r="L38" s="253"/>
      <c r="M38" s="255"/>
      <c r="N38" s="253"/>
      <c r="O38" s="255"/>
      <c r="P38" s="253"/>
      <c r="Q38" s="255"/>
      <c r="R38" s="253"/>
      <c r="S38" s="255"/>
      <c r="T38" s="253"/>
      <c r="U38" s="255"/>
      <c r="V38" s="253"/>
      <c r="W38" s="255"/>
      <c r="X38" s="253"/>
      <c r="Y38" s="255"/>
      <c r="Z38" s="253"/>
      <c r="AA38" s="255"/>
      <c r="AB38" s="253"/>
      <c r="AC38" s="255"/>
      <c r="AD38" s="253"/>
      <c r="AE38" s="255"/>
      <c r="AF38" s="243"/>
      <c r="AG38" s="222"/>
    </row>
    <row r="39" spans="1:33" s="240" customFormat="1" ht="15.5">
      <c r="C39" s="245" t="s">
        <v>728</v>
      </c>
      <c r="G39" s="252">
        <f>SUM(G37:G38)</f>
        <v>0</v>
      </c>
      <c r="H39" s="253"/>
      <c r="I39" s="252">
        <f>SUM(I37:I38)</f>
        <v>0</v>
      </c>
      <c r="J39" s="253"/>
      <c r="K39" s="252">
        <f>SUM(K37:K38)</f>
        <v>0</v>
      </c>
      <c r="L39" s="253"/>
      <c r="M39" s="252">
        <f>SUM(M37:M38)</f>
        <v>0</v>
      </c>
      <c r="N39" s="253"/>
      <c r="O39" s="252">
        <f>SUM(O37:O38)</f>
        <v>0</v>
      </c>
      <c r="P39" s="253"/>
      <c r="Q39" s="252">
        <f>SUM(Q37:Q38)</f>
        <v>0</v>
      </c>
      <c r="R39" s="253"/>
      <c r="S39" s="252">
        <f>SUM(S37:S38)</f>
        <v>0</v>
      </c>
      <c r="T39" s="253"/>
      <c r="U39" s="252">
        <f>SUM(U37:U38)</f>
        <v>0</v>
      </c>
      <c r="V39" s="253"/>
      <c r="W39" s="252">
        <f>SUM(W37:W38)</f>
        <v>0</v>
      </c>
      <c r="X39" s="253"/>
      <c r="Y39" s="252">
        <f>SUM(Y37:Y38)</f>
        <v>0</v>
      </c>
      <c r="Z39" s="253"/>
      <c r="AA39" s="252">
        <f>SUM(AA37:AA38)</f>
        <v>0</v>
      </c>
      <c r="AB39" s="253"/>
      <c r="AC39" s="252">
        <f>SUM(AC37:AC38)</f>
        <v>0</v>
      </c>
      <c r="AD39" s="253"/>
      <c r="AE39" s="252">
        <f>SUM(AE37:AE38)</f>
        <v>0</v>
      </c>
      <c r="AF39" s="248">
        <f>IF(AE$47=0,0,AE39/AE$47)</f>
        <v>0</v>
      </c>
      <c r="AG39" s="222"/>
    </row>
    <row r="40" spans="1:33" s="240" customFormat="1" ht="15.5" outlineLevel="1">
      <c r="G40" s="254"/>
      <c r="H40" s="253"/>
      <c r="I40" s="254"/>
      <c r="J40" s="253"/>
      <c r="K40" s="254"/>
      <c r="L40" s="253"/>
      <c r="M40" s="254"/>
      <c r="N40" s="253"/>
      <c r="O40" s="254"/>
      <c r="P40" s="253"/>
      <c r="Q40" s="254"/>
      <c r="R40" s="253"/>
      <c r="S40" s="254"/>
      <c r="T40" s="253"/>
      <c r="U40" s="254"/>
      <c r="V40" s="253"/>
      <c r="W40" s="254"/>
      <c r="X40" s="253"/>
      <c r="Y40" s="254"/>
      <c r="Z40" s="253"/>
      <c r="AA40" s="254"/>
      <c r="AB40" s="253"/>
      <c r="AC40" s="254"/>
      <c r="AD40" s="253"/>
      <c r="AE40" s="254"/>
      <c r="AF40" s="243"/>
      <c r="AG40" s="222"/>
    </row>
    <row r="41" spans="1:33" s="240" customFormat="1" ht="15.5" outlineLevel="1">
      <c r="G41" s="254"/>
      <c r="H41" s="253"/>
      <c r="I41" s="254"/>
      <c r="J41" s="253"/>
      <c r="K41" s="254"/>
      <c r="L41" s="253"/>
      <c r="M41" s="254"/>
      <c r="N41" s="253"/>
      <c r="O41" s="254"/>
      <c r="P41" s="253"/>
      <c r="Q41" s="254"/>
      <c r="R41" s="253"/>
      <c r="S41" s="254"/>
      <c r="T41" s="253"/>
      <c r="U41" s="254"/>
      <c r="V41" s="253"/>
      <c r="W41" s="254"/>
      <c r="X41" s="253"/>
      <c r="Y41" s="254"/>
      <c r="Z41" s="253"/>
      <c r="AA41" s="254"/>
      <c r="AB41" s="253"/>
      <c r="AC41" s="254"/>
      <c r="AD41" s="253"/>
      <c r="AE41" s="254"/>
      <c r="AF41" s="243"/>
      <c r="AG41" s="222"/>
    </row>
    <row r="42" spans="1:33" outlineLevel="1">
      <c r="A42" s="244">
        <v>38000</v>
      </c>
      <c r="B42" s="244" t="s">
        <v>729</v>
      </c>
      <c r="C42" s="245"/>
      <c r="D42" s="246"/>
      <c r="E42" s="240"/>
      <c r="F42" s="241"/>
      <c r="G42" s="247">
        <v>1018.99</v>
      </c>
      <c r="H42" s="241"/>
      <c r="I42" s="247">
        <v>1077.4000000000001</v>
      </c>
      <c r="J42" s="241"/>
      <c r="K42" s="247">
        <v>1043.99</v>
      </c>
      <c r="L42" s="241"/>
      <c r="M42" s="247">
        <v>713</v>
      </c>
      <c r="N42" s="241"/>
      <c r="O42" s="247">
        <v>636.16999999999996</v>
      </c>
      <c r="P42" s="241"/>
      <c r="Q42" s="247">
        <v>972.62</v>
      </c>
      <c r="R42" s="241"/>
      <c r="S42" s="247">
        <v>845.16</v>
      </c>
      <c r="T42" s="241"/>
      <c r="U42" s="247">
        <v>872.32</v>
      </c>
      <c r="V42" s="241"/>
      <c r="W42" s="247">
        <v>1070.05</v>
      </c>
      <c r="X42" s="241"/>
      <c r="Y42" s="247">
        <v>1145.8399999999999</v>
      </c>
      <c r="Z42" s="241"/>
      <c r="AA42" s="247">
        <v>944.28</v>
      </c>
      <c r="AB42" s="241"/>
      <c r="AC42" s="247">
        <v>1657.27</v>
      </c>
      <c r="AD42" s="241"/>
      <c r="AE42" s="247">
        <f t="shared" ref="AE42:AE43" si="4">AC42+AA42+Y42+W42+U42+S42+Q42+O42+M42+K42+I42+G42</f>
        <v>11997.089999999998</v>
      </c>
      <c r="AF42" s="248">
        <f t="shared" ref="AF42:AF43" si="5">IF(AE$47=0,0,AE42/AE$47)</f>
        <v>1.3230105393424783E-3</v>
      </c>
      <c r="AG42" s="249"/>
    </row>
    <row r="43" spans="1:33" outlineLevel="1">
      <c r="A43" s="244">
        <v>38001</v>
      </c>
      <c r="B43" s="244" t="s">
        <v>730</v>
      </c>
      <c r="C43" s="245"/>
      <c r="D43" s="246"/>
      <c r="E43" s="240"/>
      <c r="F43" s="241"/>
      <c r="G43" s="247">
        <v>439.07</v>
      </c>
      <c r="H43" s="241"/>
      <c r="I43" s="247">
        <v>325.18</v>
      </c>
      <c r="J43" s="241"/>
      <c r="K43" s="247">
        <v>393.37</v>
      </c>
      <c r="L43" s="241"/>
      <c r="M43" s="247">
        <v>451.24</v>
      </c>
      <c r="N43" s="241"/>
      <c r="O43" s="247">
        <v>1049.1099999999999</v>
      </c>
      <c r="P43" s="241"/>
      <c r="Q43" s="247">
        <v>612.65</v>
      </c>
      <c r="R43" s="241"/>
      <c r="S43" s="247">
        <v>319.3</v>
      </c>
      <c r="T43" s="241"/>
      <c r="U43" s="247">
        <v>436.07</v>
      </c>
      <c r="V43" s="241"/>
      <c r="W43" s="247">
        <v>652.51</v>
      </c>
      <c r="X43" s="241"/>
      <c r="Y43" s="247">
        <v>412.25</v>
      </c>
      <c r="Z43" s="241"/>
      <c r="AA43" s="247">
        <v>405.52</v>
      </c>
      <c r="AB43" s="241"/>
      <c r="AC43" s="247">
        <v>470.46</v>
      </c>
      <c r="AD43" s="241"/>
      <c r="AE43" s="247">
        <f t="shared" si="4"/>
        <v>5966.73</v>
      </c>
      <c r="AF43" s="248">
        <f t="shared" si="5"/>
        <v>6.5799678717180137E-4</v>
      </c>
      <c r="AG43" s="249"/>
    </row>
    <row r="44" spans="1:33" s="240" customFormat="1" ht="4.5" customHeight="1" outlineLevel="1">
      <c r="A44" s="256"/>
      <c r="G44" s="255"/>
      <c r="H44" s="253"/>
      <c r="I44" s="255"/>
      <c r="J44" s="253"/>
      <c r="K44" s="255"/>
      <c r="L44" s="253"/>
      <c r="M44" s="255"/>
      <c r="N44" s="253"/>
      <c r="O44" s="255"/>
      <c r="P44" s="253"/>
      <c r="Q44" s="255"/>
      <c r="R44" s="253"/>
      <c r="S44" s="255"/>
      <c r="T44" s="253"/>
      <c r="U44" s="255"/>
      <c r="V44" s="253"/>
      <c r="W44" s="255"/>
      <c r="X44" s="253"/>
      <c r="Y44" s="255"/>
      <c r="Z44" s="253"/>
      <c r="AA44" s="255"/>
      <c r="AB44" s="253"/>
      <c r="AC44" s="255"/>
      <c r="AD44" s="253"/>
      <c r="AE44" s="255"/>
      <c r="AF44" s="243"/>
      <c r="AG44" s="222"/>
    </row>
    <row r="45" spans="1:33" s="240" customFormat="1" ht="15.5">
      <c r="C45" s="240" t="s">
        <v>731</v>
      </c>
      <c r="G45" s="252">
        <f>SUM(G41:G44)</f>
        <v>1458.06</v>
      </c>
      <c r="H45" s="253"/>
      <c r="I45" s="252">
        <f>SUM(I41:I44)</f>
        <v>1402.5800000000002</v>
      </c>
      <c r="J45" s="253"/>
      <c r="K45" s="252">
        <f>SUM(K41:K44)</f>
        <v>1437.3600000000001</v>
      </c>
      <c r="L45" s="253"/>
      <c r="M45" s="252">
        <f>SUM(M41:M44)</f>
        <v>1164.24</v>
      </c>
      <c r="N45" s="253"/>
      <c r="O45" s="252">
        <f>SUM(O41:O44)</f>
        <v>1685.2799999999997</v>
      </c>
      <c r="P45" s="253"/>
      <c r="Q45" s="252">
        <f>SUM(Q41:Q44)</f>
        <v>1585.27</v>
      </c>
      <c r="R45" s="253"/>
      <c r="S45" s="252">
        <f>SUM(S41:S44)</f>
        <v>1164.46</v>
      </c>
      <c r="T45" s="253"/>
      <c r="U45" s="252">
        <f>SUM(U41:U44)</f>
        <v>1308.3900000000001</v>
      </c>
      <c r="V45" s="253"/>
      <c r="W45" s="252">
        <f>SUM(W41:W44)</f>
        <v>1722.56</v>
      </c>
      <c r="X45" s="253"/>
      <c r="Y45" s="252">
        <f>SUM(Y41:Y44)</f>
        <v>1558.09</v>
      </c>
      <c r="Z45" s="253"/>
      <c r="AA45" s="252">
        <f>SUM(AA41:AA44)</f>
        <v>1349.8</v>
      </c>
      <c r="AB45" s="253"/>
      <c r="AC45" s="252">
        <f>SUM(AC41:AC44)</f>
        <v>2127.73</v>
      </c>
      <c r="AD45" s="253"/>
      <c r="AE45" s="252">
        <f>SUM(AE41:AE44)</f>
        <v>17963.82</v>
      </c>
      <c r="AF45" s="248">
        <f>IF(AE$47=0,0,AE45/AE$47)</f>
        <v>1.9810073265142799E-3</v>
      </c>
      <c r="AG45" s="222"/>
    </row>
    <row r="46" spans="1:33" s="240" customFormat="1" ht="7.5" customHeight="1">
      <c r="G46" s="254"/>
      <c r="H46" s="253"/>
      <c r="I46" s="254"/>
      <c r="J46" s="253"/>
      <c r="K46" s="254"/>
      <c r="L46" s="253"/>
      <c r="M46" s="254"/>
      <c r="N46" s="253"/>
      <c r="O46" s="254"/>
      <c r="P46" s="253"/>
      <c r="Q46" s="254"/>
      <c r="R46" s="253"/>
      <c r="S46" s="254"/>
      <c r="T46" s="253"/>
      <c r="U46" s="254"/>
      <c r="V46" s="253"/>
      <c r="W46" s="254"/>
      <c r="X46" s="253"/>
      <c r="Y46" s="254"/>
      <c r="Z46" s="253"/>
      <c r="AA46" s="254"/>
      <c r="AB46" s="253"/>
      <c r="AC46" s="254"/>
      <c r="AD46" s="253"/>
      <c r="AE46" s="254"/>
      <c r="AF46" s="243"/>
      <c r="AG46" s="222"/>
    </row>
    <row r="47" spans="1:33" s="240" customFormat="1" ht="15.5">
      <c r="B47" s="257" t="s">
        <v>83</v>
      </c>
      <c r="G47" s="258">
        <f>+G23+G30+G35+G45+G19+G39</f>
        <v>721021.8400000002</v>
      </c>
      <c r="H47" s="253"/>
      <c r="I47" s="258">
        <f>+I23+I30+I35+I45+I19+I39</f>
        <v>716883.2</v>
      </c>
      <c r="J47" s="253"/>
      <c r="K47" s="258">
        <f>+K23+K30+K35+K45+K19+K39</f>
        <v>747158.53</v>
      </c>
      <c r="L47" s="253"/>
      <c r="M47" s="258">
        <f>+M23+M30+M35+M45+M19+M39</f>
        <v>735456.9</v>
      </c>
      <c r="N47" s="253"/>
      <c r="O47" s="258">
        <f>+O23+O30+O35+O45+O19+O39</f>
        <v>751736.98</v>
      </c>
      <c r="P47" s="253"/>
      <c r="Q47" s="258">
        <f>+Q23+Q30+Q35+Q45+Q19+Q39</f>
        <v>764701.84</v>
      </c>
      <c r="R47" s="253"/>
      <c r="S47" s="258">
        <f>+S23+S30+S35+S45+S19+S39</f>
        <v>782377.00999999989</v>
      </c>
      <c r="T47" s="253"/>
      <c r="U47" s="258">
        <f>+U23+U30+U35+U45+U19+U39</f>
        <v>776357.72</v>
      </c>
      <c r="V47" s="253"/>
      <c r="W47" s="258">
        <f>+W23+W30+W35+W45+W19+W39</f>
        <v>777071.1</v>
      </c>
      <c r="X47" s="253"/>
      <c r="Y47" s="258">
        <f>+Y23+Y30+Y35+Y45+Y19+Y39</f>
        <v>761846.54999999993</v>
      </c>
      <c r="Z47" s="253"/>
      <c r="AA47" s="258">
        <f>+AA23+AA30+AA35+AA45+AA19+AA39</f>
        <v>763466.28</v>
      </c>
      <c r="AB47" s="253"/>
      <c r="AC47" s="258">
        <f>+AC23+AC30+AC35+AC45+AC19+AC39</f>
        <v>769945.04999999993</v>
      </c>
      <c r="AD47" s="253"/>
      <c r="AE47" s="258">
        <f>+AE23+AE30+AE35+AE45+AE19+AE39</f>
        <v>9068023</v>
      </c>
      <c r="AF47" s="248">
        <f>IF(AE$47=0,0,AE47/AE$47)</f>
        <v>1</v>
      </c>
      <c r="AG47" s="222"/>
    </row>
    <row r="48" spans="1:33" s="240" customFormat="1" ht="7.5" customHeight="1">
      <c r="G48" s="254"/>
      <c r="H48" s="253"/>
      <c r="I48" s="254"/>
      <c r="J48" s="253"/>
      <c r="K48" s="254"/>
      <c r="L48" s="253"/>
      <c r="M48" s="254"/>
      <c r="N48" s="253"/>
      <c r="O48" s="254"/>
      <c r="P48" s="253"/>
      <c r="Q48" s="254"/>
      <c r="R48" s="253"/>
      <c r="S48" s="254"/>
      <c r="T48" s="253"/>
      <c r="U48" s="254"/>
      <c r="V48" s="253"/>
      <c r="W48" s="254"/>
      <c r="X48" s="253"/>
      <c r="Y48" s="254"/>
      <c r="Z48" s="253"/>
      <c r="AA48" s="254"/>
      <c r="AB48" s="253"/>
      <c r="AC48" s="254"/>
      <c r="AD48" s="253"/>
      <c r="AE48" s="254"/>
      <c r="AF48" s="243"/>
      <c r="AG48" s="222"/>
    </row>
    <row r="49" spans="1:33" s="240" customFormat="1" ht="15.5" outlineLevel="1">
      <c r="G49" s="254"/>
      <c r="H49" s="253"/>
      <c r="I49" s="254"/>
      <c r="J49" s="253"/>
      <c r="K49" s="254"/>
      <c r="L49" s="253"/>
      <c r="M49" s="254"/>
      <c r="N49" s="253"/>
      <c r="O49" s="254"/>
      <c r="P49" s="253"/>
      <c r="Q49" s="254"/>
      <c r="R49" s="253"/>
      <c r="S49" s="254"/>
      <c r="T49" s="253"/>
      <c r="U49" s="254"/>
      <c r="V49" s="253"/>
      <c r="W49" s="254"/>
      <c r="X49" s="253"/>
      <c r="Y49" s="254"/>
      <c r="Z49" s="253"/>
      <c r="AA49" s="254"/>
      <c r="AB49" s="253"/>
      <c r="AC49" s="254"/>
      <c r="AD49" s="253"/>
      <c r="AE49" s="254"/>
      <c r="AF49" s="243"/>
      <c r="AG49" s="222"/>
    </row>
    <row r="50" spans="1:33" outlineLevel="1">
      <c r="A50" s="244">
        <v>40109</v>
      </c>
      <c r="B50" s="244" t="s">
        <v>732</v>
      </c>
      <c r="C50" s="245"/>
      <c r="D50" s="246"/>
      <c r="E50" s="240"/>
      <c r="F50" s="241"/>
      <c r="G50" s="247">
        <v>243534.47</v>
      </c>
      <c r="H50" s="241"/>
      <c r="I50" s="247">
        <v>234541.68</v>
      </c>
      <c r="J50" s="241"/>
      <c r="K50" s="247">
        <v>307130.51</v>
      </c>
      <c r="L50" s="241"/>
      <c r="M50" s="247">
        <v>250782.17</v>
      </c>
      <c r="N50" s="241"/>
      <c r="O50" s="247">
        <v>257031.82</v>
      </c>
      <c r="P50" s="241"/>
      <c r="Q50" s="247">
        <v>320043.01</v>
      </c>
      <c r="R50" s="241"/>
      <c r="S50" s="247">
        <v>290585.15999999997</v>
      </c>
      <c r="T50" s="241"/>
      <c r="U50" s="247">
        <v>287839.35999999999</v>
      </c>
      <c r="V50" s="241"/>
      <c r="W50" s="247">
        <v>304431.24</v>
      </c>
      <c r="X50" s="241"/>
      <c r="Y50" s="247">
        <v>254802.45</v>
      </c>
      <c r="Z50" s="241"/>
      <c r="AA50" s="247">
        <v>283417.84999999998</v>
      </c>
      <c r="AB50" s="241"/>
      <c r="AC50" s="247">
        <v>289568.92</v>
      </c>
      <c r="AD50" s="241"/>
      <c r="AE50" s="247">
        <f t="shared" ref="AE50:AE51" si="6">AC50+AA50+Y50+W50+U50+S50+Q50+O50+M50+K50+I50+G50</f>
        <v>3323708.6399999997</v>
      </c>
      <c r="AF50" s="248">
        <f t="shared" ref="AF50:AF51" si="7">IF(AE$47=0,0,AE50/AE$47)</f>
        <v>0.36653068039196635</v>
      </c>
      <c r="AG50" s="249"/>
    </row>
    <row r="51" spans="1:33" outlineLevel="1">
      <c r="A51" s="244">
        <v>40122</v>
      </c>
      <c r="B51" s="244" t="s">
        <v>734</v>
      </c>
      <c r="C51" s="245"/>
      <c r="D51" s="246"/>
      <c r="E51" s="240"/>
      <c r="F51" s="241"/>
      <c r="G51" s="247">
        <v>0</v>
      </c>
      <c r="H51" s="241"/>
      <c r="I51" s="247">
        <v>0</v>
      </c>
      <c r="J51" s="241"/>
      <c r="K51" s="247">
        <v>0</v>
      </c>
      <c r="L51" s="241"/>
      <c r="M51" s="247">
        <v>0</v>
      </c>
      <c r="N51" s="241"/>
      <c r="O51" s="247">
        <v>0</v>
      </c>
      <c r="P51" s="241"/>
      <c r="Q51" s="247">
        <v>0</v>
      </c>
      <c r="R51" s="241"/>
      <c r="S51" s="247">
        <v>755.85</v>
      </c>
      <c r="T51" s="241"/>
      <c r="U51" s="247">
        <v>0</v>
      </c>
      <c r="V51" s="241"/>
      <c r="W51" s="247">
        <v>0</v>
      </c>
      <c r="X51" s="241"/>
      <c r="Y51" s="247">
        <v>0</v>
      </c>
      <c r="Z51" s="241"/>
      <c r="AA51" s="247">
        <v>0</v>
      </c>
      <c r="AB51" s="241"/>
      <c r="AC51" s="247">
        <v>0</v>
      </c>
      <c r="AD51" s="241"/>
      <c r="AE51" s="247">
        <f t="shared" si="6"/>
        <v>755.85</v>
      </c>
      <c r="AF51" s="248">
        <f t="shared" si="7"/>
        <v>8.3353339531670804E-5</v>
      </c>
      <c r="AG51" s="249"/>
    </row>
    <row r="52" spans="1:33" s="240" customFormat="1" ht="5.15" customHeight="1" outlineLevel="1">
      <c r="A52" s="245"/>
      <c r="B52" s="245"/>
      <c r="C52" s="245"/>
      <c r="D52" s="245"/>
      <c r="G52" s="255"/>
      <c r="H52" s="253"/>
      <c r="I52" s="255"/>
      <c r="J52" s="253"/>
      <c r="K52" s="255"/>
      <c r="L52" s="253"/>
      <c r="M52" s="255"/>
      <c r="N52" s="253"/>
      <c r="O52" s="255"/>
      <c r="P52" s="253"/>
      <c r="Q52" s="255"/>
      <c r="R52" s="253"/>
      <c r="S52" s="255"/>
      <c r="T52" s="253"/>
      <c r="U52" s="255"/>
      <c r="V52" s="253"/>
      <c r="W52" s="255"/>
      <c r="X52" s="253"/>
      <c r="Y52" s="255"/>
      <c r="Z52" s="253"/>
      <c r="AA52" s="255"/>
      <c r="AB52" s="253"/>
      <c r="AC52" s="255"/>
      <c r="AD52" s="253"/>
      <c r="AE52" s="255"/>
      <c r="AF52" s="243"/>
      <c r="AG52" s="222"/>
    </row>
    <row r="53" spans="1:33" s="240" customFormat="1" ht="15.5">
      <c r="C53" s="245" t="s">
        <v>735</v>
      </c>
      <c r="G53" s="252">
        <f>SUM(G49:G52)</f>
        <v>243534.47</v>
      </c>
      <c r="H53" s="253"/>
      <c r="I53" s="252">
        <f>SUM(I49:I52)</f>
        <v>234541.68</v>
      </c>
      <c r="J53" s="253"/>
      <c r="K53" s="252">
        <f>SUM(K49:K52)</f>
        <v>307130.51</v>
      </c>
      <c r="L53" s="253"/>
      <c r="M53" s="252">
        <f>SUM(M49:M52)</f>
        <v>250782.17</v>
      </c>
      <c r="N53" s="253"/>
      <c r="O53" s="252">
        <f>SUM(O49:O52)</f>
        <v>257031.82</v>
      </c>
      <c r="P53" s="253"/>
      <c r="Q53" s="252">
        <f>SUM(Q49:Q52)</f>
        <v>320043.01</v>
      </c>
      <c r="R53" s="253"/>
      <c r="S53" s="252">
        <f>SUM(S49:S52)</f>
        <v>291341.00999999995</v>
      </c>
      <c r="T53" s="253"/>
      <c r="U53" s="252">
        <f>SUM(U49:U52)</f>
        <v>287839.35999999999</v>
      </c>
      <c r="V53" s="253"/>
      <c r="W53" s="252">
        <f>SUM(W49:W52)</f>
        <v>304431.24</v>
      </c>
      <c r="X53" s="253"/>
      <c r="Y53" s="252">
        <f>SUM(Y49:Y52)</f>
        <v>254802.45</v>
      </c>
      <c r="Z53" s="253"/>
      <c r="AA53" s="252">
        <f>SUM(AA49:AA52)</f>
        <v>283417.84999999998</v>
      </c>
      <c r="AB53" s="253"/>
      <c r="AC53" s="252">
        <f>SUM(AC49:AC52)</f>
        <v>289568.92</v>
      </c>
      <c r="AD53" s="253"/>
      <c r="AE53" s="252">
        <f>SUM(AE49:AE52)</f>
        <v>3324464.4899999998</v>
      </c>
      <c r="AF53" s="248">
        <f>IF(AE$47=0,0,AE53/AE$47)</f>
        <v>0.36661403373149803</v>
      </c>
      <c r="AG53" s="222"/>
    </row>
    <row r="54" spans="1:33" s="240" customFormat="1" ht="15.5" outlineLevel="1">
      <c r="G54" s="254"/>
      <c r="H54" s="253"/>
      <c r="I54" s="254"/>
      <c r="J54" s="253"/>
      <c r="K54" s="254"/>
      <c r="L54" s="253"/>
      <c r="M54" s="254"/>
      <c r="N54" s="253"/>
      <c r="O54" s="254"/>
      <c r="P54" s="253"/>
      <c r="Q54" s="254"/>
      <c r="R54" s="253"/>
      <c r="S54" s="254"/>
      <c r="T54" s="253"/>
      <c r="U54" s="254"/>
      <c r="V54" s="253"/>
      <c r="W54" s="254"/>
      <c r="X54" s="253"/>
      <c r="Y54" s="254"/>
      <c r="Z54" s="253"/>
      <c r="AA54" s="254"/>
      <c r="AB54" s="253"/>
      <c r="AC54" s="254"/>
      <c r="AD54" s="253"/>
      <c r="AE54" s="254"/>
      <c r="AF54" s="243"/>
      <c r="AG54" s="222"/>
    </row>
    <row r="55" spans="1:33" outlineLevel="1">
      <c r="A55" s="244"/>
      <c r="B55" s="244"/>
      <c r="C55" s="245"/>
      <c r="D55" s="246"/>
      <c r="E55" s="240"/>
      <c r="F55" s="241"/>
      <c r="G55" s="247"/>
      <c r="H55" s="241"/>
      <c r="I55" s="247"/>
      <c r="J55" s="241"/>
      <c r="K55" s="247"/>
      <c r="L55" s="241"/>
      <c r="M55" s="247"/>
      <c r="N55" s="241"/>
      <c r="O55" s="247"/>
      <c r="P55" s="241"/>
      <c r="Q55" s="247"/>
      <c r="R55" s="241"/>
      <c r="S55" s="247"/>
      <c r="T55" s="241"/>
      <c r="U55" s="247"/>
      <c r="V55" s="241"/>
      <c r="W55" s="247"/>
      <c r="X55" s="241"/>
      <c r="Y55" s="247"/>
      <c r="Z55" s="241"/>
      <c r="AA55" s="247"/>
      <c r="AB55" s="241"/>
      <c r="AC55" s="247"/>
      <c r="AD55" s="241"/>
      <c r="AE55" s="247"/>
      <c r="AF55" s="248"/>
      <c r="AG55" s="249"/>
    </row>
    <row r="56" spans="1:33" s="240" customFormat="1" ht="4.5" customHeight="1" outlineLevel="1">
      <c r="A56" s="256"/>
      <c r="G56" s="255"/>
      <c r="H56" s="253"/>
      <c r="I56" s="255"/>
      <c r="J56" s="253"/>
      <c r="K56" s="255"/>
      <c r="L56" s="253"/>
      <c r="M56" s="255"/>
      <c r="N56" s="253"/>
      <c r="O56" s="255"/>
      <c r="P56" s="253"/>
      <c r="Q56" s="255"/>
      <c r="R56" s="253"/>
      <c r="S56" s="255"/>
      <c r="T56" s="253"/>
      <c r="U56" s="255"/>
      <c r="V56" s="253"/>
      <c r="W56" s="255"/>
      <c r="X56" s="253"/>
      <c r="Y56" s="255"/>
      <c r="Z56" s="253"/>
      <c r="AA56" s="255"/>
      <c r="AB56" s="253"/>
      <c r="AC56" s="255"/>
      <c r="AD56" s="253"/>
      <c r="AE56" s="255"/>
      <c r="AF56" s="243"/>
      <c r="AG56" s="222"/>
    </row>
    <row r="57" spans="1:33" s="240" customFormat="1" ht="15.5">
      <c r="C57" s="240" t="s">
        <v>736</v>
      </c>
      <c r="G57" s="252">
        <f>SUM(G55:G56)</f>
        <v>0</v>
      </c>
      <c r="H57" s="253"/>
      <c r="I57" s="252">
        <f>SUM(I55:I56)</f>
        <v>0</v>
      </c>
      <c r="J57" s="253"/>
      <c r="K57" s="252">
        <f>SUM(K55:K56)</f>
        <v>0</v>
      </c>
      <c r="L57" s="253"/>
      <c r="M57" s="252">
        <f>SUM(M55:M56)</f>
        <v>0</v>
      </c>
      <c r="N57" s="253"/>
      <c r="O57" s="252">
        <f>SUM(O55:O56)</f>
        <v>0</v>
      </c>
      <c r="P57" s="253"/>
      <c r="Q57" s="252">
        <f>SUM(Q55:Q56)</f>
        <v>0</v>
      </c>
      <c r="R57" s="253"/>
      <c r="S57" s="252">
        <f>SUM(S55:S56)</f>
        <v>0</v>
      </c>
      <c r="T57" s="253"/>
      <c r="U57" s="252">
        <f>SUM(U55:U56)</f>
        <v>0</v>
      </c>
      <c r="V57" s="253"/>
      <c r="W57" s="252">
        <f>SUM(W55:W56)</f>
        <v>0</v>
      </c>
      <c r="X57" s="253"/>
      <c r="Y57" s="252">
        <f>SUM(Y55:Y56)</f>
        <v>0</v>
      </c>
      <c r="Z57" s="253"/>
      <c r="AA57" s="252">
        <f>SUM(AA55:AA56)</f>
        <v>0</v>
      </c>
      <c r="AB57" s="253"/>
      <c r="AC57" s="252">
        <f>SUM(AC55:AC56)</f>
        <v>0</v>
      </c>
      <c r="AD57" s="253"/>
      <c r="AE57" s="252">
        <f>SUM(AE55:AE56)</f>
        <v>0</v>
      </c>
      <c r="AF57" s="248">
        <f>IF(AE$47=0,0,AE57/AE$47)</f>
        <v>0</v>
      </c>
      <c r="AG57" s="222"/>
    </row>
    <row r="58" spans="1:33" s="240" customFormat="1" ht="15.5" outlineLevel="1">
      <c r="G58" s="254"/>
      <c r="H58" s="253"/>
      <c r="I58" s="254"/>
      <c r="J58" s="253"/>
      <c r="K58" s="254"/>
      <c r="L58" s="253"/>
      <c r="M58" s="254"/>
      <c r="N58" s="253"/>
      <c r="O58" s="254"/>
      <c r="P58" s="253"/>
      <c r="Q58" s="254"/>
      <c r="R58" s="253"/>
      <c r="S58" s="254"/>
      <c r="T58" s="253"/>
      <c r="U58" s="254"/>
      <c r="V58" s="253"/>
      <c r="W58" s="254"/>
      <c r="X58" s="253"/>
      <c r="Y58" s="254"/>
      <c r="Z58" s="253"/>
      <c r="AA58" s="254"/>
      <c r="AB58" s="253"/>
      <c r="AC58" s="254"/>
      <c r="AD58" s="253"/>
      <c r="AE58" s="254"/>
      <c r="AF58" s="243"/>
      <c r="AG58" s="222"/>
    </row>
    <row r="59" spans="1:33" s="240" customFormat="1" ht="15.5" outlineLevel="1">
      <c r="G59" s="254"/>
      <c r="H59" s="253"/>
      <c r="I59" s="254"/>
      <c r="J59" s="253"/>
      <c r="K59" s="254"/>
      <c r="L59" s="253"/>
      <c r="M59" s="254"/>
      <c r="N59" s="253"/>
      <c r="O59" s="254"/>
      <c r="P59" s="253"/>
      <c r="Q59" s="254"/>
      <c r="R59" s="253"/>
      <c r="S59" s="254"/>
      <c r="T59" s="253"/>
      <c r="U59" s="254"/>
      <c r="V59" s="253"/>
      <c r="W59" s="254"/>
      <c r="X59" s="253"/>
      <c r="Y59" s="254"/>
      <c r="Z59" s="253"/>
      <c r="AA59" s="254"/>
      <c r="AB59" s="253"/>
      <c r="AC59" s="254"/>
      <c r="AD59" s="253"/>
      <c r="AE59" s="254"/>
      <c r="AF59" s="243"/>
      <c r="AG59" s="222"/>
    </row>
    <row r="60" spans="1:33" outlineLevel="1">
      <c r="A60" s="244">
        <v>43001</v>
      </c>
      <c r="B60" s="244" t="s">
        <v>738</v>
      </c>
      <c r="C60" s="245"/>
      <c r="D60" s="246"/>
      <c r="E60" s="240"/>
      <c r="F60" s="241"/>
      <c r="G60" s="247">
        <v>10176.93</v>
      </c>
      <c r="H60" s="241"/>
      <c r="I60" s="247">
        <v>10580.27</v>
      </c>
      <c r="J60" s="241"/>
      <c r="K60" s="247">
        <v>11090.75</v>
      </c>
      <c r="L60" s="241"/>
      <c r="M60" s="247">
        <v>10130.370000000001</v>
      </c>
      <c r="N60" s="241"/>
      <c r="O60" s="247">
        <v>10295.040000000001</v>
      </c>
      <c r="P60" s="241"/>
      <c r="Q60" s="247">
        <v>10586.93</v>
      </c>
      <c r="R60" s="241"/>
      <c r="S60" s="247">
        <v>11331.2</v>
      </c>
      <c r="T60" s="241"/>
      <c r="U60" s="247">
        <v>11134.26</v>
      </c>
      <c r="V60" s="241"/>
      <c r="W60" s="247">
        <v>11112.57</v>
      </c>
      <c r="X60" s="241"/>
      <c r="Y60" s="247">
        <v>10860.05</v>
      </c>
      <c r="Z60" s="241"/>
      <c r="AA60" s="247">
        <v>11419.46</v>
      </c>
      <c r="AB60" s="241"/>
      <c r="AC60" s="247">
        <v>36674.29</v>
      </c>
      <c r="AD60" s="241"/>
      <c r="AE60" s="247">
        <f t="shared" ref="AE60:AE61" si="8">AC60+AA60+Y60+W60+U60+S60+Q60+O60+M60+K60+I60+G60</f>
        <v>155392.11999999997</v>
      </c>
      <c r="AF60" s="248">
        <f t="shared" ref="AF60:AF61" si="9">IF(AE$47=0,0,AE60/AE$47)</f>
        <v>1.7136273253828313E-2</v>
      </c>
      <c r="AG60" s="249"/>
    </row>
    <row r="61" spans="1:33" outlineLevel="1">
      <c r="A61" s="244">
        <v>43002</v>
      </c>
      <c r="B61" s="244" t="s">
        <v>739</v>
      </c>
      <c r="C61" s="245"/>
      <c r="D61" s="246"/>
      <c r="E61" s="240"/>
      <c r="F61" s="241"/>
      <c r="G61" s="247">
        <v>3021.04</v>
      </c>
      <c r="H61" s="241"/>
      <c r="I61" s="247">
        <v>3139.35</v>
      </c>
      <c r="J61" s="241"/>
      <c r="K61" s="247">
        <v>4188.78</v>
      </c>
      <c r="L61" s="241"/>
      <c r="M61" s="247">
        <v>3081.38</v>
      </c>
      <c r="N61" s="241"/>
      <c r="O61" s="247">
        <v>3291.25</v>
      </c>
      <c r="P61" s="241"/>
      <c r="Q61" s="247">
        <v>3322.84</v>
      </c>
      <c r="R61" s="241"/>
      <c r="S61" s="247">
        <v>3441.32</v>
      </c>
      <c r="T61" s="241"/>
      <c r="U61" s="247">
        <v>3307.78</v>
      </c>
      <c r="V61" s="241"/>
      <c r="W61" s="247">
        <v>3361.97</v>
      </c>
      <c r="X61" s="241"/>
      <c r="Y61" s="247">
        <v>3297.86</v>
      </c>
      <c r="Z61" s="241"/>
      <c r="AA61" s="247">
        <v>3304.04</v>
      </c>
      <c r="AB61" s="241"/>
      <c r="AC61" s="247">
        <v>2271.08</v>
      </c>
      <c r="AD61" s="241"/>
      <c r="AE61" s="247">
        <f t="shared" si="8"/>
        <v>39028.69</v>
      </c>
      <c r="AF61" s="248">
        <f t="shared" si="9"/>
        <v>4.3039910683949521E-3</v>
      </c>
      <c r="AG61" s="249"/>
    </row>
    <row r="62" spans="1:33" s="240" customFormat="1" ht="5.15" customHeight="1" outlineLevel="1">
      <c r="A62" s="245"/>
      <c r="B62" s="245"/>
      <c r="C62" s="245"/>
      <c r="D62" s="245"/>
      <c r="G62" s="255"/>
      <c r="H62" s="253"/>
      <c r="I62" s="255"/>
      <c r="J62" s="253"/>
      <c r="K62" s="255"/>
      <c r="L62" s="253"/>
      <c r="M62" s="255"/>
      <c r="N62" s="253"/>
      <c r="O62" s="255"/>
      <c r="P62" s="253"/>
      <c r="Q62" s="255"/>
      <c r="R62" s="253"/>
      <c r="S62" s="255"/>
      <c r="T62" s="253"/>
      <c r="U62" s="255"/>
      <c r="V62" s="253"/>
      <c r="W62" s="255"/>
      <c r="X62" s="253"/>
      <c r="Y62" s="255"/>
      <c r="Z62" s="253"/>
      <c r="AA62" s="255"/>
      <c r="AB62" s="253"/>
      <c r="AC62" s="255"/>
      <c r="AD62" s="253"/>
      <c r="AE62" s="255"/>
      <c r="AF62" s="243"/>
      <c r="AG62" s="222"/>
    </row>
    <row r="63" spans="1:33" s="240" customFormat="1" ht="15.5">
      <c r="C63" s="245" t="s">
        <v>740</v>
      </c>
      <c r="D63" s="259"/>
      <c r="E63" s="259"/>
      <c r="F63" s="259"/>
      <c r="G63" s="252">
        <f>SUM(G59:G62)</f>
        <v>13197.970000000001</v>
      </c>
      <c r="H63" s="253"/>
      <c r="I63" s="252">
        <f>SUM(I59:I62)</f>
        <v>13719.62</v>
      </c>
      <c r="J63" s="253"/>
      <c r="K63" s="252">
        <f>SUM(K59:K62)</f>
        <v>15279.529999999999</v>
      </c>
      <c r="L63" s="253"/>
      <c r="M63" s="252">
        <f>SUM(M59:M62)</f>
        <v>13211.75</v>
      </c>
      <c r="N63" s="253"/>
      <c r="O63" s="252">
        <f>SUM(O59:O62)</f>
        <v>13586.29</v>
      </c>
      <c r="P63" s="253"/>
      <c r="Q63" s="252">
        <f>SUM(Q59:Q62)</f>
        <v>13909.77</v>
      </c>
      <c r="R63" s="253"/>
      <c r="S63" s="252">
        <f>SUM(S59:S62)</f>
        <v>14772.52</v>
      </c>
      <c r="T63" s="253"/>
      <c r="U63" s="252">
        <f>SUM(U59:U62)</f>
        <v>14442.04</v>
      </c>
      <c r="V63" s="253"/>
      <c r="W63" s="252">
        <f>SUM(W59:W62)</f>
        <v>14474.539999999999</v>
      </c>
      <c r="X63" s="253"/>
      <c r="Y63" s="252">
        <f>SUM(Y59:Y62)</f>
        <v>14157.91</v>
      </c>
      <c r="Z63" s="253"/>
      <c r="AA63" s="252">
        <f>SUM(AA59:AA62)</f>
        <v>14723.5</v>
      </c>
      <c r="AB63" s="253"/>
      <c r="AC63" s="252">
        <f>SUM(AC59:AC62)</f>
        <v>38945.370000000003</v>
      </c>
      <c r="AD63" s="253"/>
      <c r="AE63" s="252">
        <f>SUM(AE59:AE62)</f>
        <v>194420.80999999997</v>
      </c>
      <c r="AF63" s="248">
        <f>IF(AE$47=0,0,AE63/AE$47)</f>
        <v>2.1440264322223263E-2</v>
      </c>
      <c r="AG63" s="222"/>
    </row>
    <row r="64" spans="1:33" s="240" customFormat="1" ht="15.5" outlineLevel="1">
      <c r="G64" s="254"/>
      <c r="H64" s="253"/>
      <c r="I64" s="254"/>
      <c r="J64" s="253"/>
      <c r="K64" s="254"/>
      <c r="L64" s="253"/>
      <c r="M64" s="254"/>
      <c r="N64" s="253"/>
      <c r="O64" s="254"/>
      <c r="P64" s="253"/>
      <c r="Q64" s="254"/>
      <c r="R64" s="253"/>
      <c r="S64" s="254"/>
      <c r="T64" s="253"/>
      <c r="U64" s="254"/>
      <c r="V64" s="253"/>
      <c r="W64" s="254"/>
      <c r="X64" s="253"/>
      <c r="Y64" s="254"/>
      <c r="Z64" s="253"/>
      <c r="AA64" s="254"/>
      <c r="AB64" s="253"/>
      <c r="AC64" s="254"/>
      <c r="AD64" s="253"/>
      <c r="AE64" s="254"/>
      <c r="AF64" s="243"/>
      <c r="AG64" s="222"/>
    </row>
    <row r="65" spans="1:33" s="240" customFormat="1" ht="15.5" outlineLevel="1">
      <c r="G65" s="254"/>
      <c r="H65" s="253"/>
      <c r="I65" s="254"/>
      <c r="J65" s="253"/>
      <c r="K65" s="254"/>
      <c r="L65" s="253"/>
      <c r="M65" s="254"/>
      <c r="N65" s="253"/>
      <c r="O65" s="254"/>
      <c r="P65" s="253"/>
      <c r="Q65" s="254"/>
      <c r="R65" s="253"/>
      <c r="S65" s="254"/>
      <c r="T65" s="253"/>
      <c r="U65" s="254"/>
      <c r="V65" s="253"/>
      <c r="W65" s="254"/>
      <c r="X65" s="253"/>
      <c r="Y65" s="254"/>
      <c r="Z65" s="253"/>
      <c r="AA65" s="254"/>
      <c r="AB65" s="253"/>
      <c r="AC65" s="254"/>
      <c r="AD65" s="253"/>
      <c r="AE65" s="254"/>
      <c r="AF65" s="243"/>
      <c r="AG65" s="222"/>
    </row>
    <row r="66" spans="1:33" outlineLevel="1">
      <c r="A66" s="244">
        <v>44168</v>
      </c>
      <c r="B66" s="244" t="s">
        <v>741</v>
      </c>
      <c r="C66" s="245"/>
      <c r="D66" s="246"/>
      <c r="E66" s="240"/>
      <c r="F66" s="241"/>
      <c r="G66" s="247">
        <v>0</v>
      </c>
      <c r="H66" s="241"/>
      <c r="I66" s="247">
        <v>0</v>
      </c>
      <c r="J66" s="241"/>
      <c r="K66" s="247">
        <v>0</v>
      </c>
      <c r="L66" s="241"/>
      <c r="M66" s="247">
        <v>0</v>
      </c>
      <c r="N66" s="241"/>
      <c r="O66" s="247">
        <v>0</v>
      </c>
      <c r="P66" s="241"/>
      <c r="Q66" s="247">
        <v>0</v>
      </c>
      <c r="R66" s="241"/>
      <c r="S66" s="247">
        <v>0</v>
      </c>
      <c r="T66" s="241"/>
      <c r="U66" s="247">
        <v>0</v>
      </c>
      <c r="V66" s="241"/>
      <c r="W66" s="247">
        <v>0</v>
      </c>
      <c r="X66" s="241"/>
      <c r="Y66" s="247">
        <v>0</v>
      </c>
      <c r="Z66" s="241"/>
      <c r="AA66" s="247">
        <v>0</v>
      </c>
      <c r="AB66" s="241"/>
      <c r="AC66" s="247">
        <v>2611.98</v>
      </c>
      <c r="AD66" s="241"/>
      <c r="AE66" s="247">
        <f>AC66+AA66+Y66+W66+U66+S66+Q66+O66+M66+K66+I66+G66</f>
        <v>2611.98</v>
      </c>
      <c r="AF66" s="248">
        <f>IF(AE$47=0,0,AE66/AE$47)</f>
        <v>2.8804293945879935E-4</v>
      </c>
      <c r="AG66" s="249"/>
    </row>
    <row r="67" spans="1:33" s="240" customFormat="1" ht="5.15" customHeight="1" outlineLevel="1">
      <c r="A67" s="245"/>
      <c r="B67" s="245"/>
      <c r="C67" s="245"/>
      <c r="D67" s="245"/>
      <c r="G67" s="255"/>
      <c r="H67" s="253"/>
      <c r="I67" s="255"/>
      <c r="J67" s="253"/>
      <c r="K67" s="255"/>
      <c r="L67" s="253"/>
      <c r="M67" s="255"/>
      <c r="N67" s="253"/>
      <c r="O67" s="255"/>
      <c r="P67" s="253"/>
      <c r="Q67" s="255"/>
      <c r="R67" s="253"/>
      <c r="S67" s="255"/>
      <c r="T67" s="253"/>
      <c r="U67" s="255"/>
      <c r="V67" s="253"/>
      <c r="W67" s="255"/>
      <c r="X67" s="253"/>
      <c r="Y67" s="255"/>
      <c r="Z67" s="253"/>
      <c r="AA67" s="255"/>
      <c r="AB67" s="253"/>
      <c r="AC67" s="255"/>
      <c r="AD67" s="253"/>
      <c r="AE67" s="255"/>
      <c r="AF67" s="243"/>
      <c r="AG67" s="222"/>
    </row>
    <row r="68" spans="1:33" s="240" customFormat="1" ht="15.5">
      <c r="C68" s="245" t="s">
        <v>742</v>
      </c>
      <c r="D68" s="259"/>
      <c r="E68" s="259"/>
      <c r="F68" s="259"/>
      <c r="G68" s="252">
        <f>SUM(G65:G67)</f>
        <v>0</v>
      </c>
      <c r="H68" s="253"/>
      <c r="I68" s="252">
        <f>SUM(I65:I67)</f>
        <v>0</v>
      </c>
      <c r="J68" s="253"/>
      <c r="K68" s="252">
        <f>SUM(K65:K67)</f>
        <v>0</v>
      </c>
      <c r="L68" s="253"/>
      <c r="M68" s="252">
        <f>SUM(M65:M67)</f>
        <v>0</v>
      </c>
      <c r="N68" s="253"/>
      <c r="O68" s="252">
        <f>SUM(O65:O67)</f>
        <v>0</v>
      </c>
      <c r="P68" s="253"/>
      <c r="Q68" s="252">
        <f>SUM(Q65:Q67)</f>
        <v>0</v>
      </c>
      <c r="R68" s="253"/>
      <c r="S68" s="252">
        <f>SUM(S65:S67)</f>
        <v>0</v>
      </c>
      <c r="T68" s="253"/>
      <c r="U68" s="252">
        <f>SUM(U65:U67)</f>
        <v>0</v>
      </c>
      <c r="V68" s="253"/>
      <c r="W68" s="252">
        <f>SUM(W65:W67)</f>
        <v>0</v>
      </c>
      <c r="X68" s="253"/>
      <c r="Y68" s="252">
        <f>SUM(Y65:Y67)</f>
        <v>0</v>
      </c>
      <c r="Z68" s="253"/>
      <c r="AA68" s="252">
        <f>SUM(AA65:AA67)</f>
        <v>0</v>
      </c>
      <c r="AB68" s="253"/>
      <c r="AC68" s="252">
        <f>SUM(AC65:AC67)</f>
        <v>2611.98</v>
      </c>
      <c r="AD68" s="253"/>
      <c r="AE68" s="252">
        <f>SUM(AE65:AE67)</f>
        <v>2611.98</v>
      </c>
      <c r="AF68" s="248">
        <f>IF(AE$47=0,0,AE68/AE$47)</f>
        <v>2.8804293945879935E-4</v>
      </c>
      <c r="AG68" s="222"/>
    </row>
    <row r="69" spans="1:33" s="240" customFormat="1" ht="15.5" outlineLevel="1">
      <c r="G69" s="254"/>
      <c r="H69" s="253"/>
      <c r="I69" s="254"/>
      <c r="J69" s="253"/>
      <c r="K69" s="254"/>
      <c r="L69" s="253"/>
      <c r="M69" s="254"/>
      <c r="N69" s="253"/>
      <c r="O69" s="254"/>
      <c r="P69" s="253"/>
      <c r="Q69" s="254"/>
      <c r="R69" s="253"/>
      <c r="S69" s="254"/>
      <c r="T69" s="253"/>
      <c r="U69" s="254"/>
      <c r="V69" s="253"/>
      <c r="W69" s="254"/>
      <c r="X69" s="253"/>
      <c r="Y69" s="254"/>
      <c r="Z69" s="253"/>
      <c r="AA69" s="254"/>
      <c r="AB69" s="253"/>
      <c r="AC69" s="254"/>
      <c r="AD69" s="253"/>
      <c r="AE69" s="254"/>
      <c r="AF69" s="243"/>
      <c r="AG69" s="222"/>
    </row>
    <row r="70" spans="1:33" customFormat="1" ht="14.5" outlineLevel="1"/>
    <row r="71" spans="1:33" s="240" customFormat="1" ht="4.5" customHeight="1" outlineLevel="1">
      <c r="A71" s="256"/>
      <c r="G71" s="255"/>
      <c r="H71" s="253"/>
      <c r="I71" s="255"/>
      <c r="J71" s="253"/>
      <c r="K71" s="255"/>
      <c r="L71" s="253"/>
      <c r="M71" s="255"/>
      <c r="N71" s="253"/>
      <c r="O71" s="255"/>
      <c r="P71" s="253"/>
      <c r="Q71" s="255"/>
      <c r="R71" s="253"/>
      <c r="S71" s="255"/>
      <c r="T71" s="253"/>
      <c r="U71" s="255"/>
      <c r="V71" s="253"/>
      <c r="W71" s="255"/>
      <c r="X71" s="253"/>
      <c r="Y71" s="255"/>
      <c r="Z71" s="253"/>
      <c r="AA71" s="255"/>
      <c r="AB71" s="253"/>
      <c r="AC71" s="255"/>
      <c r="AD71" s="253"/>
      <c r="AE71" s="255"/>
      <c r="AF71" s="243"/>
      <c r="AG71" s="222"/>
    </row>
    <row r="72" spans="1:33" s="240" customFormat="1" ht="15.5">
      <c r="C72" s="240" t="s">
        <v>743</v>
      </c>
      <c r="G72" s="252">
        <f>SUM(G70:G71)</f>
        <v>0</v>
      </c>
      <c r="H72" s="253"/>
      <c r="I72" s="252">
        <f>SUM(I70:I71)</f>
        <v>0</v>
      </c>
      <c r="J72" s="253"/>
      <c r="K72" s="252">
        <f>SUM(K70:K71)</f>
        <v>0</v>
      </c>
      <c r="L72" s="253"/>
      <c r="M72" s="252">
        <f>SUM(M70:M71)</f>
        <v>0</v>
      </c>
      <c r="N72" s="253"/>
      <c r="O72" s="252">
        <f>SUM(O70:O71)</f>
        <v>0</v>
      </c>
      <c r="P72" s="253"/>
      <c r="Q72" s="252">
        <f>SUM(Q70:Q71)</f>
        <v>0</v>
      </c>
      <c r="R72" s="253"/>
      <c r="S72" s="252">
        <f>SUM(S70:S71)</f>
        <v>0</v>
      </c>
      <c r="T72" s="253"/>
      <c r="U72" s="252">
        <f>SUM(U70:U71)</f>
        <v>0</v>
      </c>
      <c r="V72" s="253"/>
      <c r="W72" s="252">
        <f>SUM(W70:W71)</f>
        <v>0</v>
      </c>
      <c r="X72" s="253"/>
      <c r="Y72" s="252">
        <f>SUM(Y70:Y71)</f>
        <v>0</v>
      </c>
      <c r="Z72" s="253"/>
      <c r="AA72" s="252">
        <f>SUM(AA70:AA71)</f>
        <v>0</v>
      </c>
      <c r="AB72" s="253"/>
      <c r="AC72" s="252">
        <f>SUM(AC70:AC71)</f>
        <v>0</v>
      </c>
      <c r="AD72" s="253"/>
      <c r="AE72" s="252">
        <f>SUM(AE70:AE71)</f>
        <v>0</v>
      </c>
      <c r="AF72" s="248">
        <f>IF(AE$47=0,0,AE72/AE$47)</f>
        <v>0</v>
      </c>
      <c r="AG72" s="222"/>
    </row>
    <row r="73" spans="1:33" s="240" customFormat="1" ht="7.5" customHeight="1">
      <c r="G73" s="254"/>
      <c r="H73" s="253"/>
      <c r="I73" s="254"/>
      <c r="J73" s="253"/>
      <c r="K73" s="254"/>
      <c r="L73" s="253"/>
      <c r="M73" s="254"/>
      <c r="N73" s="253"/>
      <c r="O73" s="254"/>
      <c r="P73" s="253"/>
      <c r="Q73" s="254"/>
      <c r="R73" s="253"/>
      <c r="S73" s="254"/>
      <c r="T73" s="253"/>
      <c r="U73" s="254"/>
      <c r="V73" s="253"/>
      <c r="W73" s="254"/>
      <c r="X73" s="253"/>
      <c r="Y73" s="254"/>
      <c r="Z73" s="253"/>
      <c r="AA73" s="254"/>
      <c r="AB73" s="253"/>
      <c r="AC73" s="254"/>
      <c r="AD73" s="253"/>
      <c r="AE73" s="254"/>
      <c r="AF73" s="243"/>
      <c r="AG73" s="222"/>
    </row>
    <row r="74" spans="1:33" s="240" customFormat="1" ht="15.5">
      <c r="B74" s="257" t="s">
        <v>744</v>
      </c>
      <c r="G74" s="258">
        <f>+G53+G63+G68+G57+G72</f>
        <v>256732.44</v>
      </c>
      <c r="H74" s="253"/>
      <c r="I74" s="258">
        <f>+I53+I63+I68+I57+I72</f>
        <v>248261.3</v>
      </c>
      <c r="J74" s="253"/>
      <c r="K74" s="258">
        <f>+K53+K63+K68+K57+K72</f>
        <v>322410.04000000004</v>
      </c>
      <c r="L74" s="253"/>
      <c r="M74" s="258">
        <f>+M53+M63+M68+M57+M72</f>
        <v>263993.92000000004</v>
      </c>
      <c r="N74" s="253"/>
      <c r="O74" s="258">
        <f>+O53+O63+O68+O57+O72</f>
        <v>270618.11</v>
      </c>
      <c r="P74" s="253"/>
      <c r="Q74" s="258">
        <f>+Q53+Q63+Q68+Q57+Q72</f>
        <v>333952.78000000003</v>
      </c>
      <c r="R74" s="253"/>
      <c r="S74" s="258">
        <f>+S53+S63+S68+S57+S72</f>
        <v>306113.52999999997</v>
      </c>
      <c r="T74" s="253"/>
      <c r="U74" s="258">
        <f>+U53+U63+U68+U57+U72</f>
        <v>302281.39999999997</v>
      </c>
      <c r="V74" s="253"/>
      <c r="W74" s="258">
        <f>+W53+W63+W68+W57+W72</f>
        <v>318905.77999999997</v>
      </c>
      <c r="X74" s="253"/>
      <c r="Y74" s="258">
        <f>+Y53+Y63+Y68+Y57+Y72</f>
        <v>268960.36</v>
      </c>
      <c r="Z74" s="253"/>
      <c r="AA74" s="258">
        <f>+AA53+AA63+AA68+AA57+AA72</f>
        <v>298141.34999999998</v>
      </c>
      <c r="AB74" s="253"/>
      <c r="AC74" s="258">
        <f>+AC53+AC63+AC68+AC57+AC72</f>
        <v>331126.26999999996</v>
      </c>
      <c r="AD74" s="253"/>
      <c r="AE74" s="258">
        <f>+AE53+AE63+AE68+AE57+AE72</f>
        <v>3521497.28</v>
      </c>
      <c r="AF74" s="248">
        <f>IF(AE$47=0,0,AE74/AE$47)</f>
        <v>0.3883423409931801</v>
      </c>
      <c r="AG74" s="222"/>
    </row>
    <row r="75" spans="1:33" s="240" customFormat="1" ht="7.5" customHeight="1">
      <c r="G75" s="254"/>
      <c r="H75" s="253"/>
      <c r="I75" s="254"/>
      <c r="J75" s="253"/>
      <c r="K75" s="254"/>
      <c r="L75" s="253"/>
      <c r="M75" s="254"/>
      <c r="N75" s="253"/>
      <c r="O75" s="254"/>
      <c r="P75" s="253"/>
      <c r="Q75" s="254"/>
      <c r="R75" s="253"/>
      <c r="S75" s="254"/>
      <c r="T75" s="253"/>
      <c r="U75" s="254"/>
      <c r="V75" s="253"/>
      <c r="W75" s="254"/>
      <c r="X75" s="253"/>
      <c r="Y75" s="254"/>
      <c r="Z75" s="253"/>
      <c r="AA75" s="254"/>
      <c r="AB75" s="253"/>
      <c r="AC75" s="254"/>
      <c r="AD75" s="253"/>
      <c r="AE75" s="254"/>
      <c r="AF75" s="243"/>
      <c r="AG75" s="222"/>
    </row>
    <row r="76" spans="1:33" s="240" customFormat="1" ht="15.5">
      <c r="B76" s="260" t="s">
        <v>745</v>
      </c>
      <c r="G76" s="258">
        <f>G47-G74</f>
        <v>464289.4000000002</v>
      </c>
      <c r="H76" s="253"/>
      <c r="I76" s="258">
        <f>I47-I74</f>
        <v>468621.89999999997</v>
      </c>
      <c r="J76" s="253"/>
      <c r="K76" s="258">
        <f>K47-K74</f>
        <v>424748.49</v>
      </c>
      <c r="L76" s="253"/>
      <c r="M76" s="258">
        <f>M47-M74</f>
        <v>471462.98</v>
      </c>
      <c r="N76" s="253"/>
      <c r="O76" s="258">
        <f>O47-O74</f>
        <v>481118.87</v>
      </c>
      <c r="P76" s="253"/>
      <c r="Q76" s="258">
        <f>Q47-Q74</f>
        <v>430749.05999999994</v>
      </c>
      <c r="R76" s="253"/>
      <c r="S76" s="258">
        <f>S47-S74</f>
        <v>476263.47999999992</v>
      </c>
      <c r="T76" s="253"/>
      <c r="U76" s="258">
        <f>U47-U74</f>
        <v>474076.32</v>
      </c>
      <c r="V76" s="253"/>
      <c r="W76" s="258">
        <f>W47-W74</f>
        <v>458165.32</v>
      </c>
      <c r="X76" s="253"/>
      <c r="Y76" s="258">
        <f>Y47-Y74</f>
        <v>492886.18999999994</v>
      </c>
      <c r="Z76" s="253"/>
      <c r="AA76" s="258">
        <f>AA47-AA74</f>
        <v>465324.93000000005</v>
      </c>
      <c r="AB76" s="253"/>
      <c r="AC76" s="258">
        <f>AC47-AC74</f>
        <v>438818.77999999997</v>
      </c>
      <c r="AD76" s="253"/>
      <c r="AE76" s="258">
        <f>AE47-AE74</f>
        <v>5546525.7200000007</v>
      </c>
      <c r="AF76" s="248">
        <f>IF(AE$47=0,0,AE76/AE$47)</f>
        <v>0.61165765900682001</v>
      </c>
      <c r="AG76" s="222"/>
    </row>
    <row r="77" spans="1:33" s="240" customFormat="1" ht="7.5" customHeight="1">
      <c r="G77" s="254"/>
      <c r="H77" s="253"/>
      <c r="I77" s="254"/>
      <c r="J77" s="253"/>
      <c r="K77" s="254"/>
      <c r="L77" s="253"/>
      <c r="M77" s="254"/>
      <c r="N77" s="253"/>
      <c r="O77" s="254"/>
      <c r="P77" s="253"/>
      <c r="Q77" s="254"/>
      <c r="R77" s="253"/>
      <c r="S77" s="254"/>
      <c r="T77" s="253"/>
      <c r="U77" s="254"/>
      <c r="V77" s="253"/>
      <c r="W77" s="254"/>
      <c r="X77" s="253"/>
      <c r="Y77" s="254"/>
      <c r="Z77" s="253"/>
      <c r="AA77" s="254"/>
      <c r="AB77" s="253"/>
      <c r="AC77" s="254"/>
      <c r="AD77" s="253"/>
      <c r="AE77" s="254"/>
      <c r="AF77" s="243"/>
      <c r="AG77" s="222"/>
    </row>
    <row r="78" spans="1:33" s="240" customFormat="1" ht="15.5" outlineLevel="1">
      <c r="G78" s="254"/>
      <c r="H78" s="253"/>
      <c r="I78" s="254"/>
      <c r="J78" s="253"/>
      <c r="K78" s="254"/>
      <c r="L78" s="253"/>
      <c r="M78" s="254"/>
      <c r="N78" s="253"/>
      <c r="O78" s="254"/>
      <c r="P78" s="253"/>
      <c r="Q78" s="254"/>
      <c r="R78" s="253"/>
      <c r="S78" s="254"/>
      <c r="T78" s="253"/>
      <c r="U78" s="254"/>
      <c r="V78" s="253"/>
      <c r="W78" s="254"/>
      <c r="X78" s="253"/>
      <c r="Y78" s="254"/>
      <c r="Z78" s="253"/>
      <c r="AA78" s="254"/>
      <c r="AB78" s="253"/>
      <c r="AC78" s="254"/>
      <c r="AD78" s="253"/>
      <c r="AE78" s="254"/>
      <c r="AF78" s="243"/>
      <c r="AG78" s="222"/>
    </row>
    <row r="79" spans="1:33" outlineLevel="1">
      <c r="A79" s="244">
        <v>50020</v>
      </c>
      <c r="B79" s="244" t="s">
        <v>746</v>
      </c>
      <c r="C79" s="245"/>
      <c r="D79" s="246"/>
      <c r="E79" s="240"/>
      <c r="F79" s="241"/>
      <c r="G79" s="247">
        <v>50805.43</v>
      </c>
      <c r="H79" s="241"/>
      <c r="I79" s="247">
        <v>83095.69</v>
      </c>
      <c r="J79" s="241"/>
      <c r="K79" s="247">
        <v>72024.990000000005</v>
      </c>
      <c r="L79" s="241"/>
      <c r="M79" s="247">
        <v>73568.929999999993</v>
      </c>
      <c r="N79" s="241"/>
      <c r="O79" s="247">
        <v>67866.48</v>
      </c>
      <c r="P79" s="241"/>
      <c r="Q79" s="247">
        <v>73610.67</v>
      </c>
      <c r="R79" s="241"/>
      <c r="S79" s="247">
        <v>76841.27</v>
      </c>
      <c r="T79" s="241"/>
      <c r="U79" s="247">
        <v>68939.210000000006</v>
      </c>
      <c r="V79" s="241"/>
      <c r="W79" s="247">
        <v>75933.16</v>
      </c>
      <c r="X79" s="241"/>
      <c r="Y79" s="247">
        <v>72827.399999999994</v>
      </c>
      <c r="Z79" s="241"/>
      <c r="AA79" s="247">
        <v>71216.009999999995</v>
      </c>
      <c r="AB79" s="241"/>
      <c r="AC79" s="247">
        <v>79410.259999999995</v>
      </c>
      <c r="AD79" s="241"/>
      <c r="AE79" s="247">
        <f t="shared" ref="AE79:AE90" si="10">AC79+AA79+Y79+W79+U79+S79+Q79+O79+M79+K79+I79+G79</f>
        <v>866139.49999999988</v>
      </c>
      <c r="AF79" s="248">
        <f t="shared" ref="AF79:AF90" si="11">IF(AE$47=0,0,AE79/AE$47)</f>
        <v>9.5515803169003863E-2</v>
      </c>
      <c r="AG79" s="249"/>
    </row>
    <row r="80" spans="1:33" outlineLevel="1">
      <c r="A80" s="244">
        <v>50025</v>
      </c>
      <c r="B80" s="244" t="s">
        <v>747</v>
      </c>
      <c r="C80" s="245"/>
      <c r="D80" s="246"/>
      <c r="E80" s="240"/>
      <c r="F80" s="241"/>
      <c r="G80" s="247">
        <v>15994.3</v>
      </c>
      <c r="H80" s="241"/>
      <c r="I80" s="247">
        <v>17090.22</v>
      </c>
      <c r="J80" s="241"/>
      <c r="K80" s="247">
        <v>14230.17</v>
      </c>
      <c r="L80" s="241"/>
      <c r="M80" s="247">
        <v>17062.37</v>
      </c>
      <c r="N80" s="241"/>
      <c r="O80" s="247">
        <v>27459.279999999999</v>
      </c>
      <c r="P80" s="241"/>
      <c r="Q80" s="247">
        <v>21141.77</v>
      </c>
      <c r="R80" s="241"/>
      <c r="S80" s="247">
        <v>25225.54</v>
      </c>
      <c r="T80" s="241"/>
      <c r="U80" s="247">
        <v>20811.150000000001</v>
      </c>
      <c r="V80" s="241"/>
      <c r="W80" s="247">
        <v>24745.62</v>
      </c>
      <c r="X80" s="241"/>
      <c r="Y80" s="247">
        <v>23708.52</v>
      </c>
      <c r="Z80" s="241"/>
      <c r="AA80" s="247">
        <v>19948.57</v>
      </c>
      <c r="AB80" s="241"/>
      <c r="AC80" s="247">
        <v>19742.419999999998</v>
      </c>
      <c r="AD80" s="241"/>
      <c r="AE80" s="247">
        <f t="shared" si="10"/>
        <v>247159.93</v>
      </c>
      <c r="AF80" s="248">
        <f t="shared" si="11"/>
        <v>2.7256208988442134E-2</v>
      </c>
      <c r="AG80" s="249"/>
    </row>
    <row r="81" spans="1:33" outlineLevel="1">
      <c r="A81" s="244">
        <v>50035</v>
      </c>
      <c r="B81" s="244" t="s">
        <v>748</v>
      </c>
      <c r="C81" s="245"/>
      <c r="D81" s="246"/>
      <c r="E81" s="240"/>
      <c r="F81" s="241"/>
      <c r="G81" s="247">
        <v>930.16</v>
      </c>
      <c r="H81" s="241"/>
      <c r="I81" s="247">
        <v>3083.9</v>
      </c>
      <c r="J81" s="241"/>
      <c r="K81" s="247">
        <v>930.16</v>
      </c>
      <c r="L81" s="241"/>
      <c r="M81" s="247">
        <v>930.16</v>
      </c>
      <c r="N81" s="241"/>
      <c r="O81" s="247">
        <v>1663.56</v>
      </c>
      <c r="P81" s="241"/>
      <c r="Q81" s="247">
        <v>1174.6199999999999</v>
      </c>
      <c r="R81" s="241"/>
      <c r="S81" s="247">
        <v>1174.6300000000001</v>
      </c>
      <c r="T81" s="241"/>
      <c r="U81" s="247">
        <v>1174.6199999999999</v>
      </c>
      <c r="V81" s="241"/>
      <c r="W81" s="247">
        <v>1174.6300000000001</v>
      </c>
      <c r="X81" s="241"/>
      <c r="Y81" s="247">
        <v>2093.2199999999998</v>
      </c>
      <c r="Z81" s="241"/>
      <c r="AA81" s="247">
        <v>1129.74</v>
      </c>
      <c r="AB81" s="241"/>
      <c r="AC81" s="247">
        <v>1129.73</v>
      </c>
      <c r="AD81" s="241"/>
      <c r="AE81" s="247">
        <f t="shared" si="10"/>
        <v>16589.13</v>
      </c>
      <c r="AF81" s="248">
        <f t="shared" si="11"/>
        <v>1.8294097842495548E-3</v>
      </c>
      <c r="AG81" s="249"/>
    </row>
    <row r="82" spans="1:33" outlineLevel="1">
      <c r="A82" s="244">
        <v>50036</v>
      </c>
      <c r="B82" s="244" t="s">
        <v>749</v>
      </c>
      <c r="C82" s="245"/>
      <c r="D82" s="246"/>
      <c r="E82" s="240"/>
      <c r="F82" s="241"/>
      <c r="G82" s="247">
        <v>0</v>
      </c>
      <c r="H82" s="241"/>
      <c r="I82" s="247">
        <v>0</v>
      </c>
      <c r="J82" s="241"/>
      <c r="K82" s="247">
        <v>12.99</v>
      </c>
      <c r="L82" s="241"/>
      <c r="M82" s="247">
        <v>30</v>
      </c>
      <c r="N82" s="241"/>
      <c r="O82" s="247">
        <v>7.54</v>
      </c>
      <c r="P82" s="241"/>
      <c r="Q82" s="247">
        <v>101.93</v>
      </c>
      <c r="R82" s="241"/>
      <c r="S82" s="247">
        <v>53.83</v>
      </c>
      <c r="T82" s="241"/>
      <c r="U82" s="247">
        <v>199.72</v>
      </c>
      <c r="V82" s="241"/>
      <c r="W82" s="247">
        <v>-102.1</v>
      </c>
      <c r="X82" s="241"/>
      <c r="Y82" s="247">
        <v>41.63</v>
      </c>
      <c r="Z82" s="241"/>
      <c r="AA82" s="247">
        <v>28</v>
      </c>
      <c r="AB82" s="241"/>
      <c r="AC82" s="247">
        <v>414.88</v>
      </c>
      <c r="AD82" s="241"/>
      <c r="AE82" s="247">
        <f t="shared" si="10"/>
        <v>788.42000000000007</v>
      </c>
      <c r="AF82" s="248">
        <f t="shared" si="11"/>
        <v>8.6945081634662817E-5</v>
      </c>
      <c r="AG82" s="249"/>
    </row>
    <row r="83" spans="1:33" outlineLevel="1">
      <c r="A83" s="244">
        <v>50045</v>
      </c>
      <c r="B83" s="244" t="s">
        <v>750</v>
      </c>
      <c r="C83" s="245"/>
      <c r="D83" s="246"/>
      <c r="E83" s="240"/>
      <c r="F83" s="241"/>
      <c r="G83" s="247">
        <v>696.92</v>
      </c>
      <c r="H83" s="241"/>
      <c r="I83" s="247">
        <v>1436.88</v>
      </c>
      <c r="J83" s="241"/>
      <c r="K83" s="247">
        <v>1517.88</v>
      </c>
      <c r="L83" s="241"/>
      <c r="M83" s="247">
        <v>0</v>
      </c>
      <c r="N83" s="241"/>
      <c r="O83" s="247">
        <v>695.24</v>
      </c>
      <c r="P83" s="241"/>
      <c r="Q83" s="247">
        <v>331.69</v>
      </c>
      <c r="R83" s="241"/>
      <c r="S83" s="247">
        <v>4905.87</v>
      </c>
      <c r="T83" s="241"/>
      <c r="U83" s="247">
        <v>4458.6899999999996</v>
      </c>
      <c r="V83" s="241"/>
      <c r="W83" s="247">
        <v>2193.67</v>
      </c>
      <c r="X83" s="241"/>
      <c r="Y83" s="247">
        <v>2967.27</v>
      </c>
      <c r="Z83" s="241"/>
      <c r="AA83" s="247">
        <v>2582.2800000000002</v>
      </c>
      <c r="AB83" s="241"/>
      <c r="AC83" s="247">
        <v>3607.67</v>
      </c>
      <c r="AD83" s="241"/>
      <c r="AE83" s="247">
        <f t="shared" si="10"/>
        <v>25394.06</v>
      </c>
      <c r="AF83" s="248">
        <f t="shared" si="11"/>
        <v>2.8003965142126348E-3</v>
      </c>
      <c r="AG83" s="249"/>
    </row>
    <row r="84" spans="1:33" outlineLevel="1">
      <c r="A84" s="244">
        <v>50050</v>
      </c>
      <c r="B84" s="244" t="s">
        <v>751</v>
      </c>
      <c r="C84" s="245"/>
      <c r="D84" s="246"/>
      <c r="E84" s="240"/>
      <c r="F84" s="241"/>
      <c r="G84" s="247">
        <v>6282.23</v>
      </c>
      <c r="H84" s="241"/>
      <c r="I84" s="247">
        <v>9920.93</v>
      </c>
      <c r="J84" s="241"/>
      <c r="K84" s="247">
        <v>7791.26</v>
      </c>
      <c r="L84" s="241"/>
      <c r="M84" s="247">
        <v>8101.94</v>
      </c>
      <c r="N84" s="241"/>
      <c r="O84" s="247">
        <v>8512.0499999999993</v>
      </c>
      <c r="P84" s="241"/>
      <c r="Q84" s="247">
        <v>8835.82</v>
      </c>
      <c r="R84" s="241"/>
      <c r="S84" s="247">
        <v>9075.3799999999992</v>
      </c>
      <c r="T84" s="241"/>
      <c r="U84" s="247">
        <v>7851.67</v>
      </c>
      <c r="V84" s="241"/>
      <c r="W84" s="247">
        <v>7921.46</v>
      </c>
      <c r="X84" s="241"/>
      <c r="Y84" s="247">
        <v>7681.09</v>
      </c>
      <c r="Z84" s="241"/>
      <c r="AA84" s="247">
        <v>7310.89</v>
      </c>
      <c r="AB84" s="241"/>
      <c r="AC84" s="247">
        <v>9105.99</v>
      </c>
      <c r="AD84" s="241"/>
      <c r="AE84" s="247">
        <f t="shared" si="10"/>
        <v>98390.709999999977</v>
      </c>
      <c r="AF84" s="248">
        <f t="shared" si="11"/>
        <v>1.0850293388095726E-2</v>
      </c>
      <c r="AG84" s="249"/>
    </row>
    <row r="85" spans="1:33" outlineLevel="1">
      <c r="A85" s="244">
        <v>50060</v>
      </c>
      <c r="B85" s="244" t="s">
        <v>752</v>
      </c>
      <c r="C85" s="245"/>
      <c r="D85" s="246"/>
      <c r="E85" s="240"/>
      <c r="F85" s="241"/>
      <c r="G85" s="247">
        <v>10398.48</v>
      </c>
      <c r="H85" s="241"/>
      <c r="I85" s="247">
        <v>22171.86</v>
      </c>
      <c r="J85" s="241"/>
      <c r="K85" s="247">
        <v>15418.93</v>
      </c>
      <c r="L85" s="241"/>
      <c r="M85" s="247">
        <v>16544.099999999999</v>
      </c>
      <c r="N85" s="241"/>
      <c r="O85" s="247">
        <v>16565.04</v>
      </c>
      <c r="P85" s="241"/>
      <c r="Q85" s="247">
        <v>16120.86</v>
      </c>
      <c r="R85" s="241"/>
      <c r="S85" s="247">
        <v>16138.69</v>
      </c>
      <c r="T85" s="241"/>
      <c r="U85" s="247">
        <v>16070.3</v>
      </c>
      <c r="V85" s="241"/>
      <c r="W85" s="247">
        <v>15139.66</v>
      </c>
      <c r="X85" s="241"/>
      <c r="Y85" s="247">
        <v>16450.3</v>
      </c>
      <c r="Z85" s="241"/>
      <c r="AA85" s="247">
        <v>16344.89</v>
      </c>
      <c r="AB85" s="241"/>
      <c r="AC85" s="247">
        <v>16184.39</v>
      </c>
      <c r="AD85" s="241"/>
      <c r="AE85" s="247">
        <f t="shared" si="10"/>
        <v>193547.50000000003</v>
      </c>
      <c r="AF85" s="248">
        <f t="shared" si="11"/>
        <v>2.1343957773375742E-2</v>
      </c>
      <c r="AG85" s="249"/>
    </row>
    <row r="86" spans="1:33" outlineLevel="1">
      <c r="A86" s="244">
        <v>50065</v>
      </c>
      <c r="B86" s="244" t="s">
        <v>753</v>
      </c>
      <c r="C86" s="245"/>
      <c r="D86" s="246"/>
      <c r="E86" s="240"/>
      <c r="F86" s="241"/>
      <c r="G86" s="247">
        <v>1382.53</v>
      </c>
      <c r="H86" s="241"/>
      <c r="I86" s="247">
        <v>7540.2</v>
      </c>
      <c r="J86" s="241"/>
      <c r="K86" s="247">
        <v>4744.05</v>
      </c>
      <c r="L86" s="241"/>
      <c r="M86" s="247">
        <v>4175.8900000000003</v>
      </c>
      <c r="N86" s="241"/>
      <c r="O86" s="247">
        <v>4497.34</v>
      </c>
      <c r="P86" s="241"/>
      <c r="Q86" s="247">
        <v>4632.1099999999997</v>
      </c>
      <c r="R86" s="241"/>
      <c r="S86" s="247">
        <v>4201.83</v>
      </c>
      <c r="T86" s="241"/>
      <c r="U86" s="247">
        <v>4204.8900000000003</v>
      </c>
      <c r="V86" s="241"/>
      <c r="W86" s="247">
        <v>4395.84</v>
      </c>
      <c r="X86" s="241"/>
      <c r="Y86" s="247">
        <v>5180.55</v>
      </c>
      <c r="Z86" s="241"/>
      <c r="AA86" s="247">
        <v>3874.18</v>
      </c>
      <c r="AB86" s="241"/>
      <c r="AC86" s="247">
        <v>4692.1099999999997</v>
      </c>
      <c r="AD86" s="241"/>
      <c r="AE86" s="247">
        <f t="shared" si="10"/>
        <v>53521.520000000004</v>
      </c>
      <c r="AF86" s="248">
        <f t="shared" si="11"/>
        <v>5.9022258765775082E-3</v>
      </c>
      <c r="AG86" s="249"/>
    </row>
    <row r="87" spans="1:33" outlineLevel="1">
      <c r="A87" s="244">
        <v>50070</v>
      </c>
      <c r="B87" s="244" t="s">
        <v>754</v>
      </c>
      <c r="C87" s="245"/>
      <c r="D87" s="246"/>
      <c r="E87" s="240"/>
      <c r="F87" s="241"/>
      <c r="G87" s="247">
        <v>0</v>
      </c>
      <c r="H87" s="241"/>
      <c r="I87" s="247">
        <v>1141.17</v>
      </c>
      <c r="J87" s="241"/>
      <c r="K87" s="247">
        <v>1150.82</v>
      </c>
      <c r="L87" s="241"/>
      <c r="M87" s="247">
        <v>1094.02</v>
      </c>
      <c r="N87" s="241"/>
      <c r="O87" s="247">
        <v>980.99</v>
      </c>
      <c r="P87" s="241"/>
      <c r="Q87" s="247">
        <v>1400.92</v>
      </c>
      <c r="R87" s="241"/>
      <c r="S87" s="247">
        <v>1597.59</v>
      </c>
      <c r="T87" s="241"/>
      <c r="U87" s="247">
        <v>812.88</v>
      </c>
      <c r="V87" s="241"/>
      <c r="W87" s="247">
        <v>155.72</v>
      </c>
      <c r="X87" s="241"/>
      <c r="Y87" s="247">
        <v>168.72</v>
      </c>
      <c r="Z87" s="241"/>
      <c r="AA87" s="247">
        <v>128.78</v>
      </c>
      <c r="AB87" s="241"/>
      <c r="AC87" s="247">
        <v>57.11</v>
      </c>
      <c r="AD87" s="241"/>
      <c r="AE87" s="247">
        <f t="shared" si="10"/>
        <v>8688.7199999999993</v>
      </c>
      <c r="AF87" s="248">
        <f t="shared" si="11"/>
        <v>9.5817136767297557E-4</v>
      </c>
      <c r="AG87" s="249"/>
    </row>
    <row r="88" spans="1:33" outlineLevel="1">
      <c r="A88" s="244">
        <v>50086</v>
      </c>
      <c r="B88" s="244" t="s">
        <v>755</v>
      </c>
      <c r="C88" s="245"/>
      <c r="D88" s="246"/>
      <c r="E88" s="240"/>
      <c r="F88" s="241"/>
      <c r="G88" s="247">
        <v>91.19</v>
      </c>
      <c r="H88" s="241"/>
      <c r="I88" s="247">
        <v>1755.44</v>
      </c>
      <c r="J88" s="241"/>
      <c r="K88" s="247">
        <v>1523.76</v>
      </c>
      <c r="L88" s="241"/>
      <c r="M88" s="247">
        <v>799.13</v>
      </c>
      <c r="N88" s="241"/>
      <c r="O88" s="247">
        <v>465.95</v>
      </c>
      <c r="P88" s="241"/>
      <c r="Q88" s="247">
        <v>1414.44</v>
      </c>
      <c r="R88" s="241"/>
      <c r="S88" s="247">
        <v>22.85</v>
      </c>
      <c r="T88" s="241"/>
      <c r="U88" s="247">
        <v>1167.94</v>
      </c>
      <c r="V88" s="241"/>
      <c r="W88" s="247">
        <v>354.46</v>
      </c>
      <c r="X88" s="241"/>
      <c r="Y88" s="247">
        <v>817.09</v>
      </c>
      <c r="Z88" s="241"/>
      <c r="AA88" s="247">
        <v>453.49</v>
      </c>
      <c r="AB88" s="241"/>
      <c r="AC88" s="247">
        <v>603.30999999999995</v>
      </c>
      <c r="AD88" s="241"/>
      <c r="AE88" s="247">
        <f t="shared" si="10"/>
        <v>9469.0500000000011</v>
      </c>
      <c r="AF88" s="248">
        <f t="shared" si="11"/>
        <v>1.0442243033569722E-3</v>
      </c>
      <c r="AG88" s="249"/>
    </row>
    <row r="89" spans="1:33" outlineLevel="1">
      <c r="A89" s="244">
        <v>50090</v>
      </c>
      <c r="B89" s="244" t="s">
        <v>756</v>
      </c>
      <c r="C89" s="245"/>
      <c r="D89" s="246"/>
      <c r="E89" s="240"/>
      <c r="F89" s="241"/>
      <c r="G89" s="247">
        <v>505.21</v>
      </c>
      <c r="H89" s="241"/>
      <c r="I89" s="247">
        <v>967.31</v>
      </c>
      <c r="J89" s="241"/>
      <c r="K89" s="247">
        <v>431.03</v>
      </c>
      <c r="L89" s="241"/>
      <c r="M89" s="247">
        <v>447.45</v>
      </c>
      <c r="N89" s="241"/>
      <c r="O89" s="247">
        <v>619.83000000000004</v>
      </c>
      <c r="P89" s="241"/>
      <c r="Q89" s="247">
        <v>507.68</v>
      </c>
      <c r="R89" s="241"/>
      <c r="S89" s="247">
        <v>545</v>
      </c>
      <c r="T89" s="241"/>
      <c r="U89" s="247">
        <v>484.61</v>
      </c>
      <c r="V89" s="241"/>
      <c r="W89" s="247">
        <v>678.36</v>
      </c>
      <c r="X89" s="241"/>
      <c r="Y89" s="247">
        <v>1593.3</v>
      </c>
      <c r="Z89" s="241"/>
      <c r="AA89" s="247">
        <v>409.39</v>
      </c>
      <c r="AB89" s="241"/>
      <c r="AC89" s="247">
        <v>563.16999999999996</v>
      </c>
      <c r="AD89" s="241"/>
      <c r="AE89" s="247">
        <f t="shared" si="10"/>
        <v>7752.3399999999992</v>
      </c>
      <c r="AF89" s="248">
        <f t="shared" si="11"/>
        <v>8.5490960929410957E-4</v>
      </c>
      <c r="AG89" s="249"/>
    </row>
    <row r="90" spans="1:33" outlineLevel="1">
      <c r="A90" s="244">
        <v>50115</v>
      </c>
      <c r="B90" s="244" t="s">
        <v>757</v>
      </c>
      <c r="C90" s="245"/>
      <c r="D90" s="246"/>
      <c r="E90" s="240"/>
      <c r="F90" s="241"/>
      <c r="G90" s="247">
        <v>1024.57</v>
      </c>
      <c r="H90" s="241"/>
      <c r="I90" s="247">
        <v>1352.89</v>
      </c>
      <c r="J90" s="241"/>
      <c r="K90" s="247">
        <v>1721.16</v>
      </c>
      <c r="L90" s="241"/>
      <c r="M90" s="247">
        <v>1252.04</v>
      </c>
      <c r="N90" s="241"/>
      <c r="O90" s="247">
        <v>1279.43</v>
      </c>
      <c r="P90" s="241"/>
      <c r="Q90" s="247">
        <v>1346.16</v>
      </c>
      <c r="R90" s="241"/>
      <c r="S90" s="247">
        <v>1355.14</v>
      </c>
      <c r="T90" s="241"/>
      <c r="U90" s="247">
        <v>1260.1199999999999</v>
      </c>
      <c r="V90" s="241"/>
      <c r="W90" s="247">
        <v>1922.27</v>
      </c>
      <c r="X90" s="241"/>
      <c r="Y90" s="247">
        <v>1258.0899999999999</v>
      </c>
      <c r="Z90" s="241"/>
      <c r="AA90" s="247">
        <v>1243.96</v>
      </c>
      <c r="AB90" s="241"/>
      <c r="AC90" s="247">
        <v>1474.63</v>
      </c>
      <c r="AD90" s="241"/>
      <c r="AE90" s="247">
        <f t="shared" si="10"/>
        <v>16490.46</v>
      </c>
      <c r="AF90" s="248">
        <f t="shared" si="11"/>
        <v>1.8185286914248011E-3</v>
      </c>
      <c r="AG90" s="249"/>
    </row>
    <row r="91" spans="1:33" s="240" customFormat="1" ht="5.15" customHeight="1" outlineLevel="1">
      <c r="A91" s="245"/>
      <c r="B91" s="245"/>
      <c r="C91" s="245"/>
      <c r="D91" s="245"/>
      <c r="G91" s="255"/>
      <c r="H91" s="253"/>
      <c r="I91" s="255"/>
      <c r="J91" s="253"/>
      <c r="K91" s="255"/>
      <c r="L91" s="253"/>
      <c r="M91" s="255"/>
      <c r="N91" s="253"/>
      <c r="O91" s="255"/>
      <c r="P91" s="253"/>
      <c r="Q91" s="255"/>
      <c r="R91" s="253"/>
      <c r="S91" s="255"/>
      <c r="T91" s="253"/>
      <c r="U91" s="255"/>
      <c r="V91" s="253"/>
      <c r="W91" s="255"/>
      <c r="X91" s="253"/>
      <c r="Y91" s="255"/>
      <c r="Z91" s="253"/>
      <c r="AA91" s="255"/>
      <c r="AB91" s="253"/>
      <c r="AC91" s="255"/>
      <c r="AD91" s="253"/>
      <c r="AE91" s="255"/>
      <c r="AF91" s="243"/>
      <c r="AG91" s="222"/>
    </row>
    <row r="92" spans="1:33" s="240" customFormat="1" ht="15.5">
      <c r="C92" s="245" t="s">
        <v>758</v>
      </c>
      <c r="G92" s="252">
        <f>SUM(G78:G91)</f>
        <v>88111.02</v>
      </c>
      <c r="H92" s="253"/>
      <c r="I92" s="252">
        <f>SUM(I78:I91)</f>
        <v>149556.49000000002</v>
      </c>
      <c r="J92" s="253"/>
      <c r="K92" s="252">
        <f>SUM(K78:K91)</f>
        <v>121497.20000000001</v>
      </c>
      <c r="L92" s="253"/>
      <c r="M92" s="252">
        <f>SUM(M78:M91)</f>
        <v>124006.03</v>
      </c>
      <c r="N92" s="253"/>
      <c r="O92" s="252">
        <f>SUM(O78:O91)</f>
        <v>130612.73</v>
      </c>
      <c r="P92" s="253"/>
      <c r="Q92" s="252">
        <f>SUM(Q78:Q91)</f>
        <v>130618.67</v>
      </c>
      <c r="R92" s="253"/>
      <c r="S92" s="252">
        <f>SUM(S78:S91)</f>
        <v>141137.62</v>
      </c>
      <c r="T92" s="253"/>
      <c r="U92" s="252">
        <f>SUM(U78:U91)</f>
        <v>127435.80000000002</v>
      </c>
      <c r="V92" s="253"/>
      <c r="W92" s="252">
        <f>SUM(W78:W91)</f>
        <v>134512.74999999997</v>
      </c>
      <c r="X92" s="253"/>
      <c r="Y92" s="252">
        <f>SUM(Y78:Y91)</f>
        <v>134787.18</v>
      </c>
      <c r="Z92" s="253"/>
      <c r="AA92" s="252">
        <f>SUM(AA78:AA91)</f>
        <v>124670.18</v>
      </c>
      <c r="AB92" s="253"/>
      <c r="AC92" s="252">
        <f>SUM(AC78:AC91)</f>
        <v>136985.66999999998</v>
      </c>
      <c r="AD92" s="253"/>
      <c r="AE92" s="252">
        <f>SUM(AE78:AE91)</f>
        <v>1543931.3399999999</v>
      </c>
      <c r="AF92" s="248">
        <f>IF(AE$47=0,0,AE92/AE$47)</f>
        <v>0.17026107454734069</v>
      </c>
      <c r="AG92" s="222"/>
    </row>
    <row r="93" spans="1:33" s="240" customFormat="1" ht="15.5" outlineLevel="1">
      <c r="G93" s="254"/>
      <c r="H93" s="253"/>
      <c r="I93" s="254"/>
      <c r="J93" s="253"/>
      <c r="K93" s="254"/>
      <c r="L93" s="253"/>
      <c r="M93" s="254"/>
      <c r="N93" s="253"/>
      <c r="O93" s="254"/>
      <c r="P93" s="253"/>
      <c r="Q93" s="254"/>
      <c r="R93" s="253"/>
      <c r="S93" s="254"/>
      <c r="T93" s="253"/>
      <c r="U93" s="254"/>
      <c r="V93" s="253"/>
      <c r="W93" s="254"/>
      <c r="X93" s="253"/>
      <c r="Y93" s="254"/>
      <c r="Z93" s="253"/>
      <c r="AA93" s="254"/>
      <c r="AB93" s="253"/>
      <c r="AC93" s="254"/>
      <c r="AD93" s="253"/>
      <c r="AE93" s="254"/>
      <c r="AF93" s="243"/>
      <c r="AG93" s="222"/>
    </row>
    <row r="94" spans="1:33" outlineLevel="1">
      <c r="A94" s="244">
        <v>51295</v>
      </c>
      <c r="B94" s="244" t="s">
        <v>759</v>
      </c>
      <c r="C94" s="245"/>
      <c r="D94" s="246"/>
      <c r="E94" s="240"/>
      <c r="F94" s="241"/>
      <c r="G94" s="247">
        <v>1561.42</v>
      </c>
      <c r="H94" s="241"/>
      <c r="I94" s="247">
        <v>4640.74</v>
      </c>
      <c r="J94" s="241"/>
      <c r="K94" s="247">
        <v>3091</v>
      </c>
      <c r="L94" s="241"/>
      <c r="M94" s="247">
        <v>3020.93</v>
      </c>
      <c r="N94" s="241"/>
      <c r="O94" s="247">
        <v>3230.26</v>
      </c>
      <c r="P94" s="241"/>
      <c r="Q94" s="247">
        <v>3935.95</v>
      </c>
      <c r="R94" s="241"/>
      <c r="S94" s="247">
        <v>3087.63</v>
      </c>
      <c r="T94" s="241"/>
      <c r="U94" s="247">
        <v>3177.42</v>
      </c>
      <c r="V94" s="241"/>
      <c r="W94" s="247">
        <v>3179.85</v>
      </c>
      <c r="X94" s="241"/>
      <c r="Y94" s="247">
        <v>3209.47</v>
      </c>
      <c r="Z94" s="241"/>
      <c r="AA94" s="247">
        <v>3184.74</v>
      </c>
      <c r="AB94" s="241"/>
      <c r="AC94" s="247">
        <v>3213.97</v>
      </c>
      <c r="AD94" s="241"/>
      <c r="AE94" s="247">
        <f>AC94+AA94+Y94+W94+U94+S94+Q94+O94+M94+K94+I94+G94</f>
        <v>38533.379999999997</v>
      </c>
      <c r="AF94" s="248">
        <f>IF(AE$47=0,0,AE94/AE$47)</f>
        <v>4.2493694601348055E-3</v>
      </c>
      <c r="AG94" s="249"/>
    </row>
    <row r="95" spans="1:33" s="240" customFormat="1" ht="5.15" customHeight="1" outlineLevel="1">
      <c r="A95" s="245"/>
      <c r="B95" s="245"/>
      <c r="C95" s="245"/>
      <c r="D95" s="245"/>
      <c r="G95" s="255"/>
      <c r="H95" s="253"/>
      <c r="I95" s="255"/>
      <c r="J95" s="253"/>
      <c r="K95" s="255"/>
      <c r="L95" s="253"/>
      <c r="M95" s="255"/>
      <c r="N95" s="253"/>
      <c r="O95" s="255"/>
      <c r="P95" s="253"/>
      <c r="Q95" s="255"/>
      <c r="R95" s="253"/>
      <c r="S95" s="255"/>
      <c r="T95" s="253"/>
      <c r="U95" s="255"/>
      <c r="V95" s="253"/>
      <c r="W95" s="255"/>
      <c r="X95" s="253"/>
      <c r="Y95" s="255"/>
      <c r="Z95" s="253"/>
      <c r="AA95" s="255"/>
      <c r="AB95" s="253"/>
      <c r="AC95" s="255"/>
      <c r="AD95" s="253"/>
      <c r="AE95" s="255"/>
      <c r="AF95" s="243"/>
      <c r="AG95" s="222"/>
    </row>
    <row r="96" spans="1:33" s="240" customFormat="1" ht="15.5">
      <c r="C96" s="245" t="s">
        <v>760</v>
      </c>
      <c r="G96" s="252">
        <f>SUM(G94:G95)</f>
        <v>1561.42</v>
      </c>
      <c r="H96" s="253"/>
      <c r="I96" s="252">
        <f>SUM(I94:I95)</f>
        <v>4640.74</v>
      </c>
      <c r="J96" s="253"/>
      <c r="K96" s="252">
        <f>SUM(K94:K95)</f>
        <v>3091</v>
      </c>
      <c r="L96" s="253"/>
      <c r="M96" s="252">
        <f>SUM(M94:M95)</f>
        <v>3020.93</v>
      </c>
      <c r="N96" s="253"/>
      <c r="O96" s="252">
        <f>SUM(O94:O95)</f>
        <v>3230.26</v>
      </c>
      <c r="P96" s="253"/>
      <c r="Q96" s="252">
        <f>SUM(Q94:Q95)</f>
        <v>3935.95</v>
      </c>
      <c r="R96" s="253"/>
      <c r="S96" s="252">
        <f>SUM(S94:S95)</f>
        <v>3087.63</v>
      </c>
      <c r="T96" s="253"/>
      <c r="U96" s="252">
        <f>SUM(U94:U95)</f>
        <v>3177.42</v>
      </c>
      <c r="V96" s="253"/>
      <c r="W96" s="252">
        <f>SUM(W94:W95)</f>
        <v>3179.85</v>
      </c>
      <c r="X96" s="253"/>
      <c r="Y96" s="252">
        <f>SUM(Y94:Y95)</f>
        <v>3209.47</v>
      </c>
      <c r="Z96" s="253"/>
      <c r="AA96" s="252">
        <f>SUM(AA94:AA95)</f>
        <v>3184.74</v>
      </c>
      <c r="AB96" s="253"/>
      <c r="AC96" s="252">
        <f>SUM(AC94:AC95)</f>
        <v>3213.97</v>
      </c>
      <c r="AD96" s="253"/>
      <c r="AE96" s="252">
        <f>SUM(AE94:AE95)</f>
        <v>38533.379999999997</v>
      </c>
      <c r="AF96" s="248">
        <f>IF(AE$47=0,0,AE96/AE$47)</f>
        <v>4.2493694601348055E-3</v>
      </c>
      <c r="AG96" s="222"/>
    </row>
    <row r="97" spans="1:33" s="240" customFormat="1" ht="15.5" outlineLevel="1">
      <c r="G97" s="254"/>
      <c r="H97" s="253"/>
      <c r="I97" s="254"/>
      <c r="J97" s="253"/>
      <c r="K97" s="254"/>
      <c r="L97" s="253"/>
      <c r="M97" s="254"/>
      <c r="N97" s="253"/>
      <c r="O97" s="254"/>
      <c r="P97" s="253"/>
      <c r="Q97" s="254"/>
      <c r="R97" s="253"/>
      <c r="S97" s="254"/>
      <c r="T97" s="253"/>
      <c r="U97" s="254"/>
      <c r="V97" s="253"/>
      <c r="W97" s="254"/>
      <c r="X97" s="253"/>
      <c r="Y97" s="254"/>
      <c r="Z97" s="253"/>
      <c r="AA97" s="254"/>
      <c r="AB97" s="253"/>
      <c r="AC97" s="254"/>
      <c r="AD97" s="253"/>
      <c r="AE97" s="254"/>
      <c r="AF97" s="243"/>
      <c r="AG97" s="222"/>
    </row>
    <row r="98" spans="1:33" s="240" customFormat="1" ht="15.5" outlineLevel="1">
      <c r="G98" s="254"/>
      <c r="H98" s="253"/>
      <c r="I98" s="254"/>
      <c r="J98" s="253"/>
      <c r="K98" s="254"/>
      <c r="L98" s="253"/>
      <c r="M98" s="254"/>
      <c r="N98" s="253"/>
      <c r="O98" s="254"/>
      <c r="P98" s="253"/>
      <c r="Q98" s="254"/>
      <c r="R98" s="253"/>
      <c r="S98" s="254"/>
      <c r="T98" s="253"/>
      <c r="U98" s="254"/>
      <c r="V98" s="253"/>
      <c r="W98" s="254"/>
      <c r="X98" s="253"/>
      <c r="Y98" s="254"/>
      <c r="Z98" s="253"/>
      <c r="AA98" s="254"/>
      <c r="AB98" s="253"/>
      <c r="AC98" s="254"/>
      <c r="AD98" s="253"/>
      <c r="AE98" s="254"/>
      <c r="AF98" s="243"/>
      <c r="AG98" s="222"/>
    </row>
    <row r="99" spans="1:33" outlineLevel="1">
      <c r="A99" s="244">
        <v>52010</v>
      </c>
      <c r="B99" s="244" t="s">
        <v>761</v>
      </c>
      <c r="C99" s="245"/>
      <c r="D99" s="246"/>
      <c r="E99" s="240"/>
      <c r="F99" s="241"/>
      <c r="G99" s="247">
        <v>0</v>
      </c>
      <c r="H99" s="241"/>
      <c r="I99" s="247">
        <v>1987.61</v>
      </c>
      <c r="J99" s="241"/>
      <c r="K99" s="247">
        <v>1061.54</v>
      </c>
      <c r="L99" s="241"/>
      <c r="M99" s="247">
        <v>1061.54</v>
      </c>
      <c r="N99" s="241"/>
      <c r="O99" s="247">
        <v>1061.53</v>
      </c>
      <c r="P99" s="241"/>
      <c r="Q99" s="247">
        <v>1592.31</v>
      </c>
      <c r="R99" s="241"/>
      <c r="S99" s="247">
        <v>1061.54</v>
      </c>
      <c r="T99" s="241"/>
      <c r="U99" s="247">
        <v>950.61</v>
      </c>
      <c r="V99" s="241"/>
      <c r="W99" s="247">
        <v>1045.6099999999999</v>
      </c>
      <c r="X99" s="241"/>
      <c r="Y99" s="247">
        <v>1020.14</v>
      </c>
      <c r="Z99" s="241"/>
      <c r="AA99" s="247">
        <v>976.09</v>
      </c>
      <c r="AB99" s="241"/>
      <c r="AC99" s="247">
        <v>1064.2</v>
      </c>
      <c r="AD99" s="241"/>
      <c r="AE99" s="247">
        <f t="shared" ref="AE99:AE125" si="12">AC99+AA99+Y99+W99+U99+S99+Q99+O99+M99+K99+I99+G99</f>
        <v>12882.720000000001</v>
      </c>
      <c r="AF99" s="248">
        <f t="shared" ref="AF99:AF125" si="13">IF(AE$47=0,0,AE99/AE$47)</f>
        <v>1.4206757084758168E-3</v>
      </c>
      <c r="AG99" s="249"/>
    </row>
    <row r="100" spans="1:33" outlineLevel="1">
      <c r="A100" s="244">
        <v>52020</v>
      </c>
      <c r="B100" s="244" t="s">
        <v>746</v>
      </c>
      <c r="C100" s="245"/>
      <c r="D100" s="246"/>
      <c r="E100" s="240"/>
      <c r="F100" s="241"/>
      <c r="G100" s="247">
        <v>9980.34</v>
      </c>
      <c r="H100" s="241"/>
      <c r="I100" s="247">
        <v>10725.97</v>
      </c>
      <c r="J100" s="241"/>
      <c r="K100" s="247">
        <v>11543.22</v>
      </c>
      <c r="L100" s="241"/>
      <c r="M100" s="247">
        <v>11903.96</v>
      </c>
      <c r="N100" s="241"/>
      <c r="O100" s="247">
        <v>11022.25</v>
      </c>
      <c r="P100" s="241"/>
      <c r="Q100" s="247">
        <v>12861.28</v>
      </c>
      <c r="R100" s="241"/>
      <c r="S100" s="247">
        <v>13209.8</v>
      </c>
      <c r="T100" s="241"/>
      <c r="U100" s="247">
        <v>11615.3</v>
      </c>
      <c r="V100" s="241"/>
      <c r="W100" s="247">
        <v>13355.17</v>
      </c>
      <c r="X100" s="241"/>
      <c r="Y100" s="247">
        <v>11903.37</v>
      </c>
      <c r="Z100" s="241"/>
      <c r="AA100" s="247">
        <v>11974.99</v>
      </c>
      <c r="AB100" s="241"/>
      <c r="AC100" s="247">
        <v>13728</v>
      </c>
      <c r="AD100" s="241"/>
      <c r="AE100" s="247">
        <f t="shared" si="12"/>
        <v>143823.65</v>
      </c>
      <c r="AF100" s="248">
        <f t="shared" si="13"/>
        <v>1.5860529908228067E-2</v>
      </c>
      <c r="AG100" s="249"/>
    </row>
    <row r="101" spans="1:33" outlineLevel="1">
      <c r="A101" s="244">
        <v>52025</v>
      </c>
      <c r="B101" s="244" t="s">
        <v>747</v>
      </c>
      <c r="C101" s="245"/>
      <c r="D101" s="246"/>
      <c r="E101" s="240"/>
      <c r="F101" s="241"/>
      <c r="G101" s="247">
        <v>4813.5</v>
      </c>
      <c r="H101" s="241"/>
      <c r="I101" s="247">
        <v>1955.52</v>
      </c>
      <c r="J101" s="241"/>
      <c r="K101" s="247">
        <v>3048.82</v>
      </c>
      <c r="L101" s="241"/>
      <c r="M101" s="247">
        <v>2996.02</v>
      </c>
      <c r="N101" s="241"/>
      <c r="O101" s="247">
        <v>4758.28</v>
      </c>
      <c r="P101" s="241"/>
      <c r="Q101" s="247">
        <v>2799.18</v>
      </c>
      <c r="R101" s="241"/>
      <c r="S101" s="247">
        <v>3602.06</v>
      </c>
      <c r="T101" s="241"/>
      <c r="U101" s="247">
        <v>3788.7</v>
      </c>
      <c r="V101" s="241"/>
      <c r="W101" s="247">
        <v>3210.04</v>
      </c>
      <c r="X101" s="241"/>
      <c r="Y101" s="247">
        <v>3410.86</v>
      </c>
      <c r="Z101" s="241"/>
      <c r="AA101" s="247">
        <v>3024.69</v>
      </c>
      <c r="AB101" s="241"/>
      <c r="AC101" s="247">
        <v>3156.34</v>
      </c>
      <c r="AD101" s="241"/>
      <c r="AE101" s="247">
        <f t="shared" si="12"/>
        <v>40564.01</v>
      </c>
      <c r="AF101" s="248">
        <f t="shared" si="13"/>
        <v>4.4733025048569021E-3</v>
      </c>
      <c r="AG101" s="249"/>
    </row>
    <row r="102" spans="1:33" outlineLevel="1">
      <c r="A102" s="244">
        <v>52035</v>
      </c>
      <c r="B102" s="244" t="s">
        <v>748</v>
      </c>
      <c r="C102" s="245"/>
      <c r="D102" s="246"/>
      <c r="E102" s="240"/>
      <c r="F102" s="241"/>
      <c r="G102" s="247">
        <v>87.5</v>
      </c>
      <c r="H102" s="241"/>
      <c r="I102" s="247">
        <v>97.17</v>
      </c>
      <c r="J102" s="241"/>
      <c r="K102" s="247">
        <v>92.33</v>
      </c>
      <c r="L102" s="241"/>
      <c r="M102" s="247">
        <v>92.33</v>
      </c>
      <c r="N102" s="241"/>
      <c r="O102" s="247">
        <v>92.34</v>
      </c>
      <c r="P102" s="241"/>
      <c r="Q102" s="247">
        <v>92.33</v>
      </c>
      <c r="R102" s="241"/>
      <c r="S102" s="247">
        <v>92.33</v>
      </c>
      <c r="T102" s="241"/>
      <c r="U102" s="247">
        <v>92.33</v>
      </c>
      <c r="V102" s="241"/>
      <c r="W102" s="247">
        <v>92.34</v>
      </c>
      <c r="X102" s="241"/>
      <c r="Y102" s="247">
        <v>92.33</v>
      </c>
      <c r="Z102" s="241"/>
      <c r="AA102" s="247">
        <v>114.64</v>
      </c>
      <c r="AB102" s="241"/>
      <c r="AC102" s="247">
        <v>114.65</v>
      </c>
      <c r="AD102" s="241"/>
      <c r="AE102" s="247">
        <f t="shared" si="12"/>
        <v>1152.6200000000001</v>
      </c>
      <c r="AF102" s="248">
        <f t="shared" si="13"/>
        <v>1.2710819105774215E-4</v>
      </c>
      <c r="AG102" s="249"/>
    </row>
    <row r="103" spans="1:33" outlineLevel="1">
      <c r="A103" s="244">
        <v>52036</v>
      </c>
      <c r="B103" s="244" t="s">
        <v>749</v>
      </c>
      <c r="C103" s="245"/>
      <c r="D103" s="246"/>
      <c r="E103" s="240"/>
      <c r="F103" s="241"/>
      <c r="G103" s="247">
        <v>0</v>
      </c>
      <c r="H103" s="241"/>
      <c r="I103" s="247">
        <v>0</v>
      </c>
      <c r="J103" s="241"/>
      <c r="K103" s="247">
        <v>25</v>
      </c>
      <c r="L103" s="241"/>
      <c r="M103" s="247">
        <v>0</v>
      </c>
      <c r="N103" s="241"/>
      <c r="O103" s="247">
        <v>0</v>
      </c>
      <c r="P103" s="241"/>
      <c r="Q103" s="247">
        <v>65</v>
      </c>
      <c r="R103" s="241"/>
      <c r="S103" s="247">
        <v>0</v>
      </c>
      <c r="T103" s="241"/>
      <c r="U103" s="247">
        <v>15</v>
      </c>
      <c r="V103" s="241"/>
      <c r="W103" s="247">
        <v>0</v>
      </c>
      <c r="X103" s="241"/>
      <c r="Y103" s="247">
        <v>15</v>
      </c>
      <c r="Z103" s="241"/>
      <c r="AA103" s="247">
        <v>0</v>
      </c>
      <c r="AB103" s="241"/>
      <c r="AC103" s="247">
        <v>15</v>
      </c>
      <c r="AD103" s="241"/>
      <c r="AE103" s="247">
        <f t="shared" si="12"/>
        <v>135</v>
      </c>
      <c r="AF103" s="248">
        <f t="shared" si="13"/>
        <v>1.4887478781207326E-5</v>
      </c>
      <c r="AG103" s="249"/>
    </row>
    <row r="104" spans="1:33" outlineLevel="1">
      <c r="A104" s="244">
        <v>52045</v>
      </c>
      <c r="B104" s="244" t="s">
        <v>750</v>
      </c>
      <c r="C104" s="245"/>
      <c r="D104" s="246"/>
      <c r="E104" s="240"/>
      <c r="F104" s="241"/>
      <c r="G104" s="247">
        <v>0</v>
      </c>
      <c r="H104" s="241"/>
      <c r="I104" s="247">
        <v>599.53</v>
      </c>
      <c r="J104" s="241"/>
      <c r="K104" s="247">
        <v>348.05</v>
      </c>
      <c r="L104" s="241"/>
      <c r="M104" s="247">
        <v>393.01</v>
      </c>
      <c r="N104" s="241"/>
      <c r="O104" s="247">
        <v>217.7</v>
      </c>
      <c r="P104" s="241"/>
      <c r="Q104" s="247">
        <v>255.96</v>
      </c>
      <c r="R104" s="241"/>
      <c r="S104" s="247">
        <v>882.38</v>
      </c>
      <c r="T104" s="241"/>
      <c r="U104" s="247">
        <v>512.91</v>
      </c>
      <c r="V104" s="241"/>
      <c r="W104" s="247">
        <v>749.17</v>
      </c>
      <c r="X104" s="241"/>
      <c r="Y104" s="247">
        <v>1637.41</v>
      </c>
      <c r="Z104" s="241"/>
      <c r="AA104" s="247">
        <v>1107.1300000000001</v>
      </c>
      <c r="AB104" s="241"/>
      <c r="AC104" s="247">
        <v>1179.22</v>
      </c>
      <c r="AD104" s="241"/>
      <c r="AE104" s="247">
        <f t="shared" si="12"/>
        <v>7882.47</v>
      </c>
      <c r="AF104" s="248">
        <f t="shared" si="13"/>
        <v>8.6926003606298751E-4</v>
      </c>
      <c r="AG104" s="249"/>
    </row>
    <row r="105" spans="1:33" outlineLevel="1">
      <c r="A105" s="244">
        <v>52050</v>
      </c>
      <c r="B105" s="244" t="s">
        <v>751</v>
      </c>
      <c r="C105" s="245"/>
      <c r="D105" s="246"/>
      <c r="E105" s="240"/>
      <c r="F105" s="241"/>
      <c r="G105" s="247">
        <v>1380.81</v>
      </c>
      <c r="H105" s="241"/>
      <c r="I105" s="247">
        <v>1559.8</v>
      </c>
      <c r="J105" s="241"/>
      <c r="K105" s="247">
        <v>1415.28</v>
      </c>
      <c r="L105" s="241"/>
      <c r="M105" s="247">
        <v>1528.91</v>
      </c>
      <c r="N105" s="241"/>
      <c r="O105" s="247">
        <v>1606.56</v>
      </c>
      <c r="P105" s="241"/>
      <c r="Q105" s="247">
        <v>1711.49</v>
      </c>
      <c r="R105" s="241"/>
      <c r="S105" s="247">
        <v>1683.4</v>
      </c>
      <c r="T105" s="241"/>
      <c r="U105" s="247">
        <v>1396.87</v>
      </c>
      <c r="V105" s="241"/>
      <c r="W105" s="247">
        <v>1482.27</v>
      </c>
      <c r="X105" s="241"/>
      <c r="Y105" s="247">
        <v>1342.39</v>
      </c>
      <c r="Z105" s="241"/>
      <c r="AA105" s="247">
        <v>1257.99</v>
      </c>
      <c r="AB105" s="241"/>
      <c r="AC105" s="247">
        <v>1482.85</v>
      </c>
      <c r="AD105" s="241"/>
      <c r="AE105" s="247">
        <f t="shared" si="12"/>
        <v>17848.620000000003</v>
      </c>
      <c r="AF105" s="248">
        <f t="shared" si="13"/>
        <v>1.9683033446209835E-3</v>
      </c>
      <c r="AG105" s="249"/>
    </row>
    <row r="106" spans="1:33" outlineLevel="1">
      <c r="A106" s="244">
        <v>52060</v>
      </c>
      <c r="B106" s="244" t="s">
        <v>752</v>
      </c>
      <c r="C106" s="245"/>
      <c r="D106" s="246"/>
      <c r="E106" s="240"/>
      <c r="F106" s="241"/>
      <c r="G106" s="247">
        <v>2739.68</v>
      </c>
      <c r="H106" s="241"/>
      <c r="I106" s="247">
        <v>2982.44</v>
      </c>
      <c r="J106" s="241"/>
      <c r="K106" s="247">
        <v>2756.19</v>
      </c>
      <c r="L106" s="241"/>
      <c r="M106" s="247">
        <v>3081.63</v>
      </c>
      <c r="N106" s="241"/>
      <c r="O106" s="247">
        <v>3060.69</v>
      </c>
      <c r="P106" s="241"/>
      <c r="Q106" s="247">
        <v>2998.15</v>
      </c>
      <c r="R106" s="241"/>
      <c r="S106" s="247">
        <v>2998.15</v>
      </c>
      <c r="T106" s="241"/>
      <c r="U106" s="247">
        <v>2993.05</v>
      </c>
      <c r="V106" s="241"/>
      <c r="W106" s="247">
        <v>2915.77</v>
      </c>
      <c r="X106" s="241"/>
      <c r="Y106" s="247">
        <v>3141.71</v>
      </c>
      <c r="Z106" s="241"/>
      <c r="AA106" s="247">
        <v>3121.63</v>
      </c>
      <c r="AB106" s="241"/>
      <c r="AC106" s="247">
        <v>3255.32</v>
      </c>
      <c r="AD106" s="241"/>
      <c r="AE106" s="247">
        <f t="shared" si="12"/>
        <v>36044.410000000003</v>
      </c>
      <c r="AF106" s="248">
        <f t="shared" si="13"/>
        <v>3.9748917707862017E-3</v>
      </c>
      <c r="AG106" s="249"/>
    </row>
    <row r="107" spans="1:33" outlineLevel="1">
      <c r="A107" s="244">
        <v>52065</v>
      </c>
      <c r="B107" s="244" t="s">
        <v>753</v>
      </c>
      <c r="C107" s="245"/>
      <c r="D107" s="246"/>
      <c r="E107" s="240"/>
      <c r="F107" s="241"/>
      <c r="G107" s="247">
        <v>0</v>
      </c>
      <c r="H107" s="241"/>
      <c r="I107" s="247">
        <v>1042.22</v>
      </c>
      <c r="J107" s="241"/>
      <c r="K107" s="247">
        <v>746.62</v>
      </c>
      <c r="L107" s="241"/>
      <c r="M107" s="247">
        <v>693.82</v>
      </c>
      <c r="N107" s="241"/>
      <c r="O107" s="247">
        <v>729.8</v>
      </c>
      <c r="P107" s="241"/>
      <c r="Q107" s="247">
        <v>877.7</v>
      </c>
      <c r="R107" s="241"/>
      <c r="S107" s="247">
        <v>782.31</v>
      </c>
      <c r="T107" s="241"/>
      <c r="U107" s="247">
        <v>786.52</v>
      </c>
      <c r="V107" s="241"/>
      <c r="W107" s="247">
        <v>689.74</v>
      </c>
      <c r="X107" s="241"/>
      <c r="Y107" s="247">
        <v>717.64</v>
      </c>
      <c r="Z107" s="241"/>
      <c r="AA107" s="247">
        <v>816.1</v>
      </c>
      <c r="AB107" s="241"/>
      <c r="AC107" s="247">
        <v>727.91</v>
      </c>
      <c r="AD107" s="241"/>
      <c r="AE107" s="247">
        <f t="shared" si="12"/>
        <v>8610.3799999999992</v>
      </c>
      <c r="AF107" s="248">
        <f t="shared" si="13"/>
        <v>9.4953221887505133E-4</v>
      </c>
      <c r="AG107" s="249"/>
    </row>
    <row r="108" spans="1:33" outlineLevel="1">
      <c r="A108" s="244">
        <v>52070</v>
      </c>
      <c r="B108" s="244" t="s">
        <v>754</v>
      </c>
      <c r="C108" s="245"/>
      <c r="D108" s="246"/>
      <c r="E108" s="240"/>
      <c r="F108" s="241"/>
      <c r="G108" s="247">
        <v>0</v>
      </c>
      <c r="H108" s="241"/>
      <c r="I108" s="247">
        <v>104.57</v>
      </c>
      <c r="J108" s="241"/>
      <c r="K108" s="247">
        <v>182.55</v>
      </c>
      <c r="L108" s="241"/>
      <c r="M108" s="247">
        <v>136.25</v>
      </c>
      <c r="N108" s="241"/>
      <c r="O108" s="247">
        <v>109.75</v>
      </c>
      <c r="P108" s="241"/>
      <c r="Q108" s="247">
        <v>42.15</v>
      </c>
      <c r="R108" s="241"/>
      <c r="S108" s="247">
        <v>6.48</v>
      </c>
      <c r="T108" s="241"/>
      <c r="U108" s="247">
        <v>98.69</v>
      </c>
      <c r="V108" s="241"/>
      <c r="W108" s="247">
        <v>65.23</v>
      </c>
      <c r="X108" s="241"/>
      <c r="Y108" s="247">
        <v>283.8</v>
      </c>
      <c r="Z108" s="241"/>
      <c r="AA108" s="247">
        <v>52.58</v>
      </c>
      <c r="AB108" s="241"/>
      <c r="AC108" s="247">
        <v>58.35</v>
      </c>
      <c r="AD108" s="241"/>
      <c r="AE108" s="247">
        <f t="shared" si="12"/>
        <v>1140.4000000000001</v>
      </c>
      <c r="AF108" s="248">
        <f t="shared" si="13"/>
        <v>1.2576059853399137E-4</v>
      </c>
      <c r="AG108" s="249"/>
    </row>
    <row r="109" spans="1:33" outlineLevel="1">
      <c r="A109" s="244">
        <v>52086</v>
      </c>
      <c r="B109" s="244" t="s">
        <v>755</v>
      </c>
      <c r="C109" s="245"/>
      <c r="D109" s="246"/>
      <c r="E109" s="240"/>
      <c r="F109" s="241"/>
      <c r="G109" s="247">
        <v>0</v>
      </c>
      <c r="H109" s="241"/>
      <c r="I109" s="247">
        <v>527.95000000000005</v>
      </c>
      <c r="J109" s="241"/>
      <c r="K109" s="247">
        <v>0</v>
      </c>
      <c r="L109" s="241"/>
      <c r="M109" s="247">
        <v>89.74</v>
      </c>
      <c r="N109" s="241"/>
      <c r="O109" s="247">
        <v>160.66999999999999</v>
      </c>
      <c r="P109" s="241"/>
      <c r="Q109" s="247">
        <v>73.5</v>
      </c>
      <c r="R109" s="241"/>
      <c r="S109" s="247">
        <v>0</v>
      </c>
      <c r="T109" s="241"/>
      <c r="U109" s="247">
        <v>134.19999999999999</v>
      </c>
      <c r="V109" s="241"/>
      <c r="W109" s="247">
        <v>125.53</v>
      </c>
      <c r="X109" s="241"/>
      <c r="Y109" s="247">
        <v>0</v>
      </c>
      <c r="Z109" s="241"/>
      <c r="AA109" s="247">
        <v>89.51</v>
      </c>
      <c r="AB109" s="241"/>
      <c r="AC109" s="247">
        <v>0</v>
      </c>
      <c r="AD109" s="241"/>
      <c r="AE109" s="247">
        <f t="shared" si="12"/>
        <v>1201.0999999999999</v>
      </c>
      <c r="AF109" s="248">
        <f t="shared" si="13"/>
        <v>1.3245445010450459E-4</v>
      </c>
      <c r="AG109" s="249"/>
    </row>
    <row r="110" spans="1:33" outlineLevel="1">
      <c r="A110" s="244">
        <v>52090</v>
      </c>
      <c r="B110" s="244" t="s">
        <v>756</v>
      </c>
      <c r="C110" s="245"/>
      <c r="D110" s="246"/>
      <c r="E110" s="240"/>
      <c r="F110" s="241"/>
      <c r="G110" s="247">
        <v>0</v>
      </c>
      <c r="H110" s="241"/>
      <c r="I110" s="247">
        <v>398.85</v>
      </c>
      <c r="J110" s="241"/>
      <c r="K110" s="247">
        <v>194.85</v>
      </c>
      <c r="L110" s="241"/>
      <c r="M110" s="247">
        <v>254.3</v>
      </c>
      <c r="N110" s="241"/>
      <c r="O110" s="247">
        <v>202.26</v>
      </c>
      <c r="P110" s="241"/>
      <c r="Q110" s="247">
        <v>203.05</v>
      </c>
      <c r="R110" s="241"/>
      <c r="S110" s="247">
        <v>252.2</v>
      </c>
      <c r="T110" s="241"/>
      <c r="U110" s="247">
        <v>217.21</v>
      </c>
      <c r="V110" s="241"/>
      <c r="W110" s="247">
        <v>280.36</v>
      </c>
      <c r="X110" s="241"/>
      <c r="Y110" s="247">
        <v>308.8</v>
      </c>
      <c r="Z110" s="241"/>
      <c r="AA110" s="247">
        <v>802.94</v>
      </c>
      <c r="AB110" s="241"/>
      <c r="AC110" s="247">
        <v>281.60000000000002</v>
      </c>
      <c r="AD110" s="241"/>
      <c r="AE110" s="247">
        <f t="shared" si="12"/>
        <v>3396.42</v>
      </c>
      <c r="AF110" s="248">
        <f t="shared" si="13"/>
        <v>3.7454911616346807E-4</v>
      </c>
      <c r="AG110" s="249"/>
    </row>
    <row r="111" spans="1:33" outlineLevel="1">
      <c r="A111" s="244">
        <v>52115</v>
      </c>
      <c r="B111" s="244" t="s">
        <v>757</v>
      </c>
      <c r="C111" s="245"/>
      <c r="D111" s="246"/>
      <c r="E111" s="240"/>
      <c r="F111" s="241"/>
      <c r="G111" s="247">
        <v>40.58</v>
      </c>
      <c r="H111" s="241"/>
      <c r="I111" s="247">
        <v>166.27</v>
      </c>
      <c r="J111" s="241"/>
      <c r="K111" s="247">
        <v>57.88</v>
      </c>
      <c r="L111" s="241"/>
      <c r="M111" s="247">
        <v>36.61</v>
      </c>
      <c r="N111" s="241"/>
      <c r="O111" s="247">
        <v>173.21</v>
      </c>
      <c r="P111" s="241"/>
      <c r="Q111" s="247">
        <v>181.06</v>
      </c>
      <c r="R111" s="241"/>
      <c r="S111" s="247">
        <v>154.47999999999999</v>
      </c>
      <c r="T111" s="241"/>
      <c r="U111" s="247">
        <v>136.32</v>
      </c>
      <c r="V111" s="241"/>
      <c r="W111" s="247">
        <v>217.58</v>
      </c>
      <c r="X111" s="241"/>
      <c r="Y111" s="247">
        <v>137.55000000000001</v>
      </c>
      <c r="Z111" s="241"/>
      <c r="AA111" s="247">
        <v>138.93</v>
      </c>
      <c r="AB111" s="241"/>
      <c r="AC111" s="247">
        <v>165.28</v>
      </c>
      <c r="AD111" s="241"/>
      <c r="AE111" s="247">
        <f t="shared" si="12"/>
        <v>1605.75</v>
      </c>
      <c r="AF111" s="248">
        <f t="shared" si="13"/>
        <v>1.7707828928091604E-4</v>
      </c>
      <c r="AG111" s="249"/>
    </row>
    <row r="112" spans="1:33" outlineLevel="1">
      <c r="A112" s="244">
        <v>52120</v>
      </c>
      <c r="B112" s="244" t="s">
        <v>762</v>
      </c>
      <c r="C112" s="245"/>
      <c r="D112" s="246"/>
      <c r="E112" s="240"/>
      <c r="F112" s="241"/>
      <c r="G112" s="247">
        <v>6809.48</v>
      </c>
      <c r="H112" s="241"/>
      <c r="I112" s="247">
        <v>12560.4</v>
      </c>
      <c r="J112" s="241"/>
      <c r="K112" s="247">
        <v>12364.34</v>
      </c>
      <c r="L112" s="241"/>
      <c r="M112" s="247">
        <v>13983.64</v>
      </c>
      <c r="N112" s="241"/>
      <c r="O112" s="247">
        <v>5446.52</v>
      </c>
      <c r="P112" s="241"/>
      <c r="Q112" s="247">
        <v>4331.7299999999996</v>
      </c>
      <c r="R112" s="241"/>
      <c r="S112" s="247">
        <v>12057.95</v>
      </c>
      <c r="T112" s="241"/>
      <c r="U112" s="247">
        <v>5658.36</v>
      </c>
      <c r="V112" s="241"/>
      <c r="W112" s="247">
        <v>7228.06</v>
      </c>
      <c r="X112" s="241"/>
      <c r="Y112" s="247">
        <v>14560.59</v>
      </c>
      <c r="Z112" s="241"/>
      <c r="AA112" s="247">
        <v>7870.12</v>
      </c>
      <c r="AB112" s="241"/>
      <c r="AC112" s="247">
        <v>12166.28</v>
      </c>
      <c r="AD112" s="241"/>
      <c r="AE112" s="247">
        <f t="shared" si="12"/>
        <v>115037.46999999999</v>
      </c>
      <c r="AF112" s="248">
        <f t="shared" si="13"/>
        <v>1.268605847162055E-2</v>
      </c>
      <c r="AG112" s="249"/>
    </row>
    <row r="113" spans="1:33" outlineLevel="1">
      <c r="A113" s="244">
        <v>52125</v>
      </c>
      <c r="B113" s="244" t="s">
        <v>763</v>
      </c>
      <c r="C113" s="245"/>
      <c r="D113" s="246"/>
      <c r="E113" s="240"/>
      <c r="F113" s="241"/>
      <c r="G113" s="247">
        <v>585.78</v>
      </c>
      <c r="H113" s="241"/>
      <c r="I113" s="247">
        <v>3116.14</v>
      </c>
      <c r="J113" s="241"/>
      <c r="K113" s="247">
        <v>1385.92</v>
      </c>
      <c r="L113" s="241"/>
      <c r="M113" s="247">
        <v>2326.9499999999998</v>
      </c>
      <c r="N113" s="241"/>
      <c r="O113" s="247">
        <v>1772.69</v>
      </c>
      <c r="P113" s="241"/>
      <c r="Q113" s="247">
        <v>2615.73</v>
      </c>
      <c r="R113" s="241"/>
      <c r="S113" s="247">
        <v>3626.6</v>
      </c>
      <c r="T113" s="241"/>
      <c r="U113" s="247">
        <v>1569.75</v>
      </c>
      <c r="V113" s="241"/>
      <c r="W113" s="247">
        <v>1916.72</v>
      </c>
      <c r="X113" s="241"/>
      <c r="Y113" s="247">
        <v>2037.13</v>
      </c>
      <c r="Z113" s="241"/>
      <c r="AA113" s="247">
        <v>1464.01</v>
      </c>
      <c r="AB113" s="241"/>
      <c r="AC113" s="247">
        <v>1314.61</v>
      </c>
      <c r="AD113" s="241"/>
      <c r="AE113" s="247">
        <f t="shared" si="12"/>
        <v>23732.03</v>
      </c>
      <c r="AF113" s="248">
        <f t="shared" si="13"/>
        <v>2.6171118004442643E-3</v>
      </c>
      <c r="AG113" s="249"/>
    </row>
    <row r="114" spans="1:33" outlineLevel="1">
      <c r="A114" s="244">
        <v>52135</v>
      </c>
      <c r="B114" s="244" t="s">
        <v>764</v>
      </c>
      <c r="C114" s="245"/>
      <c r="D114" s="246"/>
      <c r="E114" s="240"/>
      <c r="F114" s="241"/>
      <c r="G114" s="247">
        <v>10</v>
      </c>
      <c r="H114" s="241"/>
      <c r="I114" s="247">
        <v>1268.1099999999999</v>
      </c>
      <c r="J114" s="241"/>
      <c r="K114" s="247">
        <v>816.66</v>
      </c>
      <c r="L114" s="241"/>
      <c r="M114" s="247">
        <v>715.05</v>
      </c>
      <c r="N114" s="241"/>
      <c r="O114" s="247">
        <v>723.18</v>
      </c>
      <c r="P114" s="241"/>
      <c r="Q114" s="247">
        <v>715.18</v>
      </c>
      <c r="R114" s="241"/>
      <c r="S114" s="247">
        <v>1026.75</v>
      </c>
      <c r="T114" s="241"/>
      <c r="U114" s="247">
        <v>1455.39</v>
      </c>
      <c r="V114" s="241"/>
      <c r="W114" s="247">
        <v>630.38</v>
      </c>
      <c r="X114" s="241"/>
      <c r="Y114" s="247">
        <v>739.99</v>
      </c>
      <c r="Z114" s="241"/>
      <c r="AA114" s="247">
        <v>1051.48</v>
      </c>
      <c r="AB114" s="241"/>
      <c r="AC114" s="247">
        <v>627.39</v>
      </c>
      <c r="AD114" s="241"/>
      <c r="AE114" s="247">
        <f t="shared" si="12"/>
        <v>9779.5600000000013</v>
      </c>
      <c r="AF114" s="248">
        <f t="shared" si="13"/>
        <v>1.0784666073299551E-3</v>
      </c>
      <c r="AG114" s="249"/>
    </row>
    <row r="115" spans="1:33" outlineLevel="1">
      <c r="A115" s="244">
        <v>52140</v>
      </c>
      <c r="B115" s="244" t="s">
        <v>765</v>
      </c>
      <c r="C115" s="245"/>
      <c r="D115" s="246"/>
      <c r="E115" s="240"/>
      <c r="F115" s="241"/>
      <c r="G115" s="247">
        <v>329.18</v>
      </c>
      <c r="H115" s="241"/>
      <c r="I115" s="247">
        <v>7914.34</v>
      </c>
      <c r="J115" s="241"/>
      <c r="K115" s="247">
        <v>4158.3100000000004</v>
      </c>
      <c r="L115" s="241"/>
      <c r="M115" s="247">
        <v>4524.24</v>
      </c>
      <c r="N115" s="241"/>
      <c r="O115" s="247">
        <v>7502.58</v>
      </c>
      <c r="P115" s="241"/>
      <c r="Q115" s="247">
        <v>8446.32</v>
      </c>
      <c r="R115" s="241"/>
      <c r="S115" s="247">
        <v>6688.8</v>
      </c>
      <c r="T115" s="241"/>
      <c r="U115" s="247">
        <v>6637.95</v>
      </c>
      <c r="V115" s="241"/>
      <c r="W115" s="247">
        <v>113.79</v>
      </c>
      <c r="X115" s="241"/>
      <c r="Y115" s="247">
        <v>6790.07</v>
      </c>
      <c r="Z115" s="241"/>
      <c r="AA115" s="247">
        <v>5163.3900000000003</v>
      </c>
      <c r="AB115" s="241"/>
      <c r="AC115" s="247">
        <v>621.26</v>
      </c>
      <c r="AD115" s="241"/>
      <c r="AE115" s="247">
        <f t="shared" si="12"/>
        <v>58890.23</v>
      </c>
      <c r="AF115" s="248">
        <f t="shared" si="13"/>
        <v>6.4942744410771787E-3</v>
      </c>
      <c r="AG115" s="249"/>
    </row>
    <row r="116" spans="1:33" outlineLevel="1">
      <c r="A116" s="244">
        <v>52142</v>
      </c>
      <c r="B116" s="244" t="s">
        <v>766</v>
      </c>
      <c r="C116" s="245"/>
      <c r="D116" s="246"/>
      <c r="E116" s="240"/>
      <c r="F116" s="241"/>
      <c r="G116" s="247">
        <v>28660.79</v>
      </c>
      <c r="H116" s="241"/>
      <c r="I116" s="247">
        <v>24645.03</v>
      </c>
      <c r="J116" s="241"/>
      <c r="K116" s="247">
        <v>26819.41</v>
      </c>
      <c r="L116" s="241"/>
      <c r="M116" s="247">
        <v>27618.48</v>
      </c>
      <c r="N116" s="241"/>
      <c r="O116" s="247">
        <v>30673.66</v>
      </c>
      <c r="P116" s="241"/>
      <c r="Q116" s="247">
        <v>32649.68</v>
      </c>
      <c r="R116" s="241"/>
      <c r="S116" s="247">
        <v>31151.95</v>
      </c>
      <c r="T116" s="241"/>
      <c r="U116" s="247">
        <v>24657.94</v>
      </c>
      <c r="V116" s="241"/>
      <c r="W116" s="247">
        <v>26237.71</v>
      </c>
      <c r="X116" s="241"/>
      <c r="Y116" s="247">
        <v>25844.41</v>
      </c>
      <c r="Z116" s="241"/>
      <c r="AA116" s="247">
        <v>24056.81</v>
      </c>
      <c r="AB116" s="241"/>
      <c r="AC116" s="247">
        <v>20975.02</v>
      </c>
      <c r="AD116" s="241"/>
      <c r="AE116" s="247">
        <f t="shared" si="12"/>
        <v>323990.88999999996</v>
      </c>
      <c r="AF116" s="248">
        <f t="shared" si="13"/>
        <v>3.5728944445773896E-2</v>
      </c>
      <c r="AG116" s="249"/>
    </row>
    <row r="117" spans="1:33" outlineLevel="1">
      <c r="A117" s="244">
        <v>52144</v>
      </c>
      <c r="B117" s="244" t="s">
        <v>767</v>
      </c>
      <c r="C117" s="245"/>
      <c r="D117" s="246"/>
      <c r="E117" s="240"/>
      <c r="F117" s="241"/>
      <c r="G117" s="247">
        <v>77.290000000000006</v>
      </c>
      <c r="H117" s="241"/>
      <c r="I117" s="247">
        <v>270.11</v>
      </c>
      <c r="J117" s="241"/>
      <c r="K117" s="247">
        <v>111.2</v>
      </c>
      <c r="L117" s="241"/>
      <c r="M117" s="247">
        <v>199.64</v>
      </c>
      <c r="N117" s="241"/>
      <c r="O117" s="247">
        <v>121.92</v>
      </c>
      <c r="P117" s="241"/>
      <c r="Q117" s="247">
        <v>213.97</v>
      </c>
      <c r="R117" s="241"/>
      <c r="S117" s="247">
        <v>206.35</v>
      </c>
      <c r="T117" s="241"/>
      <c r="U117" s="247">
        <v>131.97</v>
      </c>
      <c r="V117" s="241"/>
      <c r="W117" s="247">
        <v>256.95</v>
      </c>
      <c r="X117" s="241"/>
      <c r="Y117" s="247">
        <v>173.08</v>
      </c>
      <c r="Z117" s="241"/>
      <c r="AA117" s="247">
        <v>180.93</v>
      </c>
      <c r="AB117" s="241"/>
      <c r="AC117" s="247">
        <v>179.83</v>
      </c>
      <c r="AD117" s="241"/>
      <c r="AE117" s="247">
        <f t="shared" si="12"/>
        <v>2123.2399999999998</v>
      </c>
      <c r="AF117" s="248">
        <f t="shared" si="13"/>
        <v>2.3414585516600474E-4</v>
      </c>
      <c r="AG117" s="249"/>
    </row>
    <row r="118" spans="1:33" outlineLevel="1">
      <c r="A118" s="244">
        <v>52146</v>
      </c>
      <c r="B118" s="244" t="s">
        <v>768</v>
      </c>
      <c r="C118" s="245"/>
      <c r="D118" s="246"/>
      <c r="E118" s="240"/>
      <c r="F118" s="241"/>
      <c r="G118" s="247">
        <v>1978.46</v>
      </c>
      <c r="H118" s="241"/>
      <c r="I118" s="247">
        <v>1406.08</v>
      </c>
      <c r="J118" s="241"/>
      <c r="K118" s="247">
        <v>3104.6</v>
      </c>
      <c r="L118" s="241"/>
      <c r="M118" s="247">
        <v>2568.6799999999998</v>
      </c>
      <c r="N118" s="241"/>
      <c r="O118" s="247">
        <v>2240.21</v>
      </c>
      <c r="P118" s="241"/>
      <c r="Q118" s="247">
        <v>2116.12</v>
      </c>
      <c r="R118" s="241"/>
      <c r="S118" s="247">
        <v>1734.37</v>
      </c>
      <c r="T118" s="241"/>
      <c r="U118" s="247">
        <v>2285.15</v>
      </c>
      <c r="V118" s="241"/>
      <c r="W118" s="247">
        <v>1620.66</v>
      </c>
      <c r="X118" s="241"/>
      <c r="Y118" s="247">
        <v>1936.62</v>
      </c>
      <c r="Z118" s="241"/>
      <c r="AA118" s="247">
        <v>956.3</v>
      </c>
      <c r="AB118" s="241"/>
      <c r="AC118" s="247">
        <v>2442.4</v>
      </c>
      <c r="AD118" s="241"/>
      <c r="AE118" s="247">
        <f t="shared" si="12"/>
        <v>24389.649999999994</v>
      </c>
      <c r="AF118" s="248">
        <f t="shared" si="13"/>
        <v>2.6896325693042456E-3</v>
      </c>
      <c r="AG118" s="249"/>
    </row>
    <row r="119" spans="1:33" outlineLevel="1">
      <c r="A119" s="244">
        <v>52147</v>
      </c>
      <c r="B119" s="244" t="s">
        <v>769</v>
      </c>
      <c r="C119" s="245"/>
      <c r="D119" s="246"/>
      <c r="E119" s="240"/>
      <c r="F119" s="241"/>
      <c r="G119" s="247">
        <v>1952.83</v>
      </c>
      <c r="H119" s="241"/>
      <c r="I119" s="247">
        <v>246.15</v>
      </c>
      <c r="J119" s="241"/>
      <c r="K119" s="247">
        <v>2414.7600000000002</v>
      </c>
      <c r="L119" s="241"/>
      <c r="M119" s="247">
        <v>2142.0700000000002</v>
      </c>
      <c r="N119" s="241"/>
      <c r="O119" s="247">
        <v>3934.31</v>
      </c>
      <c r="P119" s="241"/>
      <c r="Q119" s="247">
        <v>10113.64</v>
      </c>
      <c r="R119" s="241"/>
      <c r="S119" s="247">
        <v>-821.03</v>
      </c>
      <c r="T119" s="241"/>
      <c r="U119" s="247">
        <v>941.29</v>
      </c>
      <c r="V119" s="241"/>
      <c r="W119" s="247">
        <v>7682.3</v>
      </c>
      <c r="X119" s="241"/>
      <c r="Y119" s="247">
        <v>753.4</v>
      </c>
      <c r="Z119" s="241"/>
      <c r="AA119" s="247">
        <v>3381.89</v>
      </c>
      <c r="AB119" s="241"/>
      <c r="AC119" s="247">
        <v>122.71</v>
      </c>
      <c r="AD119" s="241"/>
      <c r="AE119" s="247">
        <f t="shared" si="12"/>
        <v>32864.32</v>
      </c>
      <c r="AF119" s="248">
        <f t="shared" si="13"/>
        <v>3.6241990122874634E-3</v>
      </c>
      <c r="AG119" s="249"/>
    </row>
    <row r="120" spans="1:33" outlineLevel="1">
      <c r="A120" s="244">
        <v>52150</v>
      </c>
      <c r="B120" s="244" t="s">
        <v>770</v>
      </c>
      <c r="C120" s="245"/>
      <c r="D120" s="246"/>
      <c r="E120" s="240"/>
      <c r="F120" s="241"/>
      <c r="G120" s="247">
        <v>187.62</v>
      </c>
      <c r="H120" s="241"/>
      <c r="I120" s="247">
        <v>2604.8000000000002</v>
      </c>
      <c r="J120" s="241"/>
      <c r="K120" s="247">
        <v>653.55999999999995</v>
      </c>
      <c r="L120" s="241"/>
      <c r="M120" s="247">
        <v>1321.36</v>
      </c>
      <c r="N120" s="241"/>
      <c r="O120" s="247">
        <v>1348.73</v>
      </c>
      <c r="P120" s="241"/>
      <c r="Q120" s="247">
        <v>936.7</v>
      </c>
      <c r="R120" s="241"/>
      <c r="S120" s="247">
        <v>1222.8399999999999</v>
      </c>
      <c r="T120" s="241"/>
      <c r="U120" s="247">
        <v>887.13</v>
      </c>
      <c r="V120" s="241"/>
      <c r="W120" s="247">
        <v>971.6</v>
      </c>
      <c r="X120" s="241"/>
      <c r="Y120" s="247">
        <v>1357.75</v>
      </c>
      <c r="Z120" s="241"/>
      <c r="AA120" s="247">
        <v>949.45</v>
      </c>
      <c r="AB120" s="241"/>
      <c r="AC120" s="247">
        <v>1309.43</v>
      </c>
      <c r="AD120" s="241"/>
      <c r="AE120" s="247">
        <f t="shared" si="12"/>
        <v>13750.970000000003</v>
      </c>
      <c r="AF120" s="248">
        <f t="shared" si="13"/>
        <v>1.5164242525631004E-3</v>
      </c>
      <c r="AG120" s="249"/>
    </row>
    <row r="121" spans="1:33" outlineLevel="1">
      <c r="A121" s="244">
        <v>52165</v>
      </c>
      <c r="B121" s="244" t="s">
        <v>771</v>
      </c>
      <c r="C121" s="245"/>
      <c r="D121" s="246"/>
      <c r="E121" s="240"/>
      <c r="F121" s="241"/>
      <c r="G121" s="247">
        <v>290.07</v>
      </c>
      <c r="H121" s="241"/>
      <c r="I121" s="247">
        <v>697.28</v>
      </c>
      <c r="J121" s="241"/>
      <c r="K121" s="247">
        <v>589.80999999999995</v>
      </c>
      <c r="L121" s="241"/>
      <c r="M121" s="247">
        <v>545</v>
      </c>
      <c r="N121" s="241"/>
      <c r="O121" s="247">
        <v>576.24</v>
      </c>
      <c r="P121" s="241"/>
      <c r="Q121" s="247">
        <v>578.97</v>
      </c>
      <c r="R121" s="241"/>
      <c r="S121" s="247">
        <v>596.6</v>
      </c>
      <c r="T121" s="241"/>
      <c r="U121" s="247">
        <v>406.83</v>
      </c>
      <c r="V121" s="241"/>
      <c r="W121" s="247">
        <v>749.62</v>
      </c>
      <c r="X121" s="241"/>
      <c r="Y121" s="247">
        <v>601.29999999999995</v>
      </c>
      <c r="Z121" s="241"/>
      <c r="AA121" s="247">
        <v>450.89</v>
      </c>
      <c r="AB121" s="241"/>
      <c r="AC121" s="247">
        <v>481.78</v>
      </c>
      <c r="AD121" s="241"/>
      <c r="AE121" s="247">
        <f t="shared" si="12"/>
        <v>6564.3899999999985</v>
      </c>
      <c r="AF121" s="248">
        <f t="shared" si="13"/>
        <v>7.2390530990051514E-4</v>
      </c>
      <c r="AG121" s="249"/>
    </row>
    <row r="122" spans="1:33" outlineLevel="1">
      <c r="A122" s="244">
        <v>52170</v>
      </c>
      <c r="B122" s="244" t="s">
        <v>772</v>
      </c>
      <c r="C122" s="245"/>
      <c r="D122" s="246"/>
      <c r="E122" s="240"/>
      <c r="F122" s="241"/>
      <c r="G122" s="247">
        <v>1519.45</v>
      </c>
      <c r="H122" s="241"/>
      <c r="I122" s="247">
        <v>-103.01</v>
      </c>
      <c r="J122" s="241"/>
      <c r="K122" s="247">
        <v>1519.45</v>
      </c>
      <c r="L122" s="241"/>
      <c r="M122" s="247">
        <v>1519.45</v>
      </c>
      <c r="N122" s="241"/>
      <c r="O122" s="247">
        <v>1519.45</v>
      </c>
      <c r="P122" s="241"/>
      <c r="Q122" s="247">
        <v>1519.45</v>
      </c>
      <c r="R122" s="241"/>
      <c r="S122" s="247">
        <v>1519.45</v>
      </c>
      <c r="T122" s="241"/>
      <c r="U122" s="247">
        <v>1519.45</v>
      </c>
      <c r="V122" s="241"/>
      <c r="W122" s="247">
        <v>1519.45</v>
      </c>
      <c r="X122" s="241"/>
      <c r="Y122" s="247">
        <v>1519.45</v>
      </c>
      <c r="Z122" s="241"/>
      <c r="AA122" s="247">
        <v>1519.45</v>
      </c>
      <c r="AB122" s="241"/>
      <c r="AC122" s="247">
        <v>156.25</v>
      </c>
      <c r="AD122" s="241"/>
      <c r="AE122" s="247">
        <f t="shared" si="12"/>
        <v>15247.740000000003</v>
      </c>
      <c r="AF122" s="248">
        <f t="shared" si="13"/>
        <v>1.681484486750861E-3</v>
      </c>
      <c r="AG122" s="249"/>
    </row>
    <row r="123" spans="1:33" outlineLevel="1">
      <c r="A123" s="244">
        <v>52175</v>
      </c>
      <c r="B123" s="244" t="s">
        <v>773</v>
      </c>
      <c r="C123" s="245"/>
      <c r="D123" s="246"/>
      <c r="E123" s="240"/>
      <c r="F123" s="241"/>
      <c r="G123" s="247">
        <v>0</v>
      </c>
      <c r="H123" s="241"/>
      <c r="I123" s="247">
        <v>310.14999999999998</v>
      </c>
      <c r="J123" s="241"/>
      <c r="K123" s="247">
        <v>0</v>
      </c>
      <c r="L123" s="241"/>
      <c r="M123" s="247">
        <v>38.82</v>
      </c>
      <c r="N123" s="241"/>
      <c r="O123" s="247">
        <v>30.01</v>
      </c>
      <c r="P123" s="241"/>
      <c r="Q123" s="247">
        <v>76.8</v>
      </c>
      <c r="R123" s="241"/>
      <c r="S123" s="247">
        <v>27.7</v>
      </c>
      <c r="T123" s="241"/>
      <c r="U123" s="247">
        <v>0</v>
      </c>
      <c r="V123" s="241"/>
      <c r="W123" s="247">
        <v>65.55</v>
      </c>
      <c r="X123" s="241"/>
      <c r="Y123" s="247">
        <v>0</v>
      </c>
      <c r="Z123" s="241"/>
      <c r="AA123" s="247">
        <v>0</v>
      </c>
      <c r="AB123" s="241"/>
      <c r="AC123" s="247">
        <v>70.73</v>
      </c>
      <c r="AD123" s="241"/>
      <c r="AE123" s="247">
        <f t="shared" si="12"/>
        <v>619.76</v>
      </c>
      <c r="AF123" s="248">
        <f t="shared" si="13"/>
        <v>6.8345658144007795E-5</v>
      </c>
      <c r="AG123" s="249"/>
    </row>
    <row r="124" spans="1:33" outlineLevel="1">
      <c r="A124" s="244">
        <v>52182</v>
      </c>
      <c r="B124" s="244" t="s">
        <v>774</v>
      </c>
      <c r="C124" s="245"/>
      <c r="D124" s="246"/>
      <c r="E124" s="240"/>
      <c r="F124" s="241"/>
      <c r="G124" s="247">
        <v>469.32</v>
      </c>
      <c r="H124" s="241"/>
      <c r="I124" s="247">
        <v>426.66</v>
      </c>
      <c r="J124" s="241"/>
      <c r="K124" s="247">
        <v>906.65</v>
      </c>
      <c r="L124" s="241"/>
      <c r="M124" s="247">
        <v>0</v>
      </c>
      <c r="N124" s="241"/>
      <c r="O124" s="247">
        <v>0</v>
      </c>
      <c r="P124" s="241"/>
      <c r="Q124" s="247">
        <v>1301.57</v>
      </c>
      <c r="R124" s="241"/>
      <c r="S124" s="247">
        <v>0</v>
      </c>
      <c r="T124" s="241"/>
      <c r="U124" s="247">
        <v>0</v>
      </c>
      <c r="V124" s="241"/>
      <c r="W124" s="247">
        <v>0</v>
      </c>
      <c r="X124" s="241"/>
      <c r="Y124" s="247">
        <v>371.76</v>
      </c>
      <c r="Z124" s="241"/>
      <c r="AA124" s="247">
        <v>0</v>
      </c>
      <c r="AB124" s="241"/>
      <c r="AC124" s="247">
        <v>0</v>
      </c>
      <c r="AD124" s="241"/>
      <c r="AE124" s="247">
        <f t="shared" si="12"/>
        <v>3475.96</v>
      </c>
      <c r="AF124" s="248">
        <f t="shared" si="13"/>
        <v>3.8332059810611421E-4</v>
      </c>
      <c r="AG124" s="249"/>
    </row>
    <row r="125" spans="1:33" outlineLevel="1">
      <c r="A125" s="244">
        <v>52200</v>
      </c>
      <c r="B125" s="244" t="s">
        <v>776</v>
      </c>
      <c r="C125" s="245"/>
      <c r="D125" s="246"/>
      <c r="E125" s="240"/>
      <c r="F125" s="241"/>
      <c r="G125" s="247">
        <v>0</v>
      </c>
      <c r="H125" s="241"/>
      <c r="I125" s="247">
        <v>249.9</v>
      </c>
      <c r="J125" s="241"/>
      <c r="K125" s="247">
        <v>53.81</v>
      </c>
      <c r="L125" s="241"/>
      <c r="M125" s="247">
        <v>213.54</v>
      </c>
      <c r="N125" s="241"/>
      <c r="O125" s="247">
        <v>23.89</v>
      </c>
      <c r="P125" s="241"/>
      <c r="Q125" s="247">
        <v>108.64</v>
      </c>
      <c r="R125" s="241"/>
      <c r="S125" s="247">
        <v>238.84</v>
      </c>
      <c r="T125" s="241"/>
      <c r="U125" s="247">
        <v>162.71</v>
      </c>
      <c r="V125" s="241"/>
      <c r="W125" s="247">
        <v>102.58</v>
      </c>
      <c r="X125" s="241"/>
      <c r="Y125" s="247">
        <v>15.33</v>
      </c>
      <c r="Z125" s="241"/>
      <c r="AA125" s="247">
        <v>66.66</v>
      </c>
      <c r="AB125" s="241"/>
      <c r="AC125" s="247">
        <v>28.08</v>
      </c>
      <c r="AD125" s="241"/>
      <c r="AE125" s="247">
        <f t="shared" si="12"/>
        <v>1263.98</v>
      </c>
      <c r="AF125" s="248">
        <f t="shared" si="13"/>
        <v>1.3938870688792916E-4</v>
      </c>
      <c r="AG125" s="249"/>
    </row>
    <row r="126" spans="1:33" s="240" customFormat="1" ht="5.15" customHeight="1" outlineLevel="1">
      <c r="A126" s="245"/>
      <c r="B126" s="245"/>
      <c r="C126" s="245"/>
      <c r="D126" s="245"/>
      <c r="G126" s="255"/>
      <c r="H126" s="253"/>
      <c r="I126" s="255"/>
      <c r="J126" s="253"/>
      <c r="K126" s="255"/>
      <c r="L126" s="253"/>
      <c r="M126" s="255"/>
      <c r="N126" s="253"/>
      <c r="O126" s="255"/>
      <c r="P126" s="253"/>
      <c r="Q126" s="255"/>
      <c r="R126" s="253"/>
      <c r="S126" s="255"/>
      <c r="T126" s="253"/>
      <c r="U126" s="255"/>
      <c r="V126" s="253"/>
      <c r="W126" s="255"/>
      <c r="X126" s="253"/>
      <c r="Y126" s="255"/>
      <c r="Z126" s="253"/>
      <c r="AA126" s="255"/>
      <c r="AB126" s="253"/>
      <c r="AC126" s="255"/>
      <c r="AD126" s="253"/>
      <c r="AE126" s="255"/>
      <c r="AF126" s="243"/>
      <c r="AG126" s="222"/>
    </row>
    <row r="127" spans="1:33" s="240" customFormat="1" ht="15.5">
      <c r="C127" s="245" t="s">
        <v>777</v>
      </c>
      <c r="G127" s="252">
        <f>SUM(G98:G126)</f>
        <v>61912.68</v>
      </c>
      <c r="H127" s="253"/>
      <c r="I127" s="252">
        <f>SUM(I98:I126)</f>
        <v>77760.039999999994</v>
      </c>
      <c r="J127" s="253"/>
      <c r="K127" s="252">
        <f>SUM(K98:K126)</f>
        <v>76370.809999999983</v>
      </c>
      <c r="L127" s="253"/>
      <c r="M127" s="252">
        <f>SUM(M98:M126)</f>
        <v>79985.039999999994</v>
      </c>
      <c r="N127" s="253"/>
      <c r="O127" s="252">
        <f>SUM(O98:O126)</f>
        <v>79108.429999999993</v>
      </c>
      <c r="P127" s="253"/>
      <c r="Q127" s="252">
        <f>SUM(Q98:Q126)</f>
        <v>89477.660000000018</v>
      </c>
      <c r="R127" s="253"/>
      <c r="S127" s="252">
        <f>SUM(S98:S126)</f>
        <v>84002.3</v>
      </c>
      <c r="T127" s="253"/>
      <c r="U127" s="252">
        <f>SUM(U98:U126)</f>
        <v>69051.63</v>
      </c>
      <c r="V127" s="253"/>
      <c r="W127" s="252">
        <f>SUM(W98:W126)</f>
        <v>73324.180000000008</v>
      </c>
      <c r="X127" s="253"/>
      <c r="Y127" s="252">
        <f>SUM(Y98:Y126)</f>
        <v>80711.879999999976</v>
      </c>
      <c r="Z127" s="253"/>
      <c r="AA127" s="252">
        <f>SUM(AA98:AA126)</f>
        <v>70588.600000000006</v>
      </c>
      <c r="AB127" s="253"/>
      <c r="AC127" s="252">
        <f>SUM(AC98:AC126)</f>
        <v>65724.489999999991</v>
      </c>
      <c r="AD127" s="253"/>
      <c r="AE127" s="252">
        <f>SUM(AE98:AE126)</f>
        <v>908017.73999999976</v>
      </c>
      <c r="AF127" s="248">
        <f>IF(AE$47=0,0,AE127/AE$47)</f>
        <v>0.10013403583118391</v>
      </c>
      <c r="AG127" s="222"/>
    </row>
    <row r="128" spans="1:33" s="240" customFormat="1" ht="15.5" outlineLevel="1">
      <c r="G128" s="254"/>
      <c r="H128" s="253"/>
      <c r="I128" s="254"/>
      <c r="J128" s="253"/>
      <c r="K128" s="254"/>
      <c r="L128" s="253"/>
      <c r="M128" s="254"/>
      <c r="N128" s="253"/>
      <c r="O128" s="254"/>
      <c r="P128" s="253"/>
      <c r="Q128" s="254"/>
      <c r="R128" s="253"/>
      <c r="S128" s="254"/>
      <c r="T128" s="253"/>
      <c r="U128" s="254"/>
      <c r="V128" s="253"/>
      <c r="W128" s="254"/>
      <c r="X128" s="253"/>
      <c r="Y128" s="254"/>
      <c r="Z128" s="253"/>
      <c r="AA128" s="254"/>
      <c r="AB128" s="253"/>
      <c r="AC128" s="254"/>
      <c r="AD128" s="253"/>
      <c r="AE128" s="254"/>
      <c r="AF128" s="243"/>
      <c r="AG128" s="222"/>
    </row>
    <row r="129" spans="1:33" s="240" customFormat="1" ht="15.5" outlineLevel="1">
      <c r="G129" s="254"/>
      <c r="H129" s="253"/>
      <c r="I129" s="254"/>
      <c r="J129" s="253"/>
      <c r="K129" s="254"/>
      <c r="L129" s="253"/>
      <c r="M129" s="254"/>
      <c r="N129" s="253"/>
      <c r="O129" s="254"/>
      <c r="P129" s="253"/>
      <c r="Q129" s="254"/>
      <c r="R129" s="253"/>
      <c r="S129" s="254"/>
      <c r="T129" s="253"/>
      <c r="U129" s="254"/>
      <c r="V129" s="253"/>
      <c r="W129" s="254"/>
      <c r="X129" s="253"/>
      <c r="Y129" s="254"/>
      <c r="Z129" s="253"/>
      <c r="AA129" s="254"/>
      <c r="AB129" s="253"/>
      <c r="AC129" s="254"/>
      <c r="AD129" s="253"/>
      <c r="AE129" s="254"/>
      <c r="AF129" s="243"/>
      <c r="AG129" s="222"/>
    </row>
    <row r="130" spans="1:33" outlineLevel="1">
      <c r="A130" s="244">
        <v>54275</v>
      </c>
      <c r="B130" s="244" t="s">
        <v>778</v>
      </c>
      <c r="C130" s="245"/>
      <c r="D130" s="246"/>
      <c r="E130" s="240"/>
      <c r="F130" s="241"/>
      <c r="G130" s="247">
        <v>318.66000000000003</v>
      </c>
      <c r="H130" s="241"/>
      <c r="I130" s="247">
        <v>637.32000000000005</v>
      </c>
      <c r="J130" s="241"/>
      <c r="K130" s="247">
        <v>318.66000000000003</v>
      </c>
      <c r="L130" s="241"/>
      <c r="M130" s="247">
        <v>228.02</v>
      </c>
      <c r="N130" s="241"/>
      <c r="O130" s="247">
        <v>444</v>
      </c>
      <c r="P130" s="241"/>
      <c r="Q130" s="247">
        <v>444</v>
      </c>
      <c r="R130" s="241"/>
      <c r="S130" s="247">
        <v>444</v>
      </c>
      <c r="T130" s="241"/>
      <c r="U130" s="247">
        <v>444</v>
      </c>
      <c r="V130" s="241"/>
      <c r="W130" s="247">
        <v>443.99</v>
      </c>
      <c r="X130" s="241"/>
      <c r="Y130" s="247">
        <v>444</v>
      </c>
      <c r="Z130" s="241"/>
      <c r="AA130" s="247">
        <v>444</v>
      </c>
      <c r="AB130" s="241"/>
      <c r="AC130" s="247">
        <v>444</v>
      </c>
      <c r="AD130" s="241"/>
      <c r="AE130" s="247">
        <f t="shared" ref="AE130:AE133" si="14">AC130+AA130+Y130+W130+U130+S130+Q130+O130+M130+K130+I130+G130</f>
        <v>5054.6499999999996</v>
      </c>
      <c r="AF130" s="248">
        <f t="shared" ref="AF130:AF133" si="15">IF(AE$47=0,0,AE130/AE$47)</f>
        <v>5.5741477497355267E-4</v>
      </c>
      <c r="AG130" s="249"/>
    </row>
    <row r="131" spans="1:33" outlineLevel="1">
      <c r="A131" s="244">
        <v>55120</v>
      </c>
      <c r="B131" s="244" t="s">
        <v>762</v>
      </c>
      <c r="C131" s="245"/>
      <c r="D131" s="246"/>
      <c r="E131" s="240"/>
      <c r="F131" s="241"/>
      <c r="G131" s="247">
        <v>821.11</v>
      </c>
      <c r="H131" s="241"/>
      <c r="I131" s="247">
        <v>845.4</v>
      </c>
      <c r="J131" s="241"/>
      <c r="K131" s="247">
        <v>2187.79</v>
      </c>
      <c r="L131" s="241"/>
      <c r="M131" s="247">
        <v>825.76</v>
      </c>
      <c r="N131" s="241"/>
      <c r="O131" s="247">
        <v>1466.86</v>
      </c>
      <c r="P131" s="241"/>
      <c r="Q131" s="247">
        <v>1018.7</v>
      </c>
      <c r="R131" s="241"/>
      <c r="S131" s="247">
        <v>1113.02</v>
      </c>
      <c r="T131" s="241"/>
      <c r="U131" s="247">
        <v>1567.17</v>
      </c>
      <c r="V131" s="241"/>
      <c r="W131" s="247">
        <v>3554.02</v>
      </c>
      <c r="X131" s="241"/>
      <c r="Y131" s="247">
        <v>702.61</v>
      </c>
      <c r="Z131" s="241"/>
      <c r="AA131" s="247">
        <v>377.13</v>
      </c>
      <c r="AB131" s="241"/>
      <c r="AC131" s="247">
        <v>80.849999999999994</v>
      </c>
      <c r="AD131" s="241"/>
      <c r="AE131" s="247">
        <f t="shared" si="14"/>
        <v>14560.420000000004</v>
      </c>
      <c r="AF131" s="248">
        <f t="shared" si="15"/>
        <v>1.6056884725590135E-3</v>
      </c>
      <c r="AG131" s="249"/>
    </row>
    <row r="132" spans="1:33" outlineLevel="1">
      <c r="A132" s="244">
        <v>55125</v>
      </c>
      <c r="B132" s="244" t="s">
        <v>763</v>
      </c>
      <c r="C132" s="245"/>
      <c r="D132" s="246"/>
      <c r="E132" s="240"/>
      <c r="F132" s="241"/>
      <c r="G132" s="247">
        <v>531.16999999999996</v>
      </c>
      <c r="H132" s="241"/>
      <c r="I132" s="247">
        <v>662.77</v>
      </c>
      <c r="J132" s="241"/>
      <c r="K132" s="247">
        <v>811.71</v>
      </c>
      <c r="L132" s="241"/>
      <c r="M132" s="247">
        <v>801.91</v>
      </c>
      <c r="N132" s="241"/>
      <c r="O132" s="247">
        <v>564.14</v>
      </c>
      <c r="P132" s="241"/>
      <c r="Q132" s="247">
        <v>847.27</v>
      </c>
      <c r="R132" s="241"/>
      <c r="S132" s="247">
        <v>786.34</v>
      </c>
      <c r="T132" s="241"/>
      <c r="U132" s="247">
        <v>566.63</v>
      </c>
      <c r="V132" s="241"/>
      <c r="W132" s="247">
        <v>864.09</v>
      </c>
      <c r="X132" s="241"/>
      <c r="Y132" s="247">
        <v>1232.6199999999999</v>
      </c>
      <c r="Z132" s="241"/>
      <c r="AA132" s="247">
        <v>817.86</v>
      </c>
      <c r="AB132" s="241"/>
      <c r="AC132" s="247">
        <v>723.07</v>
      </c>
      <c r="AD132" s="241"/>
      <c r="AE132" s="247">
        <f t="shared" si="14"/>
        <v>9209.5800000000017</v>
      </c>
      <c r="AF132" s="248">
        <f t="shared" si="15"/>
        <v>1.0156105691394917E-3</v>
      </c>
      <c r="AG132" s="249"/>
    </row>
    <row r="133" spans="1:33" outlineLevel="1">
      <c r="A133" s="244">
        <v>55143</v>
      </c>
      <c r="B133" s="244" t="s">
        <v>779</v>
      </c>
      <c r="C133" s="245"/>
      <c r="D133" s="246"/>
      <c r="E133" s="240"/>
      <c r="F133" s="241"/>
      <c r="G133" s="247">
        <v>0</v>
      </c>
      <c r="H133" s="241"/>
      <c r="I133" s="247">
        <v>0</v>
      </c>
      <c r="J133" s="241"/>
      <c r="K133" s="247">
        <v>0</v>
      </c>
      <c r="L133" s="241"/>
      <c r="M133" s="247">
        <v>38.159999999999997</v>
      </c>
      <c r="N133" s="241"/>
      <c r="O133" s="247">
        <v>0</v>
      </c>
      <c r="P133" s="241"/>
      <c r="Q133" s="247">
        <v>0</v>
      </c>
      <c r="R133" s="241"/>
      <c r="S133" s="247">
        <v>0</v>
      </c>
      <c r="T133" s="241"/>
      <c r="U133" s="247">
        <v>0</v>
      </c>
      <c r="V133" s="241"/>
      <c r="W133" s="247">
        <v>0</v>
      </c>
      <c r="X133" s="241"/>
      <c r="Y133" s="247">
        <v>0</v>
      </c>
      <c r="Z133" s="241"/>
      <c r="AA133" s="247">
        <v>0</v>
      </c>
      <c r="AB133" s="241"/>
      <c r="AC133" s="247">
        <v>0</v>
      </c>
      <c r="AD133" s="241"/>
      <c r="AE133" s="247">
        <f t="shared" si="14"/>
        <v>38.159999999999997</v>
      </c>
      <c r="AF133" s="248">
        <f t="shared" si="15"/>
        <v>4.2081940021546037E-6</v>
      </c>
      <c r="AG133" s="249"/>
    </row>
    <row r="134" spans="1:33" s="240" customFormat="1" ht="5.15" customHeight="1" outlineLevel="1">
      <c r="A134" s="245"/>
      <c r="B134" s="245"/>
      <c r="C134" s="245"/>
      <c r="D134" s="245"/>
      <c r="G134" s="255"/>
      <c r="H134" s="253"/>
      <c r="I134" s="255"/>
      <c r="J134" s="253"/>
      <c r="K134" s="255"/>
      <c r="L134" s="253"/>
      <c r="M134" s="255"/>
      <c r="N134" s="253"/>
      <c r="O134" s="255"/>
      <c r="P134" s="253"/>
      <c r="Q134" s="255"/>
      <c r="R134" s="253"/>
      <c r="S134" s="255"/>
      <c r="T134" s="253"/>
      <c r="U134" s="255"/>
      <c r="V134" s="253"/>
      <c r="W134" s="255"/>
      <c r="X134" s="253"/>
      <c r="Y134" s="255"/>
      <c r="Z134" s="253"/>
      <c r="AA134" s="255"/>
      <c r="AB134" s="253"/>
      <c r="AC134" s="255"/>
      <c r="AD134" s="253"/>
      <c r="AE134" s="255"/>
      <c r="AF134" s="243"/>
      <c r="AG134" s="222"/>
    </row>
    <row r="135" spans="1:33" s="240" customFormat="1" ht="15.5">
      <c r="C135" s="245" t="s">
        <v>780</v>
      </c>
      <c r="G135" s="252">
        <f>SUM(G129:G134)</f>
        <v>1670.94</v>
      </c>
      <c r="H135" s="253"/>
      <c r="I135" s="252">
        <f>SUM(I129:I134)</f>
        <v>2145.4899999999998</v>
      </c>
      <c r="J135" s="253"/>
      <c r="K135" s="252">
        <f>SUM(K129:K134)</f>
        <v>3318.16</v>
      </c>
      <c r="L135" s="253"/>
      <c r="M135" s="252">
        <f>SUM(M129:M134)</f>
        <v>1893.8500000000001</v>
      </c>
      <c r="N135" s="253"/>
      <c r="O135" s="252">
        <f>SUM(O129:O134)</f>
        <v>2475</v>
      </c>
      <c r="P135" s="253"/>
      <c r="Q135" s="252">
        <f>SUM(Q129:Q134)</f>
        <v>2309.9700000000003</v>
      </c>
      <c r="R135" s="253"/>
      <c r="S135" s="252">
        <f>SUM(S129:S134)</f>
        <v>2343.36</v>
      </c>
      <c r="T135" s="253"/>
      <c r="U135" s="252">
        <f>SUM(U129:U134)</f>
        <v>2577.8000000000002</v>
      </c>
      <c r="V135" s="253"/>
      <c r="W135" s="252">
        <f>SUM(W129:W134)</f>
        <v>4862.1000000000004</v>
      </c>
      <c r="X135" s="253"/>
      <c r="Y135" s="252">
        <f>SUM(Y129:Y134)</f>
        <v>2379.23</v>
      </c>
      <c r="Z135" s="253"/>
      <c r="AA135" s="252">
        <f>SUM(AA129:AA134)</f>
        <v>1638.99</v>
      </c>
      <c r="AB135" s="253"/>
      <c r="AC135" s="252">
        <f>SUM(AC129:AC134)</f>
        <v>1247.92</v>
      </c>
      <c r="AD135" s="253"/>
      <c r="AE135" s="252">
        <f>SUM(AE129:AE134)</f>
        <v>28862.810000000005</v>
      </c>
      <c r="AF135" s="248">
        <f>IF(AE$47=0,0,AE135/AE$47)</f>
        <v>3.1829220106742127E-3</v>
      </c>
      <c r="AG135" s="222"/>
    </row>
    <row r="136" spans="1:33" s="240" customFormat="1" ht="15.5" outlineLevel="1">
      <c r="G136" s="254"/>
      <c r="H136" s="253"/>
      <c r="I136" s="254"/>
      <c r="J136" s="253"/>
      <c r="K136" s="254"/>
      <c r="L136" s="253"/>
      <c r="M136" s="254"/>
      <c r="N136" s="253"/>
      <c r="O136" s="254"/>
      <c r="P136" s="253"/>
      <c r="Q136" s="254"/>
      <c r="R136" s="253"/>
      <c r="S136" s="254"/>
      <c r="T136" s="253"/>
      <c r="U136" s="254"/>
      <c r="V136" s="253"/>
      <c r="W136" s="254"/>
      <c r="X136" s="253"/>
      <c r="Y136" s="254"/>
      <c r="Z136" s="253"/>
      <c r="AA136" s="254"/>
      <c r="AB136" s="253"/>
      <c r="AC136" s="254"/>
      <c r="AD136" s="253"/>
      <c r="AE136" s="254"/>
      <c r="AF136" s="243"/>
      <c r="AG136" s="222"/>
    </row>
    <row r="137" spans="1:33" s="240" customFormat="1" ht="15.5" outlineLevel="1">
      <c r="G137" s="254"/>
      <c r="H137" s="253"/>
      <c r="I137" s="254"/>
      <c r="J137" s="253"/>
      <c r="K137" s="254"/>
      <c r="L137" s="253"/>
      <c r="M137" s="254"/>
      <c r="N137" s="253"/>
      <c r="O137" s="254"/>
      <c r="P137" s="253"/>
      <c r="Q137" s="254"/>
      <c r="R137" s="253"/>
      <c r="S137" s="254"/>
      <c r="T137" s="253"/>
      <c r="U137" s="254"/>
      <c r="V137" s="253"/>
      <c r="W137" s="254"/>
      <c r="X137" s="253"/>
      <c r="Y137" s="254"/>
      <c r="Z137" s="253"/>
      <c r="AA137" s="254"/>
      <c r="AB137" s="253"/>
      <c r="AC137" s="254"/>
      <c r="AD137" s="253"/>
      <c r="AE137" s="254"/>
      <c r="AF137" s="243"/>
      <c r="AG137" s="222"/>
    </row>
    <row r="138" spans="1:33" outlineLevel="1">
      <c r="A138" s="244">
        <v>56010</v>
      </c>
      <c r="B138" s="244" t="s">
        <v>761</v>
      </c>
      <c r="C138" s="245"/>
      <c r="D138" s="246"/>
      <c r="E138" s="240"/>
      <c r="F138" s="241"/>
      <c r="G138" s="247">
        <v>11097.59</v>
      </c>
      <c r="H138" s="241"/>
      <c r="I138" s="247">
        <v>827.54</v>
      </c>
      <c r="J138" s="241"/>
      <c r="K138" s="247">
        <v>6338.25</v>
      </c>
      <c r="L138" s="241"/>
      <c r="M138" s="247">
        <v>6574.79</v>
      </c>
      <c r="N138" s="241"/>
      <c r="O138" s="247">
        <v>6939.84</v>
      </c>
      <c r="P138" s="241"/>
      <c r="Q138" s="247">
        <v>7081.66</v>
      </c>
      <c r="R138" s="241"/>
      <c r="S138" s="247">
        <v>7358.63</v>
      </c>
      <c r="T138" s="241"/>
      <c r="U138" s="247">
        <v>6804.68</v>
      </c>
      <c r="V138" s="241"/>
      <c r="W138" s="247">
        <v>7081.66</v>
      </c>
      <c r="X138" s="241"/>
      <c r="Y138" s="247">
        <v>7012.21</v>
      </c>
      <c r="Z138" s="241"/>
      <c r="AA138" s="247">
        <v>6769.95</v>
      </c>
      <c r="AB138" s="241"/>
      <c r="AC138" s="247">
        <v>7762.9</v>
      </c>
      <c r="AD138" s="241"/>
      <c r="AE138" s="247">
        <f t="shared" ref="AE138:AE152" si="16">AC138+AA138+Y138+W138+U138+S138+Q138+O138+M138+K138+I138+G138</f>
        <v>81649.699999999968</v>
      </c>
      <c r="AF138" s="248">
        <f t="shared" ref="AF138:AF152" si="17">IF(AE$47=0,0,AE138/AE$47)</f>
        <v>9.0041346388292105E-3</v>
      </c>
      <c r="AG138" s="249"/>
    </row>
    <row r="139" spans="1:33" outlineLevel="1">
      <c r="A139" s="244">
        <v>56025</v>
      </c>
      <c r="B139" s="244" t="s">
        <v>747</v>
      </c>
      <c r="C139" s="245"/>
      <c r="D139" s="246"/>
      <c r="E139" s="240"/>
      <c r="F139" s="241"/>
      <c r="G139" s="247">
        <v>358.85</v>
      </c>
      <c r="H139" s="241"/>
      <c r="I139" s="247">
        <v>-307.33</v>
      </c>
      <c r="J139" s="241"/>
      <c r="K139" s="247">
        <v>0</v>
      </c>
      <c r="L139" s="241"/>
      <c r="M139" s="247">
        <v>0</v>
      </c>
      <c r="N139" s="241"/>
      <c r="O139" s="247">
        <v>0</v>
      </c>
      <c r="P139" s="241"/>
      <c r="Q139" s="247">
        <v>0</v>
      </c>
      <c r="R139" s="241"/>
      <c r="S139" s="247">
        <v>0</v>
      </c>
      <c r="T139" s="241"/>
      <c r="U139" s="247">
        <v>0</v>
      </c>
      <c r="V139" s="241"/>
      <c r="W139" s="247">
        <v>0</v>
      </c>
      <c r="X139" s="241"/>
      <c r="Y139" s="247">
        <v>0</v>
      </c>
      <c r="Z139" s="241"/>
      <c r="AA139" s="247">
        <v>0</v>
      </c>
      <c r="AB139" s="241"/>
      <c r="AC139" s="247">
        <v>0</v>
      </c>
      <c r="AD139" s="241"/>
      <c r="AE139" s="247">
        <f t="shared" si="16"/>
        <v>51.520000000000039</v>
      </c>
      <c r="AF139" s="248">
        <f t="shared" si="17"/>
        <v>5.6815030133911263E-6</v>
      </c>
      <c r="AG139" s="249"/>
    </row>
    <row r="140" spans="1:33" outlineLevel="1">
      <c r="A140" s="244">
        <v>56036</v>
      </c>
      <c r="B140" s="244" t="s">
        <v>749</v>
      </c>
      <c r="C140" s="245"/>
      <c r="D140" s="246"/>
      <c r="E140" s="240"/>
      <c r="F140" s="241"/>
      <c r="G140" s="247">
        <v>0</v>
      </c>
      <c r="H140" s="241"/>
      <c r="I140" s="247">
        <v>0</v>
      </c>
      <c r="J140" s="241"/>
      <c r="K140" s="247">
        <v>140</v>
      </c>
      <c r="L140" s="241"/>
      <c r="M140" s="247">
        <v>0</v>
      </c>
      <c r="N140" s="241"/>
      <c r="O140" s="247">
        <v>0</v>
      </c>
      <c r="P140" s="241"/>
      <c r="Q140" s="247">
        <v>0</v>
      </c>
      <c r="R140" s="241"/>
      <c r="S140" s="247">
        <v>0</v>
      </c>
      <c r="T140" s="241"/>
      <c r="U140" s="247">
        <v>0</v>
      </c>
      <c r="V140" s="241"/>
      <c r="W140" s="247">
        <v>0</v>
      </c>
      <c r="X140" s="241"/>
      <c r="Y140" s="247">
        <v>15</v>
      </c>
      <c r="Z140" s="241"/>
      <c r="AA140" s="247">
        <v>0</v>
      </c>
      <c r="AB140" s="241"/>
      <c r="AC140" s="247">
        <v>0</v>
      </c>
      <c r="AD140" s="241"/>
      <c r="AE140" s="247">
        <f t="shared" si="16"/>
        <v>155</v>
      </c>
      <c r="AF140" s="248">
        <f t="shared" si="17"/>
        <v>1.709303119323804E-5</v>
      </c>
      <c r="AG140" s="249"/>
    </row>
    <row r="141" spans="1:33" outlineLevel="1">
      <c r="A141" s="244">
        <v>56050</v>
      </c>
      <c r="B141" s="244" t="s">
        <v>751</v>
      </c>
      <c r="C141" s="245"/>
      <c r="D141" s="246"/>
      <c r="E141" s="240"/>
      <c r="F141" s="241"/>
      <c r="G141" s="247">
        <v>1048.3499999999999</v>
      </c>
      <c r="H141" s="241"/>
      <c r="I141" s="247">
        <v>-80.569999999999993</v>
      </c>
      <c r="J141" s="241"/>
      <c r="K141" s="247">
        <v>400.27</v>
      </c>
      <c r="L141" s="241"/>
      <c r="M141" s="247">
        <v>463.87</v>
      </c>
      <c r="N141" s="241"/>
      <c r="O141" s="247">
        <v>495.17</v>
      </c>
      <c r="P141" s="241"/>
      <c r="Q141" s="247">
        <v>498.14</v>
      </c>
      <c r="R141" s="241"/>
      <c r="S141" s="247">
        <v>496.76</v>
      </c>
      <c r="T141" s="241"/>
      <c r="U141" s="247">
        <v>440.24</v>
      </c>
      <c r="V141" s="241"/>
      <c r="W141" s="247">
        <v>281.89999999999998</v>
      </c>
      <c r="X141" s="241"/>
      <c r="Y141" s="247">
        <v>334.6</v>
      </c>
      <c r="Z141" s="241"/>
      <c r="AA141" s="247">
        <v>314</v>
      </c>
      <c r="AB141" s="241"/>
      <c r="AC141" s="247">
        <v>357.32</v>
      </c>
      <c r="AD141" s="241"/>
      <c r="AE141" s="247">
        <f t="shared" si="16"/>
        <v>5050.0499999999993</v>
      </c>
      <c r="AF141" s="248">
        <f t="shared" si="17"/>
        <v>5.5690749791878556E-4</v>
      </c>
      <c r="AG141" s="249"/>
    </row>
    <row r="142" spans="1:33" outlineLevel="1">
      <c r="A142" s="244">
        <v>56060</v>
      </c>
      <c r="B142" s="244" t="s">
        <v>752</v>
      </c>
      <c r="C142" s="245"/>
      <c r="D142" s="246"/>
      <c r="E142" s="240"/>
      <c r="F142" s="241"/>
      <c r="G142" s="247">
        <v>1781.24</v>
      </c>
      <c r="H142" s="241"/>
      <c r="I142" s="247">
        <v>-174.45</v>
      </c>
      <c r="J142" s="241"/>
      <c r="K142" s="247">
        <v>672.92</v>
      </c>
      <c r="L142" s="241"/>
      <c r="M142" s="247">
        <v>735.73</v>
      </c>
      <c r="N142" s="241"/>
      <c r="O142" s="247">
        <v>879.28</v>
      </c>
      <c r="P142" s="241"/>
      <c r="Q142" s="247">
        <v>873.18</v>
      </c>
      <c r="R142" s="241"/>
      <c r="S142" s="247">
        <v>873.19</v>
      </c>
      <c r="T142" s="241"/>
      <c r="U142" s="247">
        <v>873.18</v>
      </c>
      <c r="V142" s="241"/>
      <c r="W142" s="247">
        <v>683.51</v>
      </c>
      <c r="X142" s="241"/>
      <c r="Y142" s="247">
        <v>749.37</v>
      </c>
      <c r="Z142" s="241"/>
      <c r="AA142" s="247">
        <v>749.37</v>
      </c>
      <c r="AB142" s="241"/>
      <c r="AC142" s="247">
        <v>749.37</v>
      </c>
      <c r="AD142" s="241"/>
      <c r="AE142" s="247">
        <f t="shared" si="16"/>
        <v>9445.8900000000012</v>
      </c>
      <c r="AF142" s="248">
        <f t="shared" si="17"/>
        <v>1.0416702736638407E-3</v>
      </c>
      <c r="AG142" s="249"/>
    </row>
    <row r="143" spans="1:33" outlineLevel="1">
      <c r="A143" s="244">
        <v>56065</v>
      </c>
      <c r="B143" s="244" t="s">
        <v>753</v>
      </c>
      <c r="C143" s="245"/>
      <c r="D143" s="246"/>
      <c r="E143" s="240"/>
      <c r="F143" s="241"/>
      <c r="G143" s="247">
        <v>206.33</v>
      </c>
      <c r="H143" s="241"/>
      <c r="I143" s="247">
        <v>725.97</v>
      </c>
      <c r="J143" s="241"/>
      <c r="K143" s="247">
        <v>345.2</v>
      </c>
      <c r="L143" s="241"/>
      <c r="M143" s="247">
        <v>345.23</v>
      </c>
      <c r="N143" s="241"/>
      <c r="O143" s="247">
        <v>369.92</v>
      </c>
      <c r="P143" s="241"/>
      <c r="Q143" s="247">
        <v>36.54</v>
      </c>
      <c r="R143" s="241"/>
      <c r="S143" s="247">
        <v>-609.19000000000005</v>
      </c>
      <c r="T143" s="241"/>
      <c r="U143" s="247">
        <v>369.91</v>
      </c>
      <c r="V143" s="241"/>
      <c r="W143" s="247">
        <v>357.99</v>
      </c>
      <c r="X143" s="241"/>
      <c r="Y143" s="247">
        <v>274</v>
      </c>
      <c r="Z143" s="241"/>
      <c r="AA143" s="247">
        <v>103.23</v>
      </c>
      <c r="AB143" s="241"/>
      <c r="AC143" s="247">
        <v>330.96</v>
      </c>
      <c r="AD143" s="241"/>
      <c r="AE143" s="247">
        <f t="shared" si="16"/>
        <v>2856.09</v>
      </c>
      <c r="AF143" s="248">
        <f t="shared" si="17"/>
        <v>3.1496280942384025E-4</v>
      </c>
      <c r="AG143" s="249"/>
    </row>
    <row r="144" spans="1:33" outlineLevel="1">
      <c r="A144" s="244">
        <v>56086</v>
      </c>
      <c r="B144" s="244" t="s">
        <v>755</v>
      </c>
      <c r="C144" s="245"/>
      <c r="D144" s="246"/>
      <c r="E144" s="240"/>
      <c r="F144" s="241"/>
      <c r="G144" s="247">
        <v>1204</v>
      </c>
      <c r="H144" s="241"/>
      <c r="I144" s="247">
        <v>-1071.02</v>
      </c>
      <c r="J144" s="241"/>
      <c r="K144" s="247">
        <v>0</v>
      </c>
      <c r="L144" s="241"/>
      <c r="M144" s="247">
        <v>373.87</v>
      </c>
      <c r="N144" s="241"/>
      <c r="O144" s="247">
        <v>217.87</v>
      </c>
      <c r="P144" s="241"/>
      <c r="Q144" s="247">
        <v>75.36</v>
      </c>
      <c r="R144" s="241"/>
      <c r="S144" s="247">
        <v>45.6</v>
      </c>
      <c r="T144" s="241"/>
      <c r="U144" s="247">
        <v>70.930000000000007</v>
      </c>
      <c r="V144" s="241"/>
      <c r="W144" s="247">
        <v>0</v>
      </c>
      <c r="X144" s="241"/>
      <c r="Y144" s="247">
        <v>0</v>
      </c>
      <c r="Z144" s="241"/>
      <c r="AA144" s="247">
        <v>0</v>
      </c>
      <c r="AB144" s="241"/>
      <c r="AC144" s="247">
        <v>0</v>
      </c>
      <c r="AD144" s="241"/>
      <c r="AE144" s="247">
        <f t="shared" si="16"/>
        <v>916.61</v>
      </c>
      <c r="AF144" s="248">
        <f t="shared" si="17"/>
        <v>1.0108156981957368E-4</v>
      </c>
      <c r="AG144" s="249"/>
    </row>
    <row r="145" spans="1:33" outlineLevel="1">
      <c r="A145" s="244">
        <v>56090</v>
      </c>
      <c r="B145" s="244" t="s">
        <v>756</v>
      </c>
      <c r="C145" s="245"/>
      <c r="D145" s="246"/>
      <c r="E145" s="240"/>
      <c r="F145" s="241"/>
      <c r="G145" s="247">
        <v>397.04</v>
      </c>
      <c r="H145" s="241"/>
      <c r="I145" s="247">
        <v>-397.04</v>
      </c>
      <c r="J145" s="241"/>
      <c r="K145" s="247">
        <v>0</v>
      </c>
      <c r="L145" s="241"/>
      <c r="M145" s="247">
        <v>0</v>
      </c>
      <c r="N145" s="241"/>
      <c r="O145" s="247">
        <v>0</v>
      </c>
      <c r="P145" s="241"/>
      <c r="Q145" s="247">
        <v>0</v>
      </c>
      <c r="R145" s="241"/>
      <c r="S145" s="247">
        <v>0</v>
      </c>
      <c r="T145" s="241"/>
      <c r="U145" s="247">
        <v>0</v>
      </c>
      <c r="V145" s="241"/>
      <c r="W145" s="247">
        <v>196</v>
      </c>
      <c r="X145" s="241"/>
      <c r="Y145" s="247">
        <v>0</v>
      </c>
      <c r="Z145" s="241"/>
      <c r="AA145" s="247">
        <v>0</v>
      </c>
      <c r="AB145" s="241"/>
      <c r="AC145" s="247">
        <v>0</v>
      </c>
      <c r="AD145" s="241"/>
      <c r="AE145" s="247">
        <f t="shared" si="16"/>
        <v>196</v>
      </c>
      <c r="AF145" s="248">
        <f t="shared" si="17"/>
        <v>2.1614413637901007E-5</v>
      </c>
      <c r="AG145" s="249"/>
    </row>
    <row r="146" spans="1:33" outlineLevel="1">
      <c r="A146" s="244">
        <v>56095</v>
      </c>
      <c r="B146" s="244" t="s">
        <v>781</v>
      </c>
      <c r="C146" s="245"/>
      <c r="D146" s="246"/>
      <c r="E146" s="240"/>
      <c r="F146" s="241"/>
      <c r="G146" s="247">
        <v>297.86</v>
      </c>
      <c r="H146" s="241"/>
      <c r="I146" s="247">
        <v>568.08000000000004</v>
      </c>
      <c r="J146" s="241"/>
      <c r="K146" s="247">
        <v>777.57</v>
      </c>
      <c r="L146" s="241"/>
      <c r="M146" s="247">
        <v>435.03</v>
      </c>
      <c r="N146" s="241"/>
      <c r="O146" s="247">
        <v>255.62</v>
      </c>
      <c r="P146" s="241"/>
      <c r="Q146" s="247">
        <v>1710.05</v>
      </c>
      <c r="R146" s="241"/>
      <c r="S146" s="247">
        <v>1441.01</v>
      </c>
      <c r="T146" s="241"/>
      <c r="U146" s="247">
        <v>1029.97</v>
      </c>
      <c r="V146" s="241"/>
      <c r="W146" s="247">
        <v>0</v>
      </c>
      <c r="X146" s="241"/>
      <c r="Y146" s="247">
        <v>168.8</v>
      </c>
      <c r="Z146" s="241"/>
      <c r="AA146" s="247">
        <v>92.42</v>
      </c>
      <c r="AB146" s="241"/>
      <c r="AC146" s="247">
        <v>280.35000000000002</v>
      </c>
      <c r="AD146" s="241"/>
      <c r="AE146" s="247">
        <f t="shared" si="16"/>
        <v>7056.7599999999993</v>
      </c>
      <c r="AF146" s="248">
        <f t="shared" si="17"/>
        <v>7.7820270195609338E-4</v>
      </c>
      <c r="AG146" s="249"/>
    </row>
    <row r="147" spans="1:33" outlineLevel="1">
      <c r="A147" s="244">
        <v>56115</v>
      </c>
      <c r="B147" s="244" t="s">
        <v>757</v>
      </c>
      <c r="C147" s="245"/>
      <c r="D147" s="246"/>
      <c r="E147" s="240"/>
      <c r="F147" s="241"/>
      <c r="G147" s="247">
        <v>209.18</v>
      </c>
      <c r="H147" s="241"/>
      <c r="I147" s="247">
        <v>54.03</v>
      </c>
      <c r="J147" s="241"/>
      <c r="K147" s="247">
        <v>177.02</v>
      </c>
      <c r="L147" s="241"/>
      <c r="M147" s="247">
        <v>118.01</v>
      </c>
      <c r="N147" s="241"/>
      <c r="O147" s="247">
        <v>118.01</v>
      </c>
      <c r="P147" s="241"/>
      <c r="Q147" s="247">
        <v>118.01</v>
      </c>
      <c r="R147" s="241"/>
      <c r="S147" s="247">
        <v>118.01</v>
      </c>
      <c r="T147" s="241"/>
      <c r="U147" s="247">
        <v>118.01</v>
      </c>
      <c r="V147" s="241"/>
      <c r="W147" s="247">
        <v>156.18</v>
      </c>
      <c r="X147" s="241"/>
      <c r="Y147" s="247">
        <v>97.17</v>
      </c>
      <c r="Z147" s="241"/>
      <c r="AA147" s="247">
        <v>97.18</v>
      </c>
      <c r="AB147" s="241"/>
      <c r="AC147" s="247">
        <v>100</v>
      </c>
      <c r="AD147" s="241"/>
      <c r="AE147" s="247">
        <f t="shared" si="16"/>
        <v>1480.8100000000002</v>
      </c>
      <c r="AF147" s="248">
        <f t="shared" si="17"/>
        <v>1.6330020336296016E-4</v>
      </c>
      <c r="AG147" s="249"/>
    </row>
    <row r="148" spans="1:33" outlineLevel="1">
      <c r="A148" s="244">
        <v>56125</v>
      </c>
      <c r="B148" s="244" t="s">
        <v>763</v>
      </c>
      <c r="C148" s="245"/>
      <c r="D148" s="246"/>
      <c r="E148" s="240"/>
      <c r="F148" s="241"/>
      <c r="G148" s="247">
        <v>566.26</v>
      </c>
      <c r="H148" s="241"/>
      <c r="I148" s="247">
        <v>991.42</v>
      </c>
      <c r="J148" s="241"/>
      <c r="K148" s="247">
        <v>371.59</v>
      </c>
      <c r="L148" s="241"/>
      <c r="M148" s="247">
        <v>898.52</v>
      </c>
      <c r="N148" s="241"/>
      <c r="O148" s="247">
        <v>636.86</v>
      </c>
      <c r="P148" s="241"/>
      <c r="Q148" s="247">
        <v>774.33</v>
      </c>
      <c r="R148" s="241"/>
      <c r="S148" s="247">
        <v>720.64</v>
      </c>
      <c r="T148" s="241"/>
      <c r="U148" s="247">
        <v>765.63</v>
      </c>
      <c r="V148" s="241"/>
      <c r="W148" s="247">
        <v>455.78</v>
      </c>
      <c r="X148" s="241"/>
      <c r="Y148" s="247">
        <v>1102.9000000000001</v>
      </c>
      <c r="Z148" s="241"/>
      <c r="AA148" s="247">
        <v>861.08</v>
      </c>
      <c r="AB148" s="241"/>
      <c r="AC148" s="247">
        <v>742.08</v>
      </c>
      <c r="AD148" s="241"/>
      <c r="AE148" s="247">
        <f t="shared" si="16"/>
        <v>8887.09</v>
      </c>
      <c r="AF148" s="248">
        <f t="shared" si="17"/>
        <v>9.8004713927170241E-4</v>
      </c>
      <c r="AG148" s="249"/>
    </row>
    <row r="149" spans="1:33" outlineLevel="1">
      <c r="A149" s="244">
        <v>56165</v>
      </c>
      <c r="B149" s="244" t="s">
        <v>771</v>
      </c>
      <c r="C149" s="245"/>
      <c r="D149" s="246"/>
      <c r="E149" s="240"/>
      <c r="F149" s="241"/>
      <c r="G149" s="247">
        <v>0</v>
      </c>
      <c r="H149" s="241"/>
      <c r="I149" s="247">
        <v>653.03</v>
      </c>
      <c r="J149" s="241"/>
      <c r="K149" s="247">
        <v>31.33</v>
      </c>
      <c r="L149" s="241"/>
      <c r="M149" s="247">
        <v>31.33</v>
      </c>
      <c r="N149" s="241"/>
      <c r="O149" s="247">
        <v>31.33</v>
      </c>
      <c r="P149" s="241"/>
      <c r="Q149" s="247">
        <v>31.33</v>
      </c>
      <c r="R149" s="241"/>
      <c r="S149" s="247">
        <v>31.35</v>
      </c>
      <c r="T149" s="241"/>
      <c r="U149" s="247">
        <v>31.47</v>
      </c>
      <c r="V149" s="241"/>
      <c r="W149" s="247">
        <v>31.47</v>
      </c>
      <c r="X149" s="241"/>
      <c r="Y149" s="247">
        <v>0</v>
      </c>
      <c r="Z149" s="241"/>
      <c r="AA149" s="247">
        <v>0</v>
      </c>
      <c r="AB149" s="241"/>
      <c r="AC149" s="247">
        <v>0</v>
      </c>
      <c r="AD149" s="241"/>
      <c r="AE149" s="247">
        <f t="shared" si="16"/>
        <v>872.63999999999987</v>
      </c>
      <c r="AF149" s="248">
        <f t="shared" si="17"/>
        <v>9.6232662841724145E-5</v>
      </c>
      <c r="AG149" s="249"/>
    </row>
    <row r="150" spans="1:33" outlineLevel="1">
      <c r="A150" s="244">
        <v>56200</v>
      </c>
      <c r="B150" s="244" t="s">
        <v>775</v>
      </c>
      <c r="C150" s="245"/>
      <c r="D150" s="246"/>
      <c r="E150" s="240"/>
      <c r="F150" s="241"/>
      <c r="G150" s="247">
        <v>0</v>
      </c>
      <c r="H150" s="241"/>
      <c r="I150" s="247">
        <v>0</v>
      </c>
      <c r="J150" s="241"/>
      <c r="K150" s="247">
        <v>60</v>
      </c>
      <c r="L150" s="241"/>
      <c r="M150" s="247">
        <v>0</v>
      </c>
      <c r="N150" s="241"/>
      <c r="O150" s="247">
        <v>-42.78</v>
      </c>
      <c r="P150" s="241"/>
      <c r="Q150" s="247">
        <v>220.12</v>
      </c>
      <c r="R150" s="241"/>
      <c r="S150" s="247">
        <v>0</v>
      </c>
      <c r="T150" s="241"/>
      <c r="U150" s="247">
        <v>0</v>
      </c>
      <c r="V150" s="241"/>
      <c r="W150" s="247">
        <v>0</v>
      </c>
      <c r="X150" s="241"/>
      <c r="Y150" s="247">
        <v>0</v>
      </c>
      <c r="Z150" s="241"/>
      <c r="AA150" s="247">
        <v>0</v>
      </c>
      <c r="AB150" s="241"/>
      <c r="AC150" s="247">
        <v>0</v>
      </c>
      <c r="AD150" s="241"/>
      <c r="AE150" s="247">
        <f t="shared" si="16"/>
        <v>237.34</v>
      </c>
      <c r="AF150" s="248">
        <f t="shared" si="17"/>
        <v>2.6173290473568496E-5</v>
      </c>
      <c r="AG150" s="249"/>
    </row>
    <row r="151" spans="1:33" outlineLevel="1">
      <c r="A151" s="244">
        <v>56201</v>
      </c>
      <c r="B151" s="244" t="s">
        <v>783</v>
      </c>
      <c r="C151" s="245"/>
      <c r="D151" s="246"/>
      <c r="E151" s="240"/>
      <c r="F151" s="241"/>
      <c r="G151" s="247">
        <v>90</v>
      </c>
      <c r="H151" s="241"/>
      <c r="I151" s="247">
        <v>-54.23</v>
      </c>
      <c r="J151" s="241"/>
      <c r="K151" s="247">
        <v>127.04</v>
      </c>
      <c r="L151" s="241"/>
      <c r="M151" s="247">
        <v>95.29</v>
      </c>
      <c r="N151" s="241"/>
      <c r="O151" s="247">
        <v>-11.77</v>
      </c>
      <c r="P151" s="241"/>
      <c r="Q151" s="247">
        <v>9.91</v>
      </c>
      <c r="R151" s="241"/>
      <c r="S151" s="247">
        <v>14.35</v>
      </c>
      <c r="T151" s="241"/>
      <c r="U151" s="247">
        <v>60.47</v>
      </c>
      <c r="V151" s="241"/>
      <c r="W151" s="247">
        <v>8.33</v>
      </c>
      <c r="X151" s="241"/>
      <c r="Y151" s="247">
        <v>127.02</v>
      </c>
      <c r="Z151" s="241"/>
      <c r="AA151" s="247">
        <v>116.91</v>
      </c>
      <c r="AB151" s="241"/>
      <c r="AC151" s="247">
        <v>5.71</v>
      </c>
      <c r="AD151" s="241"/>
      <c r="AE151" s="247">
        <f t="shared" si="16"/>
        <v>589.03</v>
      </c>
      <c r="AF151" s="248">
        <f t="shared" si="17"/>
        <v>6.4956826862922593E-5</v>
      </c>
      <c r="AG151" s="249"/>
    </row>
    <row r="152" spans="1:33" outlineLevel="1">
      <c r="A152" s="244">
        <v>56210</v>
      </c>
      <c r="B152" s="244" t="s">
        <v>776</v>
      </c>
      <c r="C152" s="245"/>
      <c r="D152" s="246"/>
      <c r="E152" s="240"/>
      <c r="F152" s="241"/>
      <c r="G152" s="247">
        <v>0</v>
      </c>
      <c r="H152" s="241"/>
      <c r="I152" s="247">
        <v>2.35</v>
      </c>
      <c r="J152" s="241"/>
      <c r="K152" s="247">
        <v>0</v>
      </c>
      <c r="L152" s="241"/>
      <c r="M152" s="247">
        <v>0</v>
      </c>
      <c r="N152" s="241"/>
      <c r="O152" s="247">
        <v>0</v>
      </c>
      <c r="P152" s="241"/>
      <c r="Q152" s="247">
        <v>0</v>
      </c>
      <c r="R152" s="241"/>
      <c r="S152" s="247">
        <v>0</v>
      </c>
      <c r="T152" s="241"/>
      <c r="U152" s="247">
        <v>0</v>
      </c>
      <c r="V152" s="241"/>
      <c r="W152" s="247">
        <v>0</v>
      </c>
      <c r="X152" s="241"/>
      <c r="Y152" s="247">
        <v>0</v>
      </c>
      <c r="Z152" s="241"/>
      <c r="AA152" s="247">
        <v>0</v>
      </c>
      <c r="AB152" s="241"/>
      <c r="AC152" s="247">
        <v>110.31</v>
      </c>
      <c r="AD152" s="241"/>
      <c r="AE152" s="247">
        <f t="shared" si="16"/>
        <v>112.66</v>
      </c>
      <c r="AF152" s="248">
        <f t="shared" si="17"/>
        <v>1.2423876736969018E-5</v>
      </c>
      <c r="AG152" s="249"/>
    </row>
    <row r="153" spans="1:33" s="240" customFormat="1" ht="5.15" customHeight="1" outlineLevel="1">
      <c r="A153" s="245"/>
      <c r="B153" s="245"/>
      <c r="C153" s="245"/>
      <c r="D153" s="245"/>
      <c r="G153" s="255"/>
      <c r="H153" s="253"/>
      <c r="I153" s="255"/>
      <c r="J153" s="253"/>
      <c r="K153" s="255"/>
      <c r="L153" s="253"/>
      <c r="M153" s="255"/>
      <c r="N153" s="253"/>
      <c r="O153" s="255"/>
      <c r="P153" s="253"/>
      <c r="Q153" s="255"/>
      <c r="R153" s="253"/>
      <c r="S153" s="255"/>
      <c r="T153" s="253"/>
      <c r="U153" s="255"/>
      <c r="V153" s="253"/>
      <c r="W153" s="255"/>
      <c r="X153" s="253"/>
      <c r="Y153" s="255"/>
      <c r="Z153" s="253"/>
      <c r="AA153" s="255"/>
      <c r="AB153" s="253"/>
      <c r="AC153" s="255"/>
      <c r="AD153" s="253"/>
      <c r="AE153" s="255"/>
      <c r="AF153" s="243"/>
      <c r="AG153" s="222"/>
    </row>
    <row r="154" spans="1:33" s="240" customFormat="1" ht="15.5">
      <c r="C154" s="245" t="s">
        <v>784</v>
      </c>
      <c r="G154" s="252">
        <f>SUM(G137:G153)</f>
        <v>17256.7</v>
      </c>
      <c r="H154" s="253"/>
      <c r="I154" s="252">
        <f>SUM(I137:I153)</f>
        <v>1737.78</v>
      </c>
      <c r="J154" s="253"/>
      <c r="K154" s="252">
        <f>SUM(K137:K153)</f>
        <v>9441.1900000000023</v>
      </c>
      <c r="L154" s="253"/>
      <c r="M154" s="252">
        <f>SUM(M137:M153)</f>
        <v>10071.670000000002</v>
      </c>
      <c r="N154" s="253"/>
      <c r="O154" s="252">
        <f>SUM(O137:O153)</f>
        <v>9889.3500000000022</v>
      </c>
      <c r="P154" s="253"/>
      <c r="Q154" s="252">
        <f>SUM(Q137:Q153)</f>
        <v>11428.630000000001</v>
      </c>
      <c r="R154" s="253"/>
      <c r="S154" s="252">
        <f>SUM(S137:S153)</f>
        <v>10490.35</v>
      </c>
      <c r="T154" s="253"/>
      <c r="U154" s="252">
        <f>SUM(U137:U153)</f>
        <v>10564.489999999998</v>
      </c>
      <c r="V154" s="253"/>
      <c r="W154" s="252">
        <f>SUM(W137:W153)</f>
        <v>9252.82</v>
      </c>
      <c r="X154" s="253"/>
      <c r="Y154" s="252">
        <f>SUM(Y137:Y153)</f>
        <v>9881.07</v>
      </c>
      <c r="Z154" s="253"/>
      <c r="AA154" s="252">
        <f>SUM(AA137:AA153)</f>
        <v>9104.14</v>
      </c>
      <c r="AB154" s="253"/>
      <c r="AC154" s="252">
        <f>SUM(AC137:AC153)</f>
        <v>10438.999999999998</v>
      </c>
      <c r="AD154" s="253"/>
      <c r="AE154" s="252">
        <f>SUM(AE137:AE153)</f>
        <v>119557.18999999996</v>
      </c>
      <c r="AF154" s="248">
        <f>IF(AE$47=0,0,AE154/AE$47)</f>
        <v>1.318448243900572E-2</v>
      </c>
      <c r="AG154" s="222"/>
    </row>
    <row r="155" spans="1:33" s="240" customFormat="1" ht="15.5" outlineLevel="1">
      <c r="G155" s="254"/>
      <c r="H155" s="253"/>
      <c r="I155" s="254"/>
      <c r="J155" s="253"/>
      <c r="K155" s="254"/>
      <c r="L155" s="253"/>
      <c r="M155" s="254"/>
      <c r="N155" s="253"/>
      <c r="O155" s="254"/>
      <c r="P155" s="253"/>
      <c r="Q155" s="254"/>
      <c r="R155" s="253"/>
      <c r="S155" s="254"/>
      <c r="T155" s="253"/>
      <c r="U155" s="254"/>
      <c r="V155" s="253"/>
      <c r="W155" s="254"/>
      <c r="X155" s="253"/>
      <c r="Y155" s="254"/>
      <c r="Z155" s="253"/>
      <c r="AA155" s="254"/>
      <c r="AB155" s="253"/>
      <c r="AC155" s="254"/>
      <c r="AD155" s="253"/>
      <c r="AE155" s="254"/>
      <c r="AF155" s="243"/>
      <c r="AG155" s="222"/>
    </row>
    <row r="156" spans="1:33" s="240" customFormat="1" ht="15.5" outlineLevel="1">
      <c r="G156" s="254"/>
      <c r="H156" s="253"/>
      <c r="I156" s="254"/>
      <c r="J156" s="253"/>
      <c r="K156" s="254"/>
      <c r="L156" s="253"/>
      <c r="M156" s="254"/>
      <c r="N156" s="253"/>
      <c r="O156" s="254"/>
      <c r="P156" s="253"/>
      <c r="Q156" s="254"/>
      <c r="R156" s="253"/>
      <c r="S156" s="254"/>
      <c r="T156" s="253"/>
      <c r="U156" s="254"/>
      <c r="V156" s="253"/>
      <c r="W156" s="254"/>
      <c r="X156" s="253"/>
      <c r="Y156" s="254"/>
      <c r="Z156" s="253"/>
      <c r="AA156" s="254"/>
      <c r="AB156" s="253"/>
      <c r="AC156" s="254"/>
      <c r="AD156" s="253"/>
      <c r="AE156" s="254"/>
      <c r="AF156" s="243"/>
      <c r="AG156" s="222"/>
    </row>
    <row r="157" spans="1:33" outlineLevel="1">
      <c r="A157" s="244">
        <v>57125</v>
      </c>
      <c r="B157" s="244" t="s">
        <v>763</v>
      </c>
      <c r="C157" s="245"/>
      <c r="D157" s="246"/>
      <c r="E157" s="240"/>
      <c r="F157" s="241"/>
      <c r="G157" s="247">
        <v>32.31</v>
      </c>
      <c r="H157" s="241"/>
      <c r="I157" s="247">
        <v>1.81</v>
      </c>
      <c r="J157" s="241"/>
      <c r="K157" s="247">
        <v>0</v>
      </c>
      <c r="L157" s="241"/>
      <c r="M157" s="247">
        <v>78.81</v>
      </c>
      <c r="N157" s="241"/>
      <c r="O157" s="247">
        <v>115.48</v>
      </c>
      <c r="P157" s="241"/>
      <c r="Q157" s="247">
        <v>264.31</v>
      </c>
      <c r="R157" s="241"/>
      <c r="S157" s="247">
        <v>1130.75</v>
      </c>
      <c r="T157" s="241"/>
      <c r="U157" s="247">
        <v>858.56</v>
      </c>
      <c r="V157" s="241"/>
      <c r="W157" s="247">
        <v>639.5</v>
      </c>
      <c r="X157" s="241"/>
      <c r="Y157" s="247">
        <v>1013.9</v>
      </c>
      <c r="Z157" s="241"/>
      <c r="AA157" s="247">
        <v>253.57</v>
      </c>
      <c r="AB157" s="241"/>
      <c r="AC157" s="247">
        <v>974.41</v>
      </c>
      <c r="AD157" s="241"/>
      <c r="AE157" s="247">
        <f t="shared" ref="AE157:AE166" si="18">AC157+AA157+Y157+W157+U157+S157+Q157+O157+M157+K157+I157+G157</f>
        <v>5363.4100000000017</v>
      </c>
      <c r="AF157" s="248">
        <f t="shared" ref="AF157:AF166" si="19">IF(AE$47=0,0,AE157/AE$47)</f>
        <v>5.9146409311048307E-4</v>
      </c>
      <c r="AG157" s="249"/>
    </row>
    <row r="158" spans="1:33" outlineLevel="1">
      <c r="A158" s="244">
        <v>57135</v>
      </c>
      <c r="B158" s="244" t="s">
        <v>785</v>
      </c>
      <c r="C158" s="245"/>
      <c r="D158" s="246"/>
      <c r="E158" s="240"/>
      <c r="F158" s="241"/>
      <c r="G158" s="247">
        <v>0</v>
      </c>
      <c r="H158" s="241"/>
      <c r="I158" s="247">
        <v>0</v>
      </c>
      <c r="J158" s="241"/>
      <c r="K158" s="247">
        <v>0</v>
      </c>
      <c r="L158" s="241"/>
      <c r="M158" s="247">
        <v>47.81</v>
      </c>
      <c r="N158" s="241"/>
      <c r="O158" s="247">
        <v>0</v>
      </c>
      <c r="P158" s="241"/>
      <c r="Q158" s="247">
        <v>0</v>
      </c>
      <c r="R158" s="241"/>
      <c r="S158" s="247">
        <v>0</v>
      </c>
      <c r="T158" s="241"/>
      <c r="U158" s="247">
        <v>0</v>
      </c>
      <c r="V158" s="241"/>
      <c r="W158" s="247">
        <v>0</v>
      </c>
      <c r="X158" s="241"/>
      <c r="Y158" s="247">
        <v>0</v>
      </c>
      <c r="Z158" s="241"/>
      <c r="AA158" s="247">
        <v>0</v>
      </c>
      <c r="AB158" s="241"/>
      <c r="AC158" s="247">
        <v>0</v>
      </c>
      <c r="AD158" s="241"/>
      <c r="AE158" s="247">
        <f t="shared" si="18"/>
        <v>47.81</v>
      </c>
      <c r="AF158" s="248">
        <f t="shared" si="19"/>
        <v>5.2723730409594242E-6</v>
      </c>
      <c r="AG158" s="249"/>
    </row>
    <row r="159" spans="1:33" outlineLevel="1">
      <c r="A159" s="244">
        <v>57147</v>
      </c>
      <c r="B159" s="244" t="s">
        <v>786</v>
      </c>
      <c r="C159" s="245"/>
      <c r="D159" s="246"/>
      <c r="E159" s="240"/>
      <c r="F159" s="241"/>
      <c r="G159" s="247">
        <v>700.42</v>
      </c>
      <c r="H159" s="241"/>
      <c r="I159" s="247">
        <v>13184.01</v>
      </c>
      <c r="J159" s="241"/>
      <c r="K159" s="247">
        <v>6807.3</v>
      </c>
      <c r="L159" s="241"/>
      <c r="M159" s="247">
        <v>8893.7099999999991</v>
      </c>
      <c r="N159" s="241"/>
      <c r="O159" s="247">
        <v>4624.5600000000004</v>
      </c>
      <c r="P159" s="241"/>
      <c r="Q159" s="247">
        <v>4413.75</v>
      </c>
      <c r="R159" s="241"/>
      <c r="S159" s="247">
        <v>5782.32</v>
      </c>
      <c r="T159" s="241"/>
      <c r="U159" s="247">
        <v>2589.86</v>
      </c>
      <c r="V159" s="241"/>
      <c r="W159" s="247">
        <v>6908.11</v>
      </c>
      <c r="X159" s="241"/>
      <c r="Y159" s="247">
        <v>3426.08</v>
      </c>
      <c r="Z159" s="241"/>
      <c r="AA159" s="247">
        <v>6166.55</v>
      </c>
      <c r="AB159" s="241"/>
      <c r="AC159" s="247">
        <v>8807.34</v>
      </c>
      <c r="AD159" s="241"/>
      <c r="AE159" s="247">
        <f t="shared" si="18"/>
        <v>72304.009999999995</v>
      </c>
      <c r="AF159" s="248">
        <f t="shared" si="19"/>
        <v>7.9735141827496463E-3</v>
      </c>
      <c r="AG159" s="249"/>
    </row>
    <row r="160" spans="1:33" outlineLevel="1">
      <c r="A160" s="244">
        <v>57170</v>
      </c>
      <c r="B160" s="244" t="s">
        <v>772</v>
      </c>
      <c r="C160" s="245"/>
      <c r="D160" s="246"/>
      <c r="E160" s="240"/>
      <c r="F160" s="241"/>
      <c r="G160" s="247">
        <v>0</v>
      </c>
      <c r="H160" s="241"/>
      <c r="I160" s="247">
        <v>1200</v>
      </c>
      <c r="J160" s="241"/>
      <c r="K160" s="247">
        <v>0</v>
      </c>
      <c r="L160" s="241"/>
      <c r="M160" s="247">
        <v>0</v>
      </c>
      <c r="N160" s="241"/>
      <c r="O160" s="247">
        <v>0</v>
      </c>
      <c r="P160" s="241"/>
      <c r="Q160" s="247">
        <v>0</v>
      </c>
      <c r="R160" s="241"/>
      <c r="S160" s="247">
        <v>0</v>
      </c>
      <c r="T160" s="241"/>
      <c r="U160" s="247">
        <v>0</v>
      </c>
      <c r="V160" s="241"/>
      <c r="W160" s="247">
        <v>0</v>
      </c>
      <c r="X160" s="241"/>
      <c r="Y160" s="247">
        <v>0</v>
      </c>
      <c r="Z160" s="241"/>
      <c r="AA160" s="247">
        <v>0</v>
      </c>
      <c r="AB160" s="241"/>
      <c r="AC160" s="247">
        <v>0</v>
      </c>
      <c r="AD160" s="241"/>
      <c r="AE160" s="247">
        <f t="shared" si="18"/>
        <v>1200</v>
      </c>
      <c r="AF160" s="248">
        <f t="shared" si="19"/>
        <v>1.323331447218429E-4</v>
      </c>
      <c r="AG160" s="249"/>
    </row>
    <row r="161" spans="1:33" outlineLevel="1">
      <c r="A161" s="244">
        <v>57175</v>
      </c>
      <c r="B161" s="244" t="s">
        <v>787</v>
      </c>
      <c r="C161" s="245"/>
      <c r="D161" s="246"/>
      <c r="E161" s="240"/>
      <c r="F161" s="241"/>
      <c r="G161" s="247">
        <v>0</v>
      </c>
      <c r="H161" s="241"/>
      <c r="I161" s="247">
        <v>0</v>
      </c>
      <c r="J161" s="241"/>
      <c r="K161" s="247">
        <v>0</v>
      </c>
      <c r="L161" s="241"/>
      <c r="M161" s="247">
        <v>0</v>
      </c>
      <c r="N161" s="241"/>
      <c r="O161" s="247">
        <v>0</v>
      </c>
      <c r="P161" s="241"/>
      <c r="Q161" s="247">
        <v>0</v>
      </c>
      <c r="R161" s="241"/>
      <c r="S161" s="247">
        <v>0</v>
      </c>
      <c r="T161" s="241"/>
      <c r="U161" s="247">
        <v>117.68</v>
      </c>
      <c r="V161" s="241"/>
      <c r="W161" s="247">
        <v>0</v>
      </c>
      <c r="X161" s="241"/>
      <c r="Y161" s="247">
        <v>0</v>
      </c>
      <c r="Z161" s="241"/>
      <c r="AA161" s="247">
        <v>0</v>
      </c>
      <c r="AB161" s="241"/>
      <c r="AC161" s="247">
        <v>0</v>
      </c>
      <c r="AD161" s="241"/>
      <c r="AE161" s="247">
        <f t="shared" si="18"/>
        <v>117.68</v>
      </c>
      <c r="AF161" s="248">
        <f t="shared" si="19"/>
        <v>1.2977470392388728E-5</v>
      </c>
      <c r="AG161" s="249"/>
    </row>
    <row r="162" spans="1:33" outlineLevel="1">
      <c r="A162" s="244">
        <v>57254</v>
      </c>
      <c r="B162" s="244" t="s">
        <v>788</v>
      </c>
      <c r="C162" s="245"/>
      <c r="D162" s="246"/>
      <c r="E162" s="240"/>
      <c r="F162" s="241"/>
      <c r="G162" s="247">
        <v>1289.99</v>
      </c>
      <c r="H162" s="241"/>
      <c r="I162" s="247">
        <v>1270.56</v>
      </c>
      <c r="J162" s="241"/>
      <c r="K162" s="247">
        <v>1268.3499999999999</v>
      </c>
      <c r="L162" s="241"/>
      <c r="M162" s="247">
        <v>1271.5</v>
      </c>
      <c r="N162" s="241"/>
      <c r="O162" s="247">
        <v>1271.22</v>
      </c>
      <c r="P162" s="241"/>
      <c r="Q162" s="247">
        <v>1260.8800000000001</v>
      </c>
      <c r="R162" s="241"/>
      <c r="S162" s="247">
        <v>1244.33</v>
      </c>
      <c r="T162" s="241"/>
      <c r="U162" s="247">
        <v>1259.44</v>
      </c>
      <c r="V162" s="241"/>
      <c r="W162" s="247">
        <v>1257.78</v>
      </c>
      <c r="X162" s="241"/>
      <c r="Y162" s="247">
        <v>1309.44</v>
      </c>
      <c r="Z162" s="241"/>
      <c r="AA162" s="247">
        <v>1244.24</v>
      </c>
      <c r="AB162" s="241"/>
      <c r="AC162" s="247">
        <v>1243.67</v>
      </c>
      <c r="AD162" s="241"/>
      <c r="AE162" s="247">
        <f t="shared" si="18"/>
        <v>15191.399999999998</v>
      </c>
      <c r="AF162" s="248">
        <f t="shared" si="19"/>
        <v>1.6752714456061699E-3</v>
      </c>
      <c r="AG162" s="249"/>
    </row>
    <row r="163" spans="1:33" outlineLevel="1">
      <c r="A163" s="244">
        <v>57275</v>
      </c>
      <c r="B163" s="244" t="s">
        <v>778</v>
      </c>
      <c r="C163" s="245"/>
      <c r="D163" s="246"/>
      <c r="E163" s="240"/>
      <c r="F163" s="241"/>
      <c r="G163" s="247">
        <v>-318.66000000000003</v>
      </c>
      <c r="H163" s="241"/>
      <c r="I163" s="247">
        <v>955.98</v>
      </c>
      <c r="J163" s="241"/>
      <c r="K163" s="247">
        <v>477.99</v>
      </c>
      <c r="L163" s="241"/>
      <c r="M163" s="247">
        <v>342.02</v>
      </c>
      <c r="N163" s="241"/>
      <c r="O163" s="247">
        <v>296</v>
      </c>
      <c r="P163" s="241"/>
      <c r="Q163" s="247">
        <v>296</v>
      </c>
      <c r="R163" s="241"/>
      <c r="S163" s="247">
        <v>296</v>
      </c>
      <c r="T163" s="241"/>
      <c r="U163" s="247">
        <v>296</v>
      </c>
      <c r="V163" s="241"/>
      <c r="W163" s="247">
        <v>296</v>
      </c>
      <c r="X163" s="241"/>
      <c r="Y163" s="247">
        <v>296</v>
      </c>
      <c r="Z163" s="241"/>
      <c r="AA163" s="247">
        <v>296</v>
      </c>
      <c r="AB163" s="241"/>
      <c r="AC163" s="247">
        <v>296</v>
      </c>
      <c r="AD163" s="241"/>
      <c r="AE163" s="247">
        <f t="shared" si="18"/>
        <v>3825.33</v>
      </c>
      <c r="AF163" s="248">
        <f t="shared" si="19"/>
        <v>4.2184829041567274E-4</v>
      </c>
      <c r="AG163" s="249"/>
    </row>
    <row r="164" spans="1:33" outlineLevel="1">
      <c r="A164" s="244">
        <v>57324</v>
      </c>
      <c r="B164" s="244" t="s">
        <v>789</v>
      </c>
      <c r="C164" s="245"/>
      <c r="D164" s="246"/>
      <c r="E164" s="240"/>
      <c r="F164" s="241"/>
      <c r="G164" s="247">
        <v>0</v>
      </c>
      <c r="H164" s="241"/>
      <c r="I164" s="247">
        <v>0</v>
      </c>
      <c r="J164" s="241"/>
      <c r="K164" s="247">
        <v>0</v>
      </c>
      <c r="L164" s="241"/>
      <c r="M164" s="247">
        <v>0</v>
      </c>
      <c r="N164" s="241"/>
      <c r="O164" s="247">
        <v>0</v>
      </c>
      <c r="P164" s="241"/>
      <c r="Q164" s="247">
        <v>0</v>
      </c>
      <c r="R164" s="241"/>
      <c r="S164" s="247">
        <v>0</v>
      </c>
      <c r="T164" s="241"/>
      <c r="U164" s="247">
        <v>0</v>
      </c>
      <c r="V164" s="241"/>
      <c r="W164" s="247">
        <v>0</v>
      </c>
      <c r="X164" s="241"/>
      <c r="Y164" s="247">
        <v>0</v>
      </c>
      <c r="Z164" s="241"/>
      <c r="AA164" s="247">
        <v>0</v>
      </c>
      <c r="AB164" s="241"/>
      <c r="AC164" s="247">
        <v>10.5</v>
      </c>
      <c r="AD164" s="241"/>
      <c r="AE164" s="247">
        <f t="shared" si="18"/>
        <v>10.5</v>
      </c>
      <c r="AF164" s="248">
        <f t="shared" si="19"/>
        <v>1.1579150163161254E-6</v>
      </c>
      <c r="AG164" s="249"/>
    </row>
    <row r="165" spans="1:33" outlineLevel="1">
      <c r="A165" s="244">
        <v>57357</v>
      </c>
      <c r="B165" s="244" t="s">
        <v>790</v>
      </c>
      <c r="C165" s="245"/>
      <c r="D165" s="246"/>
      <c r="E165" s="240"/>
      <c r="F165" s="241"/>
      <c r="G165" s="247">
        <v>2790.18</v>
      </c>
      <c r="H165" s="241"/>
      <c r="I165" s="247">
        <v>339.06</v>
      </c>
      <c r="J165" s="241"/>
      <c r="K165" s="247">
        <v>2335.54</v>
      </c>
      <c r="L165" s="241"/>
      <c r="M165" s="247">
        <v>1489.48</v>
      </c>
      <c r="N165" s="241"/>
      <c r="O165" s="247">
        <v>2154.56</v>
      </c>
      <c r="P165" s="241"/>
      <c r="Q165" s="247">
        <v>941.75</v>
      </c>
      <c r="R165" s="241"/>
      <c r="S165" s="247">
        <v>2290.34</v>
      </c>
      <c r="T165" s="241"/>
      <c r="U165" s="247">
        <v>2149.37</v>
      </c>
      <c r="V165" s="241"/>
      <c r="W165" s="247">
        <v>1917.98</v>
      </c>
      <c r="X165" s="241"/>
      <c r="Y165" s="247">
        <v>1872.34</v>
      </c>
      <c r="Z165" s="241"/>
      <c r="AA165" s="247">
        <v>1974.59</v>
      </c>
      <c r="AB165" s="241"/>
      <c r="AC165" s="247">
        <v>1861.27</v>
      </c>
      <c r="AD165" s="241"/>
      <c r="AE165" s="247">
        <f t="shared" si="18"/>
        <v>22116.460000000003</v>
      </c>
      <c r="AF165" s="248">
        <f t="shared" si="19"/>
        <v>2.4389505849290415E-3</v>
      </c>
      <c r="AG165" s="249"/>
    </row>
    <row r="166" spans="1:33" outlineLevel="1">
      <c r="A166" s="244">
        <v>57370</v>
      </c>
      <c r="B166" s="244" t="s">
        <v>791</v>
      </c>
      <c r="C166" s="245"/>
      <c r="D166" s="246"/>
      <c r="E166" s="240"/>
      <c r="F166" s="241"/>
      <c r="G166" s="247">
        <v>32.53</v>
      </c>
      <c r="H166" s="241"/>
      <c r="I166" s="247">
        <v>32.53</v>
      </c>
      <c r="J166" s="241"/>
      <c r="K166" s="247">
        <v>32.53</v>
      </c>
      <c r="L166" s="241"/>
      <c r="M166" s="247">
        <v>32.53</v>
      </c>
      <c r="N166" s="241"/>
      <c r="O166" s="247">
        <v>32.53</v>
      </c>
      <c r="P166" s="241"/>
      <c r="Q166" s="247">
        <v>32.53</v>
      </c>
      <c r="R166" s="241"/>
      <c r="S166" s="247">
        <v>32.53</v>
      </c>
      <c r="T166" s="241"/>
      <c r="U166" s="247">
        <v>32.53</v>
      </c>
      <c r="V166" s="241"/>
      <c r="W166" s="247">
        <v>32.53</v>
      </c>
      <c r="X166" s="241"/>
      <c r="Y166" s="247">
        <v>32.53</v>
      </c>
      <c r="Z166" s="241"/>
      <c r="AA166" s="247">
        <v>32.53</v>
      </c>
      <c r="AB166" s="241"/>
      <c r="AC166" s="247">
        <v>32.53</v>
      </c>
      <c r="AD166" s="241"/>
      <c r="AE166" s="247">
        <f t="shared" si="18"/>
        <v>390.3599999999999</v>
      </c>
      <c r="AF166" s="248">
        <f t="shared" si="19"/>
        <v>4.3047971978015485E-5</v>
      </c>
      <c r="AG166" s="249"/>
    </row>
    <row r="167" spans="1:33" s="240" customFormat="1" ht="5.15" customHeight="1" outlineLevel="1">
      <c r="A167" s="245"/>
      <c r="B167" s="245"/>
      <c r="C167" s="245"/>
      <c r="D167" s="245"/>
      <c r="G167" s="255"/>
      <c r="H167" s="253"/>
      <c r="I167" s="255"/>
      <c r="J167" s="253"/>
      <c r="K167" s="255"/>
      <c r="L167" s="253"/>
      <c r="M167" s="255"/>
      <c r="N167" s="253"/>
      <c r="O167" s="255"/>
      <c r="P167" s="253"/>
      <c r="Q167" s="255"/>
      <c r="R167" s="253"/>
      <c r="S167" s="255"/>
      <c r="T167" s="253"/>
      <c r="U167" s="255"/>
      <c r="V167" s="253"/>
      <c r="W167" s="255"/>
      <c r="X167" s="253"/>
      <c r="Y167" s="255"/>
      <c r="Z167" s="253"/>
      <c r="AA167" s="255"/>
      <c r="AB167" s="253"/>
      <c r="AC167" s="255"/>
      <c r="AD167" s="253"/>
      <c r="AE167" s="255"/>
      <c r="AF167" s="243"/>
      <c r="AG167" s="222"/>
    </row>
    <row r="168" spans="1:33" s="240" customFormat="1" ht="15.5">
      <c r="C168" s="245" t="s">
        <v>792</v>
      </c>
      <c r="G168" s="252">
        <f>SUM(G156:G167)</f>
        <v>4526.7699999999995</v>
      </c>
      <c r="H168" s="253"/>
      <c r="I168" s="252">
        <f>SUM(I156:I167)</f>
        <v>16983.95</v>
      </c>
      <c r="J168" s="253"/>
      <c r="K168" s="252">
        <f>SUM(K156:K167)</f>
        <v>10921.710000000001</v>
      </c>
      <c r="L168" s="253"/>
      <c r="M168" s="252">
        <f>SUM(M156:M167)</f>
        <v>12155.86</v>
      </c>
      <c r="N168" s="253"/>
      <c r="O168" s="252">
        <f>SUM(O156:O167)</f>
        <v>8494.35</v>
      </c>
      <c r="P168" s="253"/>
      <c r="Q168" s="252">
        <f>SUM(Q156:Q167)</f>
        <v>7209.22</v>
      </c>
      <c r="R168" s="253"/>
      <c r="S168" s="252">
        <f>SUM(S156:S167)</f>
        <v>10776.27</v>
      </c>
      <c r="T168" s="253"/>
      <c r="U168" s="252">
        <f>SUM(U156:U167)</f>
        <v>7303.44</v>
      </c>
      <c r="V168" s="253"/>
      <c r="W168" s="252">
        <f>SUM(W156:W167)</f>
        <v>11051.9</v>
      </c>
      <c r="X168" s="253"/>
      <c r="Y168" s="252">
        <f>SUM(Y156:Y167)</f>
        <v>7950.29</v>
      </c>
      <c r="Z168" s="253"/>
      <c r="AA168" s="252">
        <f>SUM(AA156:AA167)</f>
        <v>9967.48</v>
      </c>
      <c r="AB168" s="253"/>
      <c r="AC168" s="252">
        <f>SUM(AC156:AC167)</f>
        <v>13225.720000000001</v>
      </c>
      <c r="AD168" s="253"/>
      <c r="AE168" s="252">
        <f>SUM(AE156:AE167)</f>
        <v>120566.95999999999</v>
      </c>
      <c r="AF168" s="248">
        <f>IF(AE$47=0,0,AE168/AE$47)</f>
        <v>1.3295837471960536E-2</v>
      </c>
      <c r="AG168" s="222"/>
    </row>
    <row r="169" spans="1:33" s="240" customFormat="1" ht="15.5" outlineLevel="1">
      <c r="G169" s="254"/>
      <c r="H169" s="253"/>
      <c r="I169" s="254"/>
      <c r="J169" s="253"/>
      <c r="K169" s="254"/>
      <c r="L169" s="253"/>
      <c r="M169" s="254"/>
      <c r="N169" s="253"/>
      <c r="O169" s="254"/>
      <c r="P169" s="253"/>
      <c r="Q169" s="254"/>
      <c r="R169" s="253"/>
      <c r="S169" s="254"/>
      <c r="T169" s="253"/>
      <c r="U169" s="254"/>
      <c r="V169" s="253"/>
      <c r="W169" s="254"/>
      <c r="X169" s="253"/>
      <c r="Y169" s="254"/>
      <c r="Z169" s="253"/>
      <c r="AA169" s="254"/>
      <c r="AB169" s="253"/>
      <c r="AC169" s="254"/>
      <c r="AD169" s="253"/>
      <c r="AE169" s="254"/>
      <c r="AF169" s="243"/>
      <c r="AG169" s="222"/>
    </row>
    <row r="170" spans="1:33" s="240" customFormat="1" ht="14.5" outlineLevel="1">
      <c r="A170" s="261"/>
      <c r="B170" s="261"/>
      <c r="C170" s="261"/>
      <c r="D170" s="261"/>
      <c r="E170" s="261"/>
      <c r="F170" s="261"/>
      <c r="G170" s="262"/>
      <c r="H170" s="263"/>
      <c r="I170" s="262"/>
      <c r="J170" s="263"/>
      <c r="K170" s="262"/>
      <c r="L170" s="263"/>
      <c r="M170" s="262"/>
      <c r="N170" s="263"/>
      <c r="O170" s="262"/>
      <c r="P170" s="263"/>
      <c r="Q170" s="262"/>
      <c r="R170" s="263"/>
      <c r="S170" s="262"/>
      <c r="T170" s="263"/>
      <c r="U170" s="262"/>
      <c r="V170" s="263"/>
      <c r="W170" s="262"/>
      <c r="X170" s="263"/>
      <c r="Y170" s="262"/>
      <c r="Z170" s="263"/>
      <c r="AA170" s="262"/>
      <c r="AB170" s="263"/>
      <c r="AC170" s="262"/>
      <c r="AD170" s="263"/>
      <c r="AE170" s="262"/>
      <c r="AF170" s="261"/>
      <c r="AG170" s="261"/>
    </row>
    <row r="171" spans="1:33" s="240" customFormat="1" ht="4.5" customHeight="1" outlineLevel="1">
      <c r="A171" s="256"/>
      <c r="G171" s="255"/>
      <c r="H171" s="253"/>
      <c r="I171" s="255"/>
      <c r="J171" s="253"/>
      <c r="K171" s="255"/>
      <c r="L171" s="253"/>
      <c r="M171" s="255"/>
      <c r="N171" s="253"/>
      <c r="O171" s="255"/>
      <c r="P171" s="253"/>
      <c r="Q171" s="255"/>
      <c r="R171" s="253"/>
      <c r="S171" s="255"/>
      <c r="T171" s="253"/>
      <c r="U171" s="255"/>
      <c r="V171" s="253"/>
      <c r="W171" s="255"/>
      <c r="X171" s="253"/>
      <c r="Y171" s="255"/>
      <c r="Z171" s="253"/>
      <c r="AA171" s="255"/>
      <c r="AB171" s="253"/>
      <c r="AC171" s="255"/>
      <c r="AD171" s="253"/>
      <c r="AE171" s="255"/>
      <c r="AF171" s="243"/>
      <c r="AG171" s="222"/>
    </row>
    <row r="172" spans="1:33" s="240" customFormat="1" ht="15.5">
      <c r="C172" s="240" t="s">
        <v>793</v>
      </c>
      <c r="G172" s="252">
        <f>SUM(G170:G171)</f>
        <v>0</v>
      </c>
      <c r="H172" s="253"/>
      <c r="I172" s="252">
        <f>SUM(I170:I171)</f>
        <v>0</v>
      </c>
      <c r="J172" s="253"/>
      <c r="K172" s="252">
        <f>SUM(K170:K171)</f>
        <v>0</v>
      </c>
      <c r="L172" s="253"/>
      <c r="M172" s="252">
        <f>SUM(M170:M171)</f>
        <v>0</v>
      </c>
      <c r="N172" s="253"/>
      <c r="O172" s="252">
        <f>SUM(O170:O171)</f>
        <v>0</v>
      </c>
      <c r="P172" s="253"/>
      <c r="Q172" s="252">
        <f>SUM(Q170:Q171)</f>
        <v>0</v>
      </c>
      <c r="R172" s="253"/>
      <c r="S172" s="252">
        <f>SUM(S170:S171)</f>
        <v>0</v>
      </c>
      <c r="T172" s="253"/>
      <c r="U172" s="252">
        <f>SUM(U170:U171)</f>
        <v>0</v>
      </c>
      <c r="V172" s="253"/>
      <c r="W172" s="252">
        <f>SUM(W170:W171)</f>
        <v>0</v>
      </c>
      <c r="X172" s="253"/>
      <c r="Y172" s="252">
        <f>SUM(Y170:Y171)</f>
        <v>0</v>
      </c>
      <c r="Z172" s="253"/>
      <c r="AA172" s="252">
        <f>SUM(AA170:AA171)</f>
        <v>0</v>
      </c>
      <c r="AB172" s="253"/>
      <c r="AC172" s="252">
        <f>SUM(AC170:AC171)</f>
        <v>0</v>
      </c>
      <c r="AD172" s="253"/>
      <c r="AE172" s="252">
        <f>SUM(AE170:AE171)</f>
        <v>0</v>
      </c>
      <c r="AF172" s="248">
        <f>IF(AE$47=0,0,AE172/AE$47)</f>
        <v>0</v>
      </c>
      <c r="AG172" s="222"/>
    </row>
    <row r="173" spans="1:33" s="240" customFormat="1" ht="15.5" outlineLevel="1">
      <c r="G173" s="254"/>
      <c r="H173" s="253"/>
      <c r="I173" s="254"/>
      <c r="J173" s="253"/>
      <c r="K173" s="254"/>
      <c r="L173" s="253"/>
      <c r="M173" s="254"/>
      <c r="N173" s="253"/>
      <c r="O173" s="254"/>
      <c r="P173" s="253"/>
      <c r="Q173" s="254"/>
      <c r="R173" s="253"/>
      <c r="S173" s="254"/>
      <c r="T173" s="253"/>
      <c r="U173" s="254"/>
      <c r="V173" s="253"/>
      <c r="W173" s="254"/>
      <c r="X173" s="253"/>
      <c r="Y173" s="254"/>
      <c r="Z173" s="253"/>
      <c r="AA173" s="254"/>
      <c r="AB173" s="253"/>
      <c r="AC173" s="254"/>
      <c r="AD173" s="253"/>
      <c r="AE173" s="254"/>
      <c r="AF173" s="243"/>
      <c r="AG173" s="222"/>
    </row>
    <row r="174" spans="1:33" s="240" customFormat="1" ht="15.5" outlineLevel="1">
      <c r="G174" s="254"/>
      <c r="H174" s="253"/>
      <c r="I174" s="254"/>
      <c r="J174" s="253"/>
      <c r="K174" s="254"/>
      <c r="L174" s="253"/>
      <c r="M174" s="254"/>
      <c r="N174" s="253"/>
      <c r="O174" s="254"/>
      <c r="P174" s="253"/>
      <c r="Q174" s="254"/>
      <c r="R174" s="253"/>
      <c r="S174" s="254"/>
      <c r="T174" s="253"/>
      <c r="U174" s="254"/>
      <c r="V174" s="253"/>
      <c r="W174" s="254"/>
      <c r="X174" s="253"/>
      <c r="Y174" s="254"/>
      <c r="Z174" s="253"/>
      <c r="AA174" s="254"/>
      <c r="AB174" s="253"/>
      <c r="AC174" s="254"/>
      <c r="AD174" s="253"/>
      <c r="AE174" s="254"/>
      <c r="AF174" s="243"/>
      <c r="AG174" s="222"/>
    </row>
    <row r="175" spans="1:33" outlineLevel="1">
      <c r="A175" s="244">
        <v>59340</v>
      </c>
      <c r="B175" s="244" t="s">
        <v>794</v>
      </c>
      <c r="C175" s="245"/>
      <c r="D175" s="246"/>
      <c r="E175" s="240"/>
      <c r="F175" s="241"/>
      <c r="G175" s="247">
        <v>2257.29</v>
      </c>
      <c r="H175" s="241"/>
      <c r="I175" s="247">
        <v>2257.29</v>
      </c>
      <c r="J175" s="241"/>
      <c r="K175" s="247">
        <v>2257.29</v>
      </c>
      <c r="L175" s="241"/>
      <c r="M175" s="247">
        <v>2257.29</v>
      </c>
      <c r="N175" s="241"/>
      <c r="O175" s="247">
        <v>2257.29</v>
      </c>
      <c r="P175" s="241"/>
      <c r="Q175" s="247">
        <v>2257.29</v>
      </c>
      <c r="R175" s="241"/>
      <c r="S175" s="247">
        <v>2257.29</v>
      </c>
      <c r="T175" s="241"/>
      <c r="U175" s="247">
        <v>2257.29</v>
      </c>
      <c r="V175" s="241"/>
      <c r="W175" s="247">
        <v>2257.29</v>
      </c>
      <c r="X175" s="241"/>
      <c r="Y175" s="247">
        <v>2257.29</v>
      </c>
      <c r="Z175" s="241"/>
      <c r="AA175" s="247">
        <v>2257.29</v>
      </c>
      <c r="AB175" s="241"/>
      <c r="AC175" s="247">
        <v>2257.29</v>
      </c>
      <c r="AD175" s="241"/>
      <c r="AE175" s="247">
        <f t="shared" ref="AE175:AE179" si="20">AC175+AA175+Y175+W175+U175+S175+Q175+O175+M175+K175+I175+G175</f>
        <v>27087.480000000007</v>
      </c>
      <c r="AF175" s="248">
        <f t="shared" ref="AF175:AF179" si="21">IF(AE$47=0,0,AE175/AE$47)</f>
        <v>2.9871428424916883E-3</v>
      </c>
      <c r="AG175" s="249"/>
    </row>
    <row r="176" spans="1:33" outlineLevel="1">
      <c r="A176" s="244">
        <v>59341</v>
      </c>
      <c r="B176" s="244" t="s">
        <v>861</v>
      </c>
      <c r="C176" s="245"/>
      <c r="D176" s="246"/>
      <c r="E176" s="240"/>
      <c r="F176" s="241"/>
      <c r="G176" s="247">
        <v>0</v>
      </c>
      <c r="H176" s="241"/>
      <c r="I176" s="247">
        <v>0</v>
      </c>
      <c r="J176" s="241"/>
      <c r="K176" s="247">
        <v>0</v>
      </c>
      <c r="L176" s="241"/>
      <c r="M176" s="247">
        <v>0</v>
      </c>
      <c r="N176" s="241"/>
      <c r="O176" s="247">
        <v>0</v>
      </c>
      <c r="P176" s="241"/>
      <c r="Q176" s="247">
        <v>0</v>
      </c>
      <c r="R176" s="241"/>
      <c r="S176" s="247">
        <v>0</v>
      </c>
      <c r="T176" s="241"/>
      <c r="U176" s="247">
        <v>0</v>
      </c>
      <c r="V176" s="241"/>
      <c r="W176" s="247">
        <v>1000</v>
      </c>
      <c r="X176" s="241"/>
      <c r="Y176" s="247">
        <v>25000.5</v>
      </c>
      <c r="Z176" s="241"/>
      <c r="AA176" s="247">
        <v>0</v>
      </c>
      <c r="AB176" s="241"/>
      <c r="AC176" s="247">
        <v>1250</v>
      </c>
      <c r="AD176" s="241"/>
      <c r="AE176" s="247">
        <f t="shared" si="20"/>
        <v>27250.5</v>
      </c>
      <c r="AF176" s="248">
        <f t="shared" si="21"/>
        <v>3.00512030020215E-3</v>
      </c>
      <c r="AG176" s="249"/>
    </row>
    <row r="177" spans="1:33" outlineLevel="1">
      <c r="A177" s="244">
        <v>59344</v>
      </c>
      <c r="B177" s="244" t="s">
        <v>796</v>
      </c>
      <c r="C177" s="245"/>
      <c r="D177" s="246"/>
      <c r="E177" s="240"/>
      <c r="F177" s="241"/>
      <c r="G177" s="247">
        <v>-3356</v>
      </c>
      <c r="H177" s="241"/>
      <c r="I177" s="247">
        <v>-3647</v>
      </c>
      <c r="J177" s="241"/>
      <c r="K177" s="247">
        <v>0</v>
      </c>
      <c r="L177" s="241"/>
      <c r="M177" s="247">
        <v>5560</v>
      </c>
      <c r="N177" s="241"/>
      <c r="O177" s="247">
        <v>0</v>
      </c>
      <c r="P177" s="241"/>
      <c r="Q177" s="247">
        <v>0</v>
      </c>
      <c r="R177" s="241"/>
      <c r="S177" s="247">
        <v>-4118</v>
      </c>
      <c r="T177" s="241"/>
      <c r="U177" s="247">
        <v>0</v>
      </c>
      <c r="V177" s="241"/>
      <c r="W177" s="247">
        <v>0</v>
      </c>
      <c r="X177" s="241"/>
      <c r="Y177" s="247">
        <v>486.55</v>
      </c>
      <c r="Z177" s="241"/>
      <c r="AA177" s="247">
        <v>0</v>
      </c>
      <c r="AB177" s="241"/>
      <c r="AC177" s="247">
        <v>19880</v>
      </c>
      <c r="AD177" s="241"/>
      <c r="AE177" s="247">
        <f t="shared" si="20"/>
        <v>14805.55</v>
      </c>
      <c r="AF177" s="248">
        <f t="shared" si="21"/>
        <v>1.6327208256970676E-3</v>
      </c>
      <c r="AG177" s="249"/>
    </row>
    <row r="178" spans="1:33" outlineLevel="1">
      <c r="A178" s="244">
        <v>59401</v>
      </c>
      <c r="B178" s="244" t="s">
        <v>862</v>
      </c>
      <c r="C178" s="245"/>
      <c r="D178" s="246"/>
      <c r="E178" s="240"/>
      <c r="F178" s="241"/>
      <c r="G178" s="247">
        <v>0</v>
      </c>
      <c r="H178" s="241"/>
      <c r="I178" s="247">
        <v>0</v>
      </c>
      <c r="J178" s="241"/>
      <c r="K178" s="247">
        <v>0</v>
      </c>
      <c r="L178" s="241"/>
      <c r="M178" s="247">
        <v>0</v>
      </c>
      <c r="N178" s="241"/>
      <c r="O178" s="247">
        <v>0</v>
      </c>
      <c r="P178" s="241"/>
      <c r="Q178" s="247">
        <v>0</v>
      </c>
      <c r="R178" s="241"/>
      <c r="S178" s="247">
        <v>0</v>
      </c>
      <c r="T178" s="241"/>
      <c r="U178" s="247">
        <v>0</v>
      </c>
      <c r="V178" s="241"/>
      <c r="W178" s="247">
        <v>0</v>
      </c>
      <c r="X178" s="241"/>
      <c r="Y178" s="247">
        <v>0</v>
      </c>
      <c r="Z178" s="241"/>
      <c r="AA178" s="247">
        <v>12702.68</v>
      </c>
      <c r="AB178" s="241"/>
      <c r="AC178" s="247">
        <v>0</v>
      </c>
      <c r="AD178" s="241"/>
      <c r="AE178" s="247">
        <f t="shared" si="20"/>
        <v>12702.68</v>
      </c>
      <c r="AF178" s="248">
        <f t="shared" si="21"/>
        <v>1.4008213256627162E-3</v>
      </c>
      <c r="AG178" s="249"/>
    </row>
    <row r="179" spans="1:33" outlineLevel="1">
      <c r="A179" s="244">
        <v>59500</v>
      </c>
      <c r="B179" s="244" t="s">
        <v>798</v>
      </c>
      <c r="C179" s="245"/>
      <c r="D179" s="246"/>
      <c r="E179" s="240"/>
      <c r="F179" s="241"/>
      <c r="G179" s="247">
        <v>522.83000000000004</v>
      </c>
      <c r="H179" s="241"/>
      <c r="I179" s="247">
        <v>849.13</v>
      </c>
      <c r="J179" s="241"/>
      <c r="K179" s="247">
        <v>500.47</v>
      </c>
      <c r="L179" s="241"/>
      <c r="M179" s="247">
        <v>596.99</v>
      </c>
      <c r="N179" s="241"/>
      <c r="O179" s="247">
        <v>90.52</v>
      </c>
      <c r="P179" s="241"/>
      <c r="Q179" s="247">
        <v>521.36</v>
      </c>
      <c r="R179" s="241"/>
      <c r="S179" s="247">
        <v>497.02</v>
      </c>
      <c r="T179" s="241"/>
      <c r="U179" s="247">
        <v>599.35</v>
      </c>
      <c r="V179" s="241"/>
      <c r="W179" s="247">
        <v>309.27999999999997</v>
      </c>
      <c r="X179" s="241"/>
      <c r="Y179" s="247">
        <v>459.19</v>
      </c>
      <c r="Z179" s="241"/>
      <c r="AA179" s="247">
        <v>564.82000000000005</v>
      </c>
      <c r="AB179" s="241"/>
      <c r="AC179" s="247">
        <v>762.36</v>
      </c>
      <c r="AD179" s="241"/>
      <c r="AE179" s="247">
        <f t="shared" si="20"/>
        <v>6273.3200000000006</v>
      </c>
      <c r="AF179" s="248">
        <f t="shared" si="21"/>
        <v>6.9180680287202635E-4</v>
      </c>
      <c r="AG179" s="249"/>
    </row>
    <row r="180" spans="1:33" s="240" customFormat="1" ht="5.15" customHeight="1" outlineLevel="1">
      <c r="A180" s="245"/>
      <c r="B180" s="245"/>
      <c r="C180" s="245"/>
      <c r="D180" s="245"/>
      <c r="G180" s="255"/>
      <c r="H180" s="253"/>
      <c r="I180" s="255"/>
      <c r="J180" s="253"/>
      <c r="K180" s="255"/>
      <c r="L180" s="253"/>
      <c r="M180" s="255"/>
      <c r="N180" s="253"/>
      <c r="O180" s="255"/>
      <c r="P180" s="253"/>
      <c r="Q180" s="255"/>
      <c r="R180" s="253"/>
      <c r="S180" s="255"/>
      <c r="T180" s="253"/>
      <c r="U180" s="255"/>
      <c r="V180" s="253"/>
      <c r="W180" s="255"/>
      <c r="X180" s="253"/>
      <c r="Y180" s="255"/>
      <c r="Z180" s="253"/>
      <c r="AA180" s="255"/>
      <c r="AB180" s="253"/>
      <c r="AC180" s="255"/>
      <c r="AD180" s="253"/>
      <c r="AE180" s="255"/>
      <c r="AF180" s="243"/>
      <c r="AG180" s="222"/>
    </row>
    <row r="181" spans="1:33" s="240" customFormat="1" ht="15.5">
      <c r="C181" s="245" t="s">
        <v>799</v>
      </c>
      <c r="G181" s="252">
        <f>SUM(G174:G180)</f>
        <v>-575.88</v>
      </c>
      <c r="H181" s="253"/>
      <c r="I181" s="252">
        <f>SUM(I174:I180)</f>
        <v>-540.58000000000004</v>
      </c>
      <c r="J181" s="253"/>
      <c r="K181" s="252">
        <f>SUM(K174:K180)</f>
        <v>2757.76</v>
      </c>
      <c r="L181" s="253"/>
      <c r="M181" s="252">
        <f>SUM(M174:M180)</f>
        <v>8414.2800000000007</v>
      </c>
      <c r="N181" s="253"/>
      <c r="O181" s="252">
        <f>SUM(O174:O180)</f>
        <v>2347.81</v>
      </c>
      <c r="P181" s="253"/>
      <c r="Q181" s="252">
        <f>SUM(Q174:Q180)</f>
        <v>2778.65</v>
      </c>
      <c r="R181" s="253"/>
      <c r="S181" s="252">
        <f>SUM(S174:S180)</f>
        <v>-1363.69</v>
      </c>
      <c r="T181" s="253"/>
      <c r="U181" s="252">
        <f>SUM(U174:U180)</f>
        <v>2856.64</v>
      </c>
      <c r="V181" s="253"/>
      <c r="W181" s="252">
        <f>SUM(W174:W180)</f>
        <v>3566.5699999999997</v>
      </c>
      <c r="X181" s="253"/>
      <c r="Y181" s="252">
        <f>SUM(Y174:Y180)</f>
        <v>28203.53</v>
      </c>
      <c r="Z181" s="253"/>
      <c r="AA181" s="252">
        <f>SUM(AA174:AA180)</f>
        <v>15524.79</v>
      </c>
      <c r="AB181" s="253"/>
      <c r="AC181" s="252">
        <f>SUM(AC174:AC180)</f>
        <v>24149.65</v>
      </c>
      <c r="AD181" s="253"/>
      <c r="AE181" s="252">
        <f>SUM(AE174:AE180)</f>
        <v>88119.530000000028</v>
      </c>
      <c r="AF181" s="248">
        <f>IF(AE$47=0,0,AE181/AE$47)</f>
        <v>9.7176120969256503E-3</v>
      </c>
      <c r="AG181" s="222"/>
    </row>
    <row r="182" spans="1:33" s="240" customFormat="1" ht="15.5" outlineLevel="1">
      <c r="G182" s="254"/>
      <c r="H182" s="253"/>
      <c r="I182" s="254"/>
      <c r="J182" s="253"/>
      <c r="K182" s="254"/>
      <c r="L182" s="253"/>
      <c r="M182" s="254"/>
      <c r="N182" s="253"/>
      <c r="O182" s="254"/>
      <c r="P182" s="253"/>
      <c r="Q182" s="254"/>
      <c r="R182" s="253"/>
      <c r="S182" s="254"/>
      <c r="T182" s="253"/>
      <c r="U182" s="254"/>
      <c r="V182" s="253"/>
      <c r="W182" s="254"/>
      <c r="X182" s="253"/>
      <c r="Y182" s="254"/>
      <c r="Z182" s="253"/>
      <c r="AA182" s="254"/>
      <c r="AB182" s="253"/>
      <c r="AC182" s="254"/>
      <c r="AD182" s="253"/>
      <c r="AE182" s="254"/>
      <c r="AF182" s="243"/>
      <c r="AG182" s="222"/>
    </row>
    <row r="183" spans="1:33" outlineLevel="1">
      <c r="A183" s="244"/>
      <c r="B183" s="244"/>
      <c r="C183" s="245"/>
      <c r="D183" s="246"/>
      <c r="E183" s="240"/>
      <c r="F183" s="241"/>
      <c r="G183" s="247"/>
      <c r="H183" s="241"/>
      <c r="I183" s="247"/>
      <c r="J183" s="241"/>
      <c r="K183" s="247"/>
      <c r="L183" s="241"/>
      <c r="M183" s="247"/>
      <c r="N183" s="241"/>
      <c r="O183" s="247"/>
      <c r="P183" s="241"/>
      <c r="Q183" s="247"/>
      <c r="R183" s="241"/>
      <c r="S183" s="247"/>
      <c r="T183" s="241"/>
      <c r="U183" s="247"/>
      <c r="V183" s="241"/>
      <c r="W183" s="247"/>
      <c r="X183" s="241"/>
      <c r="Y183" s="247"/>
      <c r="Z183" s="241"/>
      <c r="AA183" s="247"/>
      <c r="AB183" s="241"/>
      <c r="AC183" s="247"/>
      <c r="AD183" s="241"/>
      <c r="AE183" s="247"/>
      <c r="AF183" s="248"/>
      <c r="AG183" s="249"/>
    </row>
    <row r="184" spans="1:33" s="240" customFormat="1" ht="5.15" customHeight="1" outlineLevel="1">
      <c r="A184" s="245"/>
      <c r="B184" s="245"/>
      <c r="C184" s="245"/>
      <c r="D184" s="245"/>
      <c r="G184" s="255"/>
      <c r="H184" s="253"/>
      <c r="I184" s="255"/>
      <c r="J184" s="253"/>
      <c r="K184" s="255"/>
      <c r="L184" s="253"/>
      <c r="M184" s="255"/>
      <c r="N184" s="253"/>
      <c r="O184" s="255"/>
      <c r="P184" s="253"/>
      <c r="Q184" s="255"/>
      <c r="R184" s="253"/>
      <c r="S184" s="255"/>
      <c r="T184" s="253"/>
      <c r="U184" s="255"/>
      <c r="V184" s="253"/>
      <c r="W184" s="255"/>
      <c r="X184" s="253"/>
      <c r="Y184" s="255"/>
      <c r="Z184" s="253"/>
      <c r="AA184" s="255"/>
      <c r="AB184" s="253"/>
      <c r="AC184" s="255"/>
      <c r="AD184" s="253"/>
      <c r="AE184" s="255"/>
      <c r="AF184" s="243"/>
      <c r="AG184" s="222"/>
    </row>
    <row r="185" spans="1:33" s="240" customFormat="1" ht="15.5">
      <c r="C185" s="244" t="s">
        <v>801</v>
      </c>
      <c r="G185" s="252">
        <f>SUM(G183:G184)</f>
        <v>0</v>
      </c>
      <c r="H185" s="253"/>
      <c r="I185" s="252">
        <f>SUM(I183:I184)</f>
        <v>0</v>
      </c>
      <c r="J185" s="253"/>
      <c r="K185" s="252">
        <f>SUM(K183:K184)</f>
        <v>0</v>
      </c>
      <c r="L185" s="253"/>
      <c r="M185" s="252">
        <f>SUM(M183:M184)</f>
        <v>0</v>
      </c>
      <c r="N185" s="253"/>
      <c r="O185" s="252">
        <f>SUM(O183:O184)</f>
        <v>0</v>
      </c>
      <c r="P185" s="253"/>
      <c r="Q185" s="252">
        <f>SUM(Q183:Q184)</f>
        <v>0</v>
      </c>
      <c r="R185" s="253"/>
      <c r="S185" s="252">
        <f>SUM(S183:S184)</f>
        <v>0</v>
      </c>
      <c r="T185" s="253"/>
      <c r="U185" s="252">
        <f>SUM(U183:U184)</f>
        <v>0</v>
      </c>
      <c r="V185" s="253"/>
      <c r="W185" s="252">
        <f>SUM(W183:W184)</f>
        <v>0</v>
      </c>
      <c r="X185" s="253"/>
      <c r="Y185" s="252">
        <f>SUM(Y183:Y184)</f>
        <v>0</v>
      </c>
      <c r="Z185" s="253"/>
      <c r="AA185" s="252">
        <f>SUM(AA183:AA184)</f>
        <v>0</v>
      </c>
      <c r="AB185" s="253"/>
      <c r="AC185" s="252">
        <f>SUM(AC183:AC184)</f>
        <v>0</v>
      </c>
      <c r="AD185" s="253"/>
      <c r="AE185" s="252">
        <f>SUM(AE183:AE184)</f>
        <v>0</v>
      </c>
      <c r="AF185" s="248">
        <f>IF(AE$47=0,0,AE185/AE$47)</f>
        <v>0</v>
      </c>
      <c r="AG185" s="222"/>
    </row>
    <row r="186" spans="1:33" s="240" customFormat="1" ht="7.5" customHeight="1">
      <c r="G186" s="254"/>
      <c r="H186" s="253"/>
      <c r="I186" s="254"/>
      <c r="J186" s="253"/>
      <c r="K186" s="254"/>
      <c r="L186" s="253"/>
      <c r="M186" s="254"/>
      <c r="N186" s="253"/>
      <c r="O186" s="254"/>
      <c r="P186" s="253"/>
      <c r="Q186" s="254"/>
      <c r="R186" s="253"/>
      <c r="S186" s="254"/>
      <c r="T186" s="253"/>
      <c r="U186" s="254"/>
      <c r="V186" s="253"/>
      <c r="W186" s="254"/>
      <c r="X186" s="253"/>
      <c r="Y186" s="254"/>
      <c r="Z186" s="253"/>
      <c r="AA186" s="254"/>
      <c r="AB186" s="253"/>
      <c r="AC186" s="254"/>
      <c r="AD186" s="253"/>
      <c r="AE186" s="254"/>
      <c r="AF186" s="243"/>
      <c r="AG186" s="222"/>
    </row>
    <row r="187" spans="1:33" s="240" customFormat="1" ht="15.5">
      <c r="B187" s="260" t="s">
        <v>802</v>
      </c>
      <c r="G187" s="258">
        <f>+G92+G96+G127+G135+G154+G168+G181+G172+G185</f>
        <v>174463.65</v>
      </c>
      <c r="H187" s="253"/>
      <c r="I187" s="258">
        <f>+I92+I96+I127+I135+I154+I168+I181+I172+I185</f>
        <v>252283.91000000003</v>
      </c>
      <c r="J187" s="253"/>
      <c r="K187" s="258">
        <f>+K92+K96+K127+K135+K154+K168+K181+K172+K185</f>
        <v>227397.83000000002</v>
      </c>
      <c r="L187" s="253"/>
      <c r="M187" s="258">
        <f>+M92+M96+M127+M135+M154+M168+M181+M172+M185</f>
        <v>239547.66</v>
      </c>
      <c r="N187" s="253"/>
      <c r="O187" s="258">
        <f>+O92+O96+O127+O135+O154+O168+O181+O172+O185</f>
        <v>236157.93</v>
      </c>
      <c r="P187" s="253"/>
      <c r="Q187" s="258">
        <f>+Q92+Q96+Q127+Q135+Q154+Q168+Q181+Q172+Q185</f>
        <v>247758.75000000003</v>
      </c>
      <c r="R187" s="253"/>
      <c r="S187" s="258">
        <f>+S92+S96+S127+S135+S154+S168+S181+S172+S185</f>
        <v>250473.83999999997</v>
      </c>
      <c r="T187" s="253"/>
      <c r="U187" s="258">
        <f>+U92+U96+U127+U135+U154+U168+U181+U172+U185</f>
        <v>222967.22000000003</v>
      </c>
      <c r="V187" s="253"/>
      <c r="W187" s="258">
        <f>+W92+W96+W127+W135+W154+W168+W181+W172+W185</f>
        <v>239750.16999999998</v>
      </c>
      <c r="X187" s="253"/>
      <c r="Y187" s="258">
        <f>+Y92+Y96+Y127+Y135+Y154+Y168+Y181+Y172+Y185</f>
        <v>267122.65000000002</v>
      </c>
      <c r="Z187" s="253"/>
      <c r="AA187" s="258">
        <f>+AA92+AA96+AA127+AA135+AA154+AA168+AA181+AA172+AA185</f>
        <v>234678.92000000004</v>
      </c>
      <c r="AB187" s="253"/>
      <c r="AC187" s="258">
        <f>+AC92+AC96+AC127+AC135+AC154+AC168+AC181+AC172+AC185</f>
        <v>254986.41999999998</v>
      </c>
      <c r="AD187" s="253"/>
      <c r="AE187" s="258">
        <f>+AE92+AE96+AE127+AE135+AE154+AE168+AE181+AE172+AE185</f>
        <v>2847588.9499999993</v>
      </c>
      <c r="AF187" s="248">
        <f>IF(AE$47=0,0,AE187/AE$47)</f>
        <v>0.31402533385722547</v>
      </c>
      <c r="AG187" s="222"/>
    </row>
    <row r="188" spans="1:33" s="240" customFormat="1" ht="7.5" customHeight="1">
      <c r="G188" s="254"/>
      <c r="H188" s="253"/>
      <c r="I188" s="254"/>
      <c r="J188" s="253"/>
      <c r="K188" s="254"/>
      <c r="L188" s="253"/>
      <c r="M188" s="254"/>
      <c r="N188" s="253"/>
      <c r="O188" s="254"/>
      <c r="P188" s="253"/>
      <c r="Q188" s="254"/>
      <c r="R188" s="253"/>
      <c r="S188" s="254"/>
      <c r="T188" s="253"/>
      <c r="U188" s="254"/>
      <c r="V188" s="253"/>
      <c r="W188" s="254"/>
      <c r="X188" s="253"/>
      <c r="Y188" s="254"/>
      <c r="Z188" s="253"/>
      <c r="AA188" s="254"/>
      <c r="AB188" s="253"/>
      <c r="AC188" s="254"/>
      <c r="AD188" s="253"/>
      <c r="AE188" s="254"/>
      <c r="AF188" s="243"/>
      <c r="AG188" s="222"/>
    </row>
    <row r="189" spans="1:33" s="240" customFormat="1" ht="15.5">
      <c r="B189" s="260" t="s">
        <v>803</v>
      </c>
      <c r="G189" s="258">
        <f>G76-G187</f>
        <v>289825.75000000023</v>
      </c>
      <c r="H189" s="253"/>
      <c r="I189" s="258">
        <f>I76-I187</f>
        <v>216337.98999999993</v>
      </c>
      <c r="J189" s="253"/>
      <c r="K189" s="258">
        <f>K76-K187</f>
        <v>197350.65999999997</v>
      </c>
      <c r="L189" s="253"/>
      <c r="M189" s="258">
        <f>M76-M187</f>
        <v>231915.31999999998</v>
      </c>
      <c r="N189" s="253"/>
      <c r="O189" s="258">
        <f>O76-O187</f>
        <v>244960.94</v>
      </c>
      <c r="P189" s="253"/>
      <c r="Q189" s="258">
        <f>Q76-Q187</f>
        <v>182990.30999999991</v>
      </c>
      <c r="R189" s="253"/>
      <c r="S189" s="258">
        <f>S76-S187</f>
        <v>225789.63999999996</v>
      </c>
      <c r="T189" s="253"/>
      <c r="U189" s="258">
        <f>U76-U187</f>
        <v>251109.09999999998</v>
      </c>
      <c r="V189" s="253"/>
      <c r="W189" s="258">
        <f>W76-W187</f>
        <v>218415.15000000002</v>
      </c>
      <c r="X189" s="253"/>
      <c r="Y189" s="258">
        <f>Y76-Y187</f>
        <v>225763.53999999992</v>
      </c>
      <c r="Z189" s="253"/>
      <c r="AA189" s="258">
        <f>AA76-AA187</f>
        <v>230646.01</v>
      </c>
      <c r="AB189" s="253"/>
      <c r="AC189" s="258">
        <f>AC76-AC187</f>
        <v>183832.36</v>
      </c>
      <c r="AD189" s="253"/>
      <c r="AE189" s="258">
        <f>AE76-AE187</f>
        <v>2698936.7700000014</v>
      </c>
      <c r="AF189" s="248">
        <f>IF(AE$47=0,0,AE189/AE$47)</f>
        <v>0.29763232514959448</v>
      </c>
      <c r="AG189" s="222"/>
    </row>
    <row r="190" spans="1:33" s="240" customFormat="1" ht="7.5" customHeight="1">
      <c r="G190" s="254"/>
      <c r="H190" s="253"/>
      <c r="I190" s="254"/>
      <c r="J190" s="253"/>
      <c r="K190" s="254"/>
      <c r="L190" s="253"/>
      <c r="M190" s="254"/>
      <c r="N190" s="253"/>
      <c r="O190" s="254"/>
      <c r="P190" s="253"/>
      <c r="Q190" s="254"/>
      <c r="R190" s="253"/>
      <c r="S190" s="254"/>
      <c r="T190" s="253"/>
      <c r="U190" s="254"/>
      <c r="V190" s="253"/>
      <c r="W190" s="254"/>
      <c r="X190" s="253"/>
      <c r="Y190" s="254"/>
      <c r="Z190" s="253"/>
      <c r="AA190" s="254"/>
      <c r="AB190" s="253"/>
      <c r="AC190" s="254"/>
      <c r="AD190" s="253"/>
      <c r="AE190" s="254"/>
      <c r="AF190" s="243"/>
      <c r="AG190" s="222"/>
    </row>
    <row r="191" spans="1:33" s="240" customFormat="1" ht="15.5" outlineLevel="1">
      <c r="G191" s="254"/>
      <c r="H191" s="253"/>
      <c r="I191" s="254"/>
      <c r="J191" s="253"/>
      <c r="K191" s="254"/>
      <c r="L191" s="253"/>
      <c r="M191" s="254"/>
      <c r="N191" s="253"/>
      <c r="O191" s="254"/>
      <c r="P191" s="253"/>
      <c r="Q191" s="254"/>
      <c r="R191" s="253"/>
      <c r="S191" s="254"/>
      <c r="T191" s="253"/>
      <c r="U191" s="254"/>
      <c r="V191" s="253"/>
      <c r="W191" s="254"/>
      <c r="X191" s="253"/>
      <c r="Y191" s="254"/>
      <c r="Z191" s="253"/>
      <c r="AA191" s="254"/>
      <c r="AB191" s="253"/>
      <c r="AC191" s="254"/>
      <c r="AD191" s="253"/>
      <c r="AE191" s="254"/>
      <c r="AF191" s="243"/>
      <c r="AG191" s="222"/>
    </row>
    <row r="192" spans="1:33" outlineLevel="1">
      <c r="A192" s="244">
        <v>60010</v>
      </c>
      <c r="B192" s="244" t="s">
        <v>761</v>
      </c>
      <c r="C192" s="245"/>
      <c r="D192" s="246"/>
      <c r="E192" s="240"/>
      <c r="F192" s="241"/>
      <c r="G192" s="247">
        <v>0</v>
      </c>
      <c r="H192" s="241"/>
      <c r="I192" s="247">
        <v>512.34</v>
      </c>
      <c r="J192" s="241"/>
      <c r="K192" s="247">
        <v>0</v>
      </c>
      <c r="L192" s="241"/>
      <c r="M192" s="247">
        <v>1224.57</v>
      </c>
      <c r="N192" s="241"/>
      <c r="O192" s="247">
        <v>52.09</v>
      </c>
      <c r="P192" s="241"/>
      <c r="Q192" s="247">
        <v>723.15</v>
      </c>
      <c r="R192" s="241"/>
      <c r="S192" s="247">
        <v>392.78</v>
      </c>
      <c r="T192" s="241"/>
      <c r="U192" s="247">
        <v>503.92</v>
      </c>
      <c r="V192" s="241"/>
      <c r="W192" s="247">
        <v>477.7</v>
      </c>
      <c r="X192" s="241"/>
      <c r="Y192" s="247">
        <v>491.95</v>
      </c>
      <c r="Z192" s="241"/>
      <c r="AA192" s="247">
        <v>563.11</v>
      </c>
      <c r="AB192" s="241"/>
      <c r="AC192" s="247">
        <v>536.24</v>
      </c>
      <c r="AD192" s="241"/>
      <c r="AE192" s="247">
        <f t="shared" ref="AE192:AE198" si="22">AC192+AA192+Y192+W192+U192+S192+Q192+O192+M192+K192+I192+G192</f>
        <v>5477.85</v>
      </c>
      <c r="AF192" s="248">
        <f t="shared" ref="AF192:AF198" si="23">IF(AE$47=0,0,AE192/AE$47)</f>
        <v>6.0408426401212267E-4</v>
      </c>
      <c r="AG192" s="249"/>
    </row>
    <row r="193" spans="1:33" outlineLevel="1">
      <c r="A193" s="244">
        <v>60030</v>
      </c>
      <c r="B193" s="244" t="s">
        <v>804</v>
      </c>
      <c r="C193" s="245"/>
      <c r="D193" s="246"/>
      <c r="E193" s="240"/>
      <c r="F193" s="241"/>
      <c r="G193" s="247">
        <v>0</v>
      </c>
      <c r="H193" s="241"/>
      <c r="I193" s="247">
        <v>0</v>
      </c>
      <c r="J193" s="241"/>
      <c r="K193" s="247">
        <v>0</v>
      </c>
      <c r="L193" s="241"/>
      <c r="M193" s="247">
        <v>0</v>
      </c>
      <c r="N193" s="241"/>
      <c r="O193" s="247">
        <v>98.56</v>
      </c>
      <c r="P193" s="241"/>
      <c r="Q193" s="247">
        <v>0</v>
      </c>
      <c r="R193" s="241"/>
      <c r="S193" s="247">
        <v>0</v>
      </c>
      <c r="T193" s="241"/>
      <c r="U193" s="247">
        <v>0</v>
      </c>
      <c r="V193" s="241"/>
      <c r="W193" s="247">
        <v>0</v>
      </c>
      <c r="X193" s="241"/>
      <c r="Y193" s="247">
        <v>0</v>
      </c>
      <c r="Z193" s="241"/>
      <c r="AA193" s="247">
        <v>0</v>
      </c>
      <c r="AB193" s="241"/>
      <c r="AC193" s="247">
        <v>0</v>
      </c>
      <c r="AD193" s="241"/>
      <c r="AE193" s="247">
        <f t="shared" si="22"/>
        <v>98.56</v>
      </c>
      <c r="AF193" s="248">
        <f t="shared" si="23"/>
        <v>1.0868962286487364E-5</v>
      </c>
      <c r="AG193" s="249"/>
    </row>
    <row r="194" spans="1:33" outlineLevel="1">
      <c r="A194" s="244">
        <v>60050</v>
      </c>
      <c r="B194" s="244" t="s">
        <v>751</v>
      </c>
      <c r="C194" s="245"/>
      <c r="D194" s="246"/>
      <c r="E194" s="240"/>
      <c r="F194" s="241"/>
      <c r="G194" s="247">
        <v>0</v>
      </c>
      <c r="H194" s="241"/>
      <c r="I194" s="247">
        <v>48.09</v>
      </c>
      <c r="J194" s="241"/>
      <c r="K194" s="247">
        <v>0</v>
      </c>
      <c r="L194" s="241"/>
      <c r="M194" s="247">
        <v>110.42</v>
      </c>
      <c r="N194" s="241"/>
      <c r="O194" s="247">
        <v>9.2799999999999994</v>
      </c>
      <c r="P194" s="241"/>
      <c r="Q194" s="247">
        <v>65.33</v>
      </c>
      <c r="R194" s="241"/>
      <c r="S194" s="247">
        <v>43.82</v>
      </c>
      <c r="T194" s="241"/>
      <c r="U194" s="247">
        <v>44.15</v>
      </c>
      <c r="V194" s="241"/>
      <c r="W194" s="247">
        <v>42.79</v>
      </c>
      <c r="X194" s="241"/>
      <c r="Y194" s="247">
        <v>148.46</v>
      </c>
      <c r="Z194" s="241"/>
      <c r="AA194" s="247">
        <v>79.13</v>
      </c>
      <c r="AB194" s="241"/>
      <c r="AC194" s="247">
        <v>130.31</v>
      </c>
      <c r="AD194" s="241"/>
      <c r="AE194" s="247">
        <f t="shared" si="22"/>
        <v>721.78</v>
      </c>
      <c r="AF194" s="248">
        <f t="shared" si="23"/>
        <v>7.9596180997776474E-5</v>
      </c>
      <c r="AG194" s="249"/>
    </row>
    <row r="195" spans="1:33" outlineLevel="1">
      <c r="A195" s="244">
        <v>60060</v>
      </c>
      <c r="B195" s="244" t="s">
        <v>752</v>
      </c>
      <c r="C195" s="245"/>
      <c r="D195" s="246"/>
      <c r="E195" s="240"/>
      <c r="F195" s="241"/>
      <c r="G195" s="247">
        <v>0</v>
      </c>
      <c r="H195" s="241"/>
      <c r="I195" s="247">
        <v>0</v>
      </c>
      <c r="J195" s="241"/>
      <c r="K195" s="247">
        <v>0</v>
      </c>
      <c r="L195" s="241"/>
      <c r="M195" s="247">
        <v>467.4</v>
      </c>
      <c r="N195" s="241"/>
      <c r="O195" s="247">
        <v>-42.41</v>
      </c>
      <c r="P195" s="241"/>
      <c r="Q195" s="247">
        <v>233.66</v>
      </c>
      <c r="R195" s="241"/>
      <c r="S195" s="247">
        <v>83.69</v>
      </c>
      <c r="T195" s="241"/>
      <c r="U195" s="247">
        <v>165.16</v>
      </c>
      <c r="V195" s="241"/>
      <c r="W195" s="247">
        <v>109.37</v>
      </c>
      <c r="X195" s="241"/>
      <c r="Y195" s="247">
        <v>352.76</v>
      </c>
      <c r="Z195" s="241"/>
      <c r="AA195" s="247">
        <v>220.56</v>
      </c>
      <c r="AB195" s="241"/>
      <c r="AC195" s="247">
        <v>292.37</v>
      </c>
      <c r="AD195" s="241"/>
      <c r="AE195" s="247">
        <f t="shared" si="22"/>
        <v>1882.56</v>
      </c>
      <c r="AF195" s="248">
        <f t="shared" si="23"/>
        <v>2.0760423743962714E-4</v>
      </c>
      <c r="AG195" s="249"/>
    </row>
    <row r="196" spans="1:33" outlineLevel="1">
      <c r="A196" s="244">
        <v>60065</v>
      </c>
      <c r="B196" s="244" t="s">
        <v>753</v>
      </c>
      <c r="C196" s="245"/>
      <c r="D196" s="246"/>
      <c r="E196" s="240"/>
      <c r="F196" s="241"/>
      <c r="G196" s="247">
        <v>0</v>
      </c>
      <c r="H196" s="241"/>
      <c r="I196" s="247">
        <v>-0.12</v>
      </c>
      <c r="J196" s="241"/>
      <c r="K196" s="247">
        <v>0</v>
      </c>
      <c r="L196" s="241"/>
      <c r="M196" s="247">
        <v>49.23</v>
      </c>
      <c r="N196" s="241"/>
      <c r="O196" s="247">
        <v>-1.76</v>
      </c>
      <c r="P196" s="241"/>
      <c r="Q196" s="247">
        <v>25.13</v>
      </c>
      <c r="R196" s="241"/>
      <c r="S196" s="247">
        <v>11.33</v>
      </c>
      <c r="T196" s="241"/>
      <c r="U196" s="247">
        <v>18.829999999999998</v>
      </c>
      <c r="V196" s="241"/>
      <c r="W196" s="247">
        <v>13.95</v>
      </c>
      <c r="X196" s="241"/>
      <c r="Y196" s="247">
        <v>16.600000000000001</v>
      </c>
      <c r="Z196" s="241"/>
      <c r="AA196" s="247">
        <v>-57.58</v>
      </c>
      <c r="AB196" s="241"/>
      <c r="AC196" s="247">
        <v>56.26</v>
      </c>
      <c r="AD196" s="241"/>
      <c r="AE196" s="247">
        <f t="shared" si="22"/>
        <v>131.86999999999998</v>
      </c>
      <c r="AF196" s="248">
        <f t="shared" si="23"/>
        <v>1.4542309828724516E-5</v>
      </c>
      <c r="AG196" s="249"/>
    </row>
    <row r="197" spans="1:33" outlineLevel="1">
      <c r="A197" s="244">
        <v>60195</v>
      </c>
      <c r="B197" s="244" t="s">
        <v>805</v>
      </c>
      <c r="C197" s="245"/>
      <c r="D197" s="246"/>
      <c r="E197" s="240"/>
      <c r="F197" s="241"/>
      <c r="G197" s="247">
        <v>0</v>
      </c>
      <c r="H197" s="241"/>
      <c r="I197" s="247">
        <v>762.05</v>
      </c>
      <c r="J197" s="241"/>
      <c r="K197" s="247">
        <v>0</v>
      </c>
      <c r="L197" s="241"/>
      <c r="M197" s="247">
        <v>0</v>
      </c>
      <c r="N197" s="241"/>
      <c r="O197" s="247">
        <v>0</v>
      </c>
      <c r="P197" s="241"/>
      <c r="Q197" s="247">
        <v>0</v>
      </c>
      <c r="R197" s="241"/>
      <c r="S197" s="247">
        <v>0</v>
      </c>
      <c r="T197" s="241"/>
      <c r="U197" s="247">
        <v>0</v>
      </c>
      <c r="V197" s="241"/>
      <c r="W197" s="247">
        <v>0</v>
      </c>
      <c r="X197" s="241"/>
      <c r="Y197" s="247">
        <v>0</v>
      </c>
      <c r="Z197" s="241"/>
      <c r="AA197" s="247">
        <v>0</v>
      </c>
      <c r="AB197" s="241"/>
      <c r="AC197" s="247">
        <v>0</v>
      </c>
      <c r="AD197" s="241"/>
      <c r="AE197" s="247">
        <f t="shared" si="22"/>
        <v>762.05</v>
      </c>
      <c r="AF197" s="248">
        <f t="shared" si="23"/>
        <v>8.4037060779400307E-5</v>
      </c>
      <c r="AG197" s="249"/>
    </row>
    <row r="198" spans="1:33" outlineLevel="1">
      <c r="A198" s="244">
        <v>60205</v>
      </c>
      <c r="B198" s="244" t="s">
        <v>806</v>
      </c>
      <c r="C198" s="245"/>
      <c r="D198" s="246"/>
      <c r="E198" s="240"/>
      <c r="F198" s="241"/>
      <c r="G198" s="247">
        <v>0</v>
      </c>
      <c r="H198" s="241"/>
      <c r="I198" s="247">
        <v>121.84</v>
      </c>
      <c r="J198" s="241"/>
      <c r="K198" s="247">
        <v>0</v>
      </c>
      <c r="L198" s="241"/>
      <c r="M198" s="247">
        <v>0</v>
      </c>
      <c r="N198" s="241"/>
      <c r="O198" s="247">
        <v>0</v>
      </c>
      <c r="P198" s="241"/>
      <c r="Q198" s="247">
        <v>0</v>
      </c>
      <c r="R198" s="241"/>
      <c r="S198" s="247">
        <v>0</v>
      </c>
      <c r="T198" s="241"/>
      <c r="U198" s="247">
        <v>0</v>
      </c>
      <c r="V198" s="241"/>
      <c r="W198" s="247">
        <v>0</v>
      </c>
      <c r="X198" s="241"/>
      <c r="Y198" s="247">
        <v>0</v>
      </c>
      <c r="Z198" s="241"/>
      <c r="AA198" s="247">
        <v>0</v>
      </c>
      <c r="AB198" s="241"/>
      <c r="AC198" s="247">
        <v>0</v>
      </c>
      <c r="AD198" s="241"/>
      <c r="AE198" s="247">
        <f t="shared" si="22"/>
        <v>121.84</v>
      </c>
      <c r="AF198" s="248">
        <f t="shared" si="23"/>
        <v>1.3436225294091115E-5</v>
      </c>
      <c r="AG198" s="249"/>
    </row>
    <row r="199" spans="1:33" s="240" customFormat="1" ht="5.15" customHeight="1" outlineLevel="1">
      <c r="A199" s="245"/>
      <c r="B199" s="245"/>
      <c r="C199" s="245"/>
      <c r="D199" s="245"/>
      <c r="G199" s="255"/>
      <c r="H199" s="253"/>
      <c r="I199" s="255"/>
      <c r="J199" s="253"/>
      <c r="K199" s="255"/>
      <c r="L199" s="253"/>
      <c r="M199" s="255"/>
      <c r="N199" s="253"/>
      <c r="O199" s="255"/>
      <c r="P199" s="253"/>
      <c r="Q199" s="255"/>
      <c r="R199" s="253"/>
      <c r="S199" s="255"/>
      <c r="T199" s="253"/>
      <c r="U199" s="255"/>
      <c r="V199" s="253"/>
      <c r="W199" s="255"/>
      <c r="X199" s="253"/>
      <c r="Y199" s="255"/>
      <c r="Z199" s="253"/>
      <c r="AA199" s="255"/>
      <c r="AB199" s="253"/>
      <c r="AC199" s="255"/>
      <c r="AD199" s="253"/>
      <c r="AE199" s="255"/>
      <c r="AF199" s="243"/>
      <c r="AG199" s="222"/>
    </row>
    <row r="200" spans="1:33" s="240" customFormat="1" ht="15.5">
      <c r="C200" s="245" t="s">
        <v>808</v>
      </c>
      <c r="G200" s="252">
        <f>SUM(G191:G199)</f>
        <v>0</v>
      </c>
      <c r="H200" s="253"/>
      <c r="I200" s="252">
        <f>SUM(I191:I199)</f>
        <v>1444.2</v>
      </c>
      <c r="J200" s="253"/>
      <c r="K200" s="252">
        <f>SUM(K191:K199)</f>
        <v>0</v>
      </c>
      <c r="L200" s="253"/>
      <c r="M200" s="252">
        <f>SUM(M191:M199)</f>
        <v>1851.62</v>
      </c>
      <c r="N200" s="253"/>
      <c r="O200" s="252">
        <f>SUM(O191:O199)</f>
        <v>115.76</v>
      </c>
      <c r="P200" s="253"/>
      <c r="Q200" s="252">
        <f>SUM(Q191:Q199)</f>
        <v>1047.27</v>
      </c>
      <c r="R200" s="253"/>
      <c r="S200" s="252">
        <f>SUM(S191:S199)</f>
        <v>531.62</v>
      </c>
      <c r="T200" s="253"/>
      <c r="U200" s="252">
        <f>SUM(U191:U199)</f>
        <v>732.06000000000006</v>
      </c>
      <c r="V200" s="253"/>
      <c r="W200" s="252">
        <f>SUM(W191:W199)</f>
        <v>643.81000000000006</v>
      </c>
      <c r="X200" s="253"/>
      <c r="Y200" s="252">
        <f>SUM(Y191:Y199)</f>
        <v>1009.77</v>
      </c>
      <c r="Z200" s="253"/>
      <c r="AA200" s="252">
        <f>SUM(AA191:AA199)</f>
        <v>805.21999999999991</v>
      </c>
      <c r="AB200" s="253"/>
      <c r="AC200" s="252">
        <f>SUM(AC191:AC199)</f>
        <v>1015.18</v>
      </c>
      <c r="AD200" s="253"/>
      <c r="AE200" s="252">
        <f>SUM(AE191:AE199)</f>
        <v>9196.51</v>
      </c>
      <c r="AF200" s="248">
        <f>IF(AE$47=0,0,AE200/AE$47)</f>
        <v>1.0141692406382295E-3</v>
      </c>
      <c r="AG200" s="222"/>
    </row>
    <row r="201" spans="1:33" s="240" customFormat="1" ht="15.5" outlineLevel="1">
      <c r="G201" s="254"/>
      <c r="H201" s="253"/>
      <c r="I201" s="254"/>
      <c r="J201" s="253"/>
      <c r="K201" s="254"/>
      <c r="L201" s="253"/>
      <c r="M201" s="254"/>
      <c r="N201" s="253"/>
      <c r="O201" s="254"/>
      <c r="P201" s="253"/>
      <c r="Q201" s="254"/>
      <c r="R201" s="253"/>
      <c r="S201" s="254"/>
      <c r="T201" s="253"/>
      <c r="U201" s="254"/>
      <c r="V201" s="253"/>
      <c r="W201" s="254"/>
      <c r="X201" s="253"/>
      <c r="Y201" s="254"/>
      <c r="Z201" s="253"/>
      <c r="AA201" s="254"/>
      <c r="AB201" s="253"/>
      <c r="AC201" s="254"/>
      <c r="AD201" s="253"/>
      <c r="AE201" s="254"/>
      <c r="AF201" s="243"/>
      <c r="AG201" s="222"/>
    </row>
    <row r="202" spans="1:33" s="240" customFormat="1" ht="15.5" outlineLevel="1">
      <c r="G202" s="254"/>
      <c r="H202" s="253"/>
      <c r="I202" s="254"/>
      <c r="J202" s="253"/>
      <c r="K202" s="254"/>
      <c r="L202" s="253"/>
      <c r="M202" s="254"/>
      <c r="N202" s="253"/>
      <c r="O202" s="254"/>
      <c r="P202" s="253"/>
      <c r="Q202" s="254"/>
      <c r="R202" s="253"/>
      <c r="S202" s="254"/>
      <c r="T202" s="253"/>
      <c r="U202" s="254"/>
      <c r="V202" s="253"/>
      <c r="W202" s="254"/>
      <c r="X202" s="253"/>
      <c r="Y202" s="254"/>
      <c r="Z202" s="253"/>
      <c r="AA202" s="254"/>
      <c r="AB202" s="253"/>
      <c r="AC202" s="254"/>
      <c r="AD202" s="253"/>
      <c r="AE202" s="254"/>
      <c r="AF202" s="243"/>
      <c r="AG202" s="222"/>
    </row>
    <row r="203" spans="1:33" outlineLevel="1">
      <c r="A203" s="244">
        <v>70010</v>
      </c>
      <c r="B203" s="244" t="s">
        <v>761</v>
      </c>
      <c r="C203" s="245"/>
      <c r="D203" s="246"/>
      <c r="E203" s="240"/>
      <c r="F203" s="241"/>
      <c r="G203" s="247">
        <v>9775.6</v>
      </c>
      <c r="H203" s="241"/>
      <c r="I203" s="247">
        <v>11320.67</v>
      </c>
      <c r="J203" s="241"/>
      <c r="K203" s="247">
        <v>10774.26</v>
      </c>
      <c r="L203" s="241"/>
      <c r="M203" s="247">
        <v>10811.13</v>
      </c>
      <c r="N203" s="241"/>
      <c r="O203" s="247">
        <v>11079.5</v>
      </c>
      <c r="P203" s="241"/>
      <c r="Q203" s="247">
        <v>10134.39</v>
      </c>
      <c r="R203" s="241"/>
      <c r="S203" s="247">
        <v>11976.19</v>
      </c>
      <c r="T203" s="241"/>
      <c r="U203" s="247">
        <v>11532.81</v>
      </c>
      <c r="V203" s="241"/>
      <c r="W203" s="247">
        <v>11282.06</v>
      </c>
      <c r="X203" s="241"/>
      <c r="Y203" s="247">
        <v>12028.45</v>
      </c>
      <c r="Z203" s="241"/>
      <c r="AA203" s="247">
        <v>10211.91</v>
      </c>
      <c r="AB203" s="241"/>
      <c r="AC203" s="247">
        <v>16682.990000000002</v>
      </c>
      <c r="AD203" s="241"/>
      <c r="AE203" s="247">
        <f t="shared" ref="AE203:AE245" si="24">AC203+AA203+Y203+W203+U203+S203+Q203+O203+M203+K203+I203+G203</f>
        <v>137609.96</v>
      </c>
      <c r="AF203" s="248">
        <f t="shared" ref="AF203:AF245" si="25">IF(AE$47=0,0,AE203/AE$47)</f>
        <v>1.517529895987251E-2</v>
      </c>
      <c r="AG203" s="249"/>
    </row>
    <row r="204" spans="1:33" outlineLevel="1">
      <c r="A204" s="244">
        <v>70020</v>
      </c>
      <c r="B204" s="244" t="s">
        <v>746</v>
      </c>
      <c r="C204" s="245"/>
      <c r="D204" s="246"/>
      <c r="E204" s="240"/>
      <c r="F204" s="241"/>
      <c r="G204" s="247">
        <v>2366.41</v>
      </c>
      <c r="H204" s="241"/>
      <c r="I204" s="247">
        <v>20131.23</v>
      </c>
      <c r="J204" s="241"/>
      <c r="K204" s="247">
        <v>12546.93</v>
      </c>
      <c r="L204" s="241"/>
      <c r="M204" s="247">
        <v>12434.33</v>
      </c>
      <c r="N204" s="241"/>
      <c r="O204" s="247">
        <v>10373.209999999999</v>
      </c>
      <c r="P204" s="241"/>
      <c r="Q204" s="247">
        <v>11572.65</v>
      </c>
      <c r="R204" s="241"/>
      <c r="S204" s="247">
        <v>12480.23</v>
      </c>
      <c r="T204" s="241"/>
      <c r="U204" s="247">
        <v>11172.47</v>
      </c>
      <c r="V204" s="241"/>
      <c r="W204" s="247">
        <v>13874.45</v>
      </c>
      <c r="X204" s="241"/>
      <c r="Y204" s="247">
        <v>12917.4</v>
      </c>
      <c r="Z204" s="241"/>
      <c r="AA204" s="247">
        <v>13818.49</v>
      </c>
      <c r="AB204" s="241"/>
      <c r="AC204" s="247">
        <v>15581.3</v>
      </c>
      <c r="AD204" s="241"/>
      <c r="AE204" s="247">
        <f t="shared" si="24"/>
        <v>149269.1</v>
      </c>
      <c r="AF204" s="248">
        <f t="shared" si="25"/>
        <v>1.64610411773327E-2</v>
      </c>
      <c r="AG204" s="249"/>
    </row>
    <row r="205" spans="1:33" outlineLevel="1">
      <c r="A205" s="244">
        <v>70025</v>
      </c>
      <c r="B205" s="244" t="s">
        <v>747</v>
      </c>
      <c r="C205" s="245"/>
      <c r="D205" s="246"/>
      <c r="E205" s="240"/>
      <c r="F205" s="241"/>
      <c r="G205" s="247">
        <v>1248.98</v>
      </c>
      <c r="H205" s="241"/>
      <c r="I205" s="247">
        <v>2134.0100000000002</v>
      </c>
      <c r="J205" s="241"/>
      <c r="K205" s="247">
        <v>1488.21</v>
      </c>
      <c r="L205" s="241"/>
      <c r="M205" s="247">
        <v>1756.42</v>
      </c>
      <c r="N205" s="241"/>
      <c r="O205" s="247">
        <v>1437.34</v>
      </c>
      <c r="P205" s="241"/>
      <c r="Q205" s="247">
        <v>1625.24</v>
      </c>
      <c r="R205" s="241"/>
      <c r="S205" s="247">
        <v>1994.23</v>
      </c>
      <c r="T205" s="241"/>
      <c r="U205" s="247">
        <v>1908.37</v>
      </c>
      <c r="V205" s="241"/>
      <c r="W205" s="247">
        <v>1588.91</v>
      </c>
      <c r="X205" s="241"/>
      <c r="Y205" s="247">
        <v>1855.14</v>
      </c>
      <c r="Z205" s="241"/>
      <c r="AA205" s="247">
        <v>1527</v>
      </c>
      <c r="AB205" s="241"/>
      <c r="AC205" s="247">
        <v>1741.61</v>
      </c>
      <c r="AD205" s="241"/>
      <c r="AE205" s="247">
        <f t="shared" si="24"/>
        <v>20305.459999999995</v>
      </c>
      <c r="AF205" s="248">
        <f t="shared" si="25"/>
        <v>2.2392378140196597E-3</v>
      </c>
      <c r="AG205" s="249"/>
    </row>
    <row r="206" spans="1:33" outlineLevel="1">
      <c r="A206" s="244">
        <v>70035</v>
      </c>
      <c r="B206" s="244" t="s">
        <v>748</v>
      </c>
      <c r="C206" s="245"/>
      <c r="D206" s="246"/>
      <c r="E206" s="240"/>
      <c r="F206" s="241"/>
      <c r="G206" s="247">
        <v>0</v>
      </c>
      <c r="H206" s="241"/>
      <c r="I206" s="247">
        <v>0</v>
      </c>
      <c r="J206" s="241"/>
      <c r="K206" s="247">
        <v>-74.25</v>
      </c>
      <c r="L206" s="241"/>
      <c r="M206" s="247">
        <v>0</v>
      </c>
      <c r="N206" s="241"/>
      <c r="O206" s="247">
        <v>0</v>
      </c>
      <c r="P206" s="241"/>
      <c r="Q206" s="247">
        <v>0</v>
      </c>
      <c r="R206" s="241"/>
      <c r="S206" s="247">
        <v>0</v>
      </c>
      <c r="T206" s="241"/>
      <c r="U206" s="247">
        <v>0</v>
      </c>
      <c r="V206" s="241"/>
      <c r="W206" s="247">
        <v>0</v>
      </c>
      <c r="X206" s="241"/>
      <c r="Y206" s="247">
        <v>0</v>
      </c>
      <c r="Z206" s="241"/>
      <c r="AA206" s="247">
        <v>0</v>
      </c>
      <c r="AB206" s="241"/>
      <c r="AC206" s="247">
        <v>0</v>
      </c>
      <c r="AD206" s="241"/>
      <c r="AE206" s="247">
        <f t="shared" si="24"/>
        <v>-74.25</v>
      </c>
      <c r="AF206" s="248">
        <f t="shared" si="25"/>
        <v>-8.1881133296640298E-6</v>
      </c>
      <c r="AG206" s="249"/>
    </row>
    <row r="207" spans="1:33" outlineLevel="1">
      <c r="A207" s="244">
        <v>70036</v>
      </c>
      <c r="B207" s="244" t="s">
        <v>749</v>
      </c>
      <c r="C207" s="245"/>
      <c r="D207" s="246"/>
      <c r="E207" s="240"/>
      <c r="F207" s="241"/>
      <c r="G207" s="247">
        <v>0</v>
      </c>
      <c r="H207" s="241"/>
      <c r="I207" s="247">
        <v>1.0900000000000001</v>
      </c>
      <c r="J207" s="241"/>
      <c r="K207" s="247">
        <v>2161.9</v>
      </c>
      <c r="L207" s="241"/>
      <c r="M207" s="247">
        <v>35.979999999999997</v>
      </c>
      <c r="N207" s="241"/>
      <c r="O207" s="247">
        <v>698.62</v>
      </c>
      <c r="P207" s="241"/>
      <c r="Q207" s="247">
        <v>53.43</v>
      </c>
      <c r="R207" s="241"/>
      <c r="S207" s="247">
        <v>-305.10000000000002</v>
      </c>
      <c r="T207" s="241"/>
      <c r="U207" s="247">
        <v>810.7</v>
      </c>
      <c r="V207" s="241"/>
      <c r="W207" s="247">
        <v>222.07</v>
      </c>
      <c r="X207" s="241"/>
      <c r="Y207" s="247">
        <v>-121.75</v>
      </c>
      <c r="Z207" s="241"/>
      <c r="AA207" s="247">
        <v>321.68</v>
      </c>
      <c r="AB207" s="241"/>
      <c r="AC207" s="247">
        <v>69.78</v>
      </c>
      <c r="AD207" s="241"/>
      <c r="AE207" s="247">
        <f t="shared" si="24"/>
        <v>3948.4</v>
      </c>
      <c r="AF207" s="248">
        <f t="shared" si="25"/>
        <v>4.3542015718310377E-4</v>
      </c>
      <c r="AG207" s="249"/>
    </row>
    <row r="208" spans="1:33" outlineLevel="1">
      <c r="A208" s="244">
        <v>70045</v>
      </c>
      <c r="B208" s="244" t="s">
        <v>750</v>
      </c>
      <c r="C208" s="245"/>
      <c r="D208" s="246"/>
      <c r="E208" s="240"/>
      <c r="F208" s="241"/>
      <c r="G208" s="247">
        <v>0</v>
      </c>
      <c r="H208" s="241"/>
      <c r="I208" s="247">
        <v>1740.25</v>
      </c>
      <c r="J208" s="241"/>
      <c r="K208" s="247">
        <v>1516.44</v>
      </c>
      <c r="L208" s="241"/>
      <c r="M208" s="247">
        <v>416.09</v>
      </c>
      <c r="N208" s="241"/>
      <c r="O208" s="247">
        <v>671.8</v>
      </c>
      <c r="P208" s="241"/>
      <c r="Q208" s="247">
        <v>965.57</v>
      </c>
      <c r="R208" s="241"/>
      <c r="S208" s="247">
        <v>952.15</v>
      </c>
      <c r="T208" s="241"/>
      <c r="U208" s="247">
        <v>775.85</v>
      </c>
      <c r="V208" s="241"/>
      <c r="W208" s="247">
        <v>575.96</v>
      </c>
      <c r="X208" s="241"/>
      <c r="Y208" s="247">
        <v>1523.2</v>
      </c>
      <c r="Z208" s="241"/>
      <c r="AA208" s="247">
        <v>737.03</v>
      </c>
      <c r="AB208" s="241"/>
      <c r="AC208" s="247">
        <v>874.21</v>
      </c>
      <c r="AD208" s="241"/>
      <c r="AE208" s="247">
        <f t="shared" si="24"/>
        <v>10748.55</v>
      </c>
      <c r="AF208" s="248">
        <f t="shared" si="25"/>
        <v>1.1853245189166371E-3</v>
      </c>
      <c r="AG208" s="249"/>
    </row>
    <row r="209" spans="1:33" outlineLevel="1">
      <c r="A209" s="244">
        <v>70050</v>
      </c>
      <c r="B209" s="244" t="s">
        <v>751</v>
      </c>
      <c r="C209" s="245"/>
      <c r="D209" s="246"/>
      <c r="E209" s="240"/>
      <c r="F209" s="241"/>
      <c r="G209" s="247">
        <v>1245.56</v>
      </c>
      <c r="H209" s="241"/>
      <c r="I209" s="247">
        <v>3142.47</v>
      </c>
      <c r="J209" s="241"/>
      <c r="K209" s="247">
        <v>1996.09</v>
      </c>
      <c r="L209" s="241"/>
      <c r="M209" s="247">
        <v>2155.41</v>
      </c>
      <c r="N209" s="241"/>
      <c r="O209" s="247">
        <v>1991.34</v>
      </c>
      <c r="P209" s="241"/>
      <c r="Q209" s="247">
        <v>1966.24</v>
      </c>
      <c r="R209" s="241"/>
      <c r="S209" s="247">
        <v>2178.85</v>
      </c>
      <c r="T209" s="241"/>
      <c r="U209" s="247">
        <v>2113.77</v>
      </c>
      <c r="V209" s="241"/>
      <c r="W209" s="247">
        <v>2158.27</v>
      </c>
      <c r="X209" s="241"/>
      <c r="Y209" s="247">
        <v>2131.42</v>
      </c>
      <c r="Z209" s="241"/>
      <c r="AA209" s="247">
        <v>1955.11</v>
      </c>
      <c r="AB209" s="241"/>
      <c r="AC209" s="247">
        <v>2102.36</v>
      </c>
      <c r="AD209" s="241"/>
      <c r="AE209" s="247">
        <f t="shared" si="24"/>
        <v>25136.890000000003</v>
      </c>
      <c r="AF209" s="248">
        <f t="shared" si="25"/>
        <v>2.7720364185225381E-3</v>
      </c>
      <c r="AG209" s="249"/>
    </row>
    <row r="210" spans="1:33" outlineLevel="1">
      <c r="A210" s="244">
        <v>70060</v>
      </c>
      <c r="B210" s="244" t="s">
        <v>752</v>
      </c>
      <c r="C210" s="245"/>
      <c r="D210" s="246"/>
      <c r="E210" s="240"/>
      <c r="F210" s="241"/>
      <c r="G210" s="247">
        <v>3340.36</v>
      </c>
      <c r="H210" s="241"/>
      <c r="I210" s="247">
        <v>7944.19</v>
      </c>
      <c r="J210" s="241"/>
      <c r="K210" s="247">
        <v>5589.69</v>
      </c>
      <c r="L210" s="241"/>
      <c r="M210" s="247">
        <v>5991.52</v>
      </c>
      <c r="N210" s="241"/>
      <c r="O210" s="247">
        <v>6042.65</v>
      </c>
      <c r="P210" s="241"/>
      <c r="Q210" s="247">
        <v>5603.2</v>
      </c>
      <c r="R210" s="241"/>
      <c r="S210" s="247">
        <v>5530.17</v>
      </c>
      <c r="T210" s="241"/>
      <c r="U210" s="247">
        <v>5961.42</v>
      </c>
      <c r="V210" s="241"/>
      <c r="W210" s="247">
        <v>5362.06</v>
      </c>
      <c r="X210" s="241"/>
      <c r="Y210" s="247">
        <v>6085.76</v>
      </c>
      <c r="Z210" s="241"/>
      <c r="AA210" s="247">
        <v>5932.23</v>
      </c>
      <c r="AB210" s="241"/>
      <c r="AC210" s="247">
        <v>6368.86</v>
      </c>
      <c r="AD210" s="241"/>
      <c r="AE210" s="247">
        <f t="shared" si="24"/>
        <v>69752.11</v>
      </c>
      <c r="AF210" s="248">
        <f t="shared" si="25"/>
        <v>7.6920967227365874E-3</v>
      </c>
      <c r="AG210" s="249"/>
    </row>
    <row r="211" spans="1:33" outlineLevel="1">
      <c r="A211" s="244">
        <v>70065</v>
      </c>
      <c r="B211" s="244" t="s">
        <v>753</v>
      </c>
      <c r="C211" s="245"/>
      <c r="D211" s="246"/>
      <c r="E211" s="240"/>
      <c r="F211" s="241"/>
      <c r="G211" s="247">
        <v>387.53</v>
      </c>
      <c r="H211" s="241"/>
      <c r="I211" s="247">
        <v>1702.74</v>
      </c>
      <c r="J211" s="241"/>
      <c r="K211" s="247">
        <v>879.19</v>
      </c>
      <c r="L211" s="241"/>
      <c r="M211" s="247">
        <v>1221.95</v>
      </c>
      <c r="N211" s="241"/>
      <c r="O211" s="247">
        <v>1068.51</v>
      </c>
      <c r="P211" s="241"/>
      <c r="Q211" s="247">
        <v>957.5</v>
      </c>
      <c r="R211" s="241"/>
      <c r="S211" s="247">
        <v>955.25</v>
      </c>
      <c r="T211" s="241"/>
      <c r="U211" s="247">
        <v>732.45</v>
      </c>
      <c r="V211" s="241"/>
      <c r="W211" s="247">
        <v>1487.39</v>
      </c>
      <c r="X211" s="241"/>
      <c r="Y211" s="247">
        <v>1382.23</v>
      </c>
      <c r="Z211" s="241"/>
      <c r="AA211" s="247">
        <v>377.57</v>
      </c>
      <c r="AB211" s="241"/>
      <c r="AC211" s="247">
        <v>584.24</v>
      </c>
      <c r="AD211" s="241"/>
      <c r="AE211" s="247">
        <f t="shared" si="24"/>
        <v>11736.550000000001</v>
      </c>
      <c r="AF211" s="248">
        <f t="shared" si="25"/>
        <v>1.2942788080709546E-3</v>
      </c>
      <c r="AG211" s="249"/>
    </row>
    <row r="212" spans="1:33" outlineLevel="1">
      <c r="A212" s="244">
        <v>70070</v>
      </c>
      <c r="B212" s="244" t="s">
        <v>754</v>
      </c>
      <c r="C212" s="245"/>
      <c r="D212" s="246"/>
      <c r="E212" s="240"/>
      <c r="F212" s="241"/>
      <c r="G212" s="247">
        <v>1</v>
      </c>
      <c r="H212" s="241"/>
      <c r="I212" s="247">
        <v>487.2</v>
      </c>
      <c r="J212" s="241"/>
      <c r="K212" s="247">
        <v>0</v>
      </c>
      <c r="L212" s="241"/>
      <c r="M212" s="247">
        <v>819.36</v>
      </c>
      <c r="N212" s="241"/>
      <c r="O212" s="247">
        <v>276.81</v>
      </c>
      <c r="P212" s="241"/>
      <c r="Q212" s="247">
        <v>157.53</v>
      </c>
      <c r="R212" s="241"/>
      <c r="S212" s="247">
        <v>732.71</v>
      </c>
      <c r="T212" s="241"/>
      <c r="U212" s="247">
        <v>159.47</v>
      </c>
      <c r="V212" s="241"/>
      <c r="W212" s="247">
        <v>28.85</v>
      </c>
      <c r="X212" s="241"/>
      <c r="Y212" s="247">
        <v>17.66</v>
      </c>
      <c r="Z212" s="241"/>
      <c r="AA212" s="247">
        <v>48.09</v>
      </c>
      <c r="AB212" s="241"/>
      <c r="AC212" s="247">
        <v>170.93</v>
      </c>
      <c r="AD212" s="241"/>
      <c r="AE212" s="247">
        <f t="shared" si="24"/>
        <v>2899.6099999999997</v>
      </c>
      <c r="AF212" s="248">
        <f t="shared" si="25"/>
        <v>3.1976209147241901E-4</v>
      </c>
      <c r="AG212" s="249"/>
    </row>
    <row r="213" spans="1:33" outlineLevel="1">
      <c r="A213" s="244">
        <v>70086</v>
      </c>
      <c r="B213" s="244" t="s">
        <v>755</v>
      </c>
      <c r="C213" s="245"/>
      <c r="D213" s="246"/>
      <c r="E213" s="240"/>
      <c r="F213" s="241"/>
      <c r="G213" s="247">
        <v>0</v>
      </c>
      <c r="H213" s="241"/>
      <c r="I213" s="247">
        <v>71.31</v>
      </c>
      <c r="J213" s="241"/>
      <c r="K213" s="247">
        <v>65.34</v>
      </c>
      <c r="L213" s="241"/>
      <c r="M213" s="247">
        <v>96.68</v>
      </c>
      <c r="N213" s="241"/>
      <c r="O213" s="247">
        <v>444</v>
      </c>
      <c r="P213" s="241"/>
      <c r="Q213" s="247">
        <v>416.93</v>
      </c>
      <c r="R213" s="241"/>
      <c r="S213" s="247">
        <v>280.5</v>
      </c>
      <c r="T213" s="241"/>
      <c r="U213" s="247">
        <v>306.88</v>
      </c>
      <c r="V213" s="241"/>
      <c r="W213" s="247">
        <v>181.39</v>
      </c>
      <c r="X213" s="241"/>
      <c r="Y213" s="247">
        <v>0</v>
      </c>
      <c r="Z213" s="241"/>
      <c r="AA213" s="247">
        <v>59</v>
      </c>
      <c r="AB213" s="241"/>
      <c r="AC213" s="247">
        <v>84.87</v>
      </c>
      <c r="AD213" s="241"/>
      <c r="AE213" s="247">
        <f t="shared" si="24"/>
        <v>2006.8999999999999</v>
      </c>
      <c r="AF213" s="248">
        <f t="shared" si="25"/>
        <v>2.2131615678522209E-4</v>
      </c>
      <c r="AG213" s="249"/>
    </row>
    <row r="214" spans="1:33" outlineLevel="1">
      <c r="A214" s="244">
        <v>70095</v>
      </c>
      <c r="B214" s="244" t="s">
        <v>781</v>
      </c>
      <c r="C214" s="245"/>
      <c r="D214" s="246"/>
      <c r="E214" s="240"/>
      <c r="F214" s="241"/>
      <c r="G214" s="247">
        <v>274.79000000000002</v>
      </c>
      <c r="H214" s="241"/>
      <c r="I214" s="247">
        <v>93.49</v>
      </c>
      <c r="J214" s="241"/>
      <c r="K214" s="247">
        <v>176.18</v>
      </c>
      <c r="L214" s="241"/>
      <c r="M214" s="247">
        <v>7.9</v>
      </c>
      <c r="N214" s="241"/>
      <c r="O214" s="247">
        <v>846.92</v>
      </c>
      <c r="P214" s="241"/>
      <c r="Q214" s="247">
        <v>351.44</v>
      </c>
      <c r="R214" s="241"/>
      <c r="S214" s="247">
        <v>510.86</v>
      </c>
      <c r="T214" s="241"/>
      <c r="U214" s="247">
        <v>429.23</v>
      </c>
      <c r="V214" s="241"/>
      <c r="W214" s="247">
        <v>555.27</v>
      </c>
      <c r="X214" s="241"/>
      <c r="Y214" s="247">
        <v>251.58</v>
      </c>
      <c r="Z214" s="241"/>
      <c r="AA214" s="247">
        <v>715.9</v>
      </c>
      <c r="AB214" s="241"/>
      <c r="AC214" s="247">
        <v>836.34</v>
      </c>
      <c r="AD214" s="241"/>
      <c r="AE214" s="247">
        <f t="shared" si="24"/>
        <v>5049.8999999999996</v>
      </c>
      <c r="AF214" s="248">
        <f t="shared" si="25"/>
        <v>5.5689095627569534E-4</v>
      </c>
      <c r="AG214" s="249"/>
    </row>
    <row r="215" spans="1:33" outlineLevel="1">
      <c r="A215" s="244">
        <v>70110</v>
      </c>
      <c r="B215" s="244" t="s">
        <v>809</v>
      </c>
      <c r="C215" s="245"/>
      <c r="D215" s="246"/>
      <c r="E215" s="240"/>
      <c r="F215" s="241"/>
      <c r="G215" s="247">
        <v>100</v>
      </c>
      <c r="H215" s="241"/>
      <c r="I215" s="247">
        <v>78.11</v>
      </c>
      <c r="J215" s="241"/>
      <c r="K215" s="247">
        <v>116.67</v>
      </c>
      <c r="L215" s="241"/>
      <c r="M215" s="247">
        <v>116.67</v>
      </c>
      <c r="N215" s="241"/>
      <c r="O215" s="247">
        <v>116.67</v>
      </c>
      <c r="P215" s="241"/>
      <c r="Q215" s="247">
        <v>116.67</v>
      </c>
      <c r="R215" s="241"/>
      <c r="S215" s="247">
        <v>116.67</v>
      </c>
      <c r="T215" s="241"/>
      <c r="U215" s="247">
        <v>133.33000000000001</v>
      </c>
      <c r="V215" s="241"/>
      <c r="W215" s="247">
        <v>0</v>
      </c>
      <c r="X215" s="241"/>
      <c r="Y215" s="247">
        <v>116.67</v>
      </c>
      <c r="Z215" s="241"/>
      <c r="AA215" s="247">
        <v>116.67</v>
      </c>
      <c r="AB215" s="241"/>
      <c r="AC215" s="247">
        <v>116.67</v>
      </c>
      <c r="AD215" s="241"/>
      <c r="AE215" s="247">
        <f t="shared" si="24"/>
        <v>1244.7999999999997</v>
      </c>
      <c r="AF215" s="248">
        <f t="shared" si="25"/>
        <v>1.3727358212479166E-4</v>
      </c>
      <c r="AG215" s="249"/>
    </row>
    <row r="216" spans="1:33" outlineLevel="1">
      <c r="A216" s="244">
        <v>70112</v>
      </c>
      <c r="B216" s="244" t="s">
        <v>810</v>
      </c>
      <c r="C216" s="245"/>
      <c r="D216" s="246"/>
      <c r="E216" s="240"/>
      <c r="F216" s="241"/>
      <c r="G216" s="247">
        <v>0</v>
      </c>
      <c r="H216" s="241"/>
      <c r="I216" s="247">
        <v>0</v>
      </c>
      <c r="J216" s="241"/>
      <c r="K216" s="247">
        <v>0</v>
      </c>
      <c r="L216" s="241"/>
      <c r="M216" s="247">
        <v>0</v>
      </c>
      <c r="N216" s="241"/>
      <c r="O216" s="247">
        <v>0</v>
      </c>
      <c r="P216" s="241"/>
      <c r="Q216" s="247">
        <v>0</v>
      </c>
      <c r="R216" s="241"/>
      <c r="S216" s="247">
        <v>0</v>
      </c>
      <c r="T216" s="241"/>
      <c r="U216" s="247">
        <v>0</v>
      </c>
      <c r="V216" s="241"/>
      <c r="W216" s="247">
        <v>0</v>
      </c>
      <c r="X216" s="241"/>
      <c r="Y216" s="247">
        <v>290</v>
      </c>
      <c r="Z216" s="241"/>
      <c r="AA216" s="247">
        <v>0</v>
      </c>
      <c r="AB216" s="241"/>
      <c r="AC216" s="247">
        <v>0</v>
      </c>
      <c r="AD216" s="241"/>
      <c r="AE216" s="247">
        <f t="shared" si="24"/>
        <v>290</v>
      </c>
      <c r="AF216" s="248">
        <f t="shared" si="25"/>
        <v>3.1980509974445365E-5</v>
      </c>
      <c r="AG216" s="249"/>
    </row>
    <row r="217" spans="1:33" outlineLevel="1">
      <c r="A217" s="244">
        <v>70116</v>
      </c>
      <c r="B217" s="244" t="s">
        <v>757</v>
      </c>
      <c r="C217" s="245"/>
      <c r="D217" s="246"/>
      <c r="E217" s="240"/>
      <c r="F217" s="241"/>
      <c r="G217" s="247">
        <v>355.51</v>
      </c>
      <c r="H217" s="241"/>
      <c r="I217" s="247">
        <v>434.96</v>
      </c>
      <c r="J217" s="241"/>
      <c r="K217" s="247">
        <v>494.28</v>
      </c>
      <c r="L217" s="241"/>
      <c r="M217" s="247">
        <v>358.11</v>
      </c>
      <c r="N217" s="241"/>
      <c r="O217" s="247">
        <v>339.79</v>
      </c>
      <c r="P217" s="241"/>
      <c r="Q217" s="247">
        <v>394.39</v>
      </c>
      <c r="R217" s="241"/>
      <c r="S217" s="247">
        <v>396.94</v>
      </c>
      <c r="T217" s="241"/>
      <c r="U217" s="247">
        <v>454.46</v>
      </c>
      <c r="V217" s="241"/>
      <c r="W217" s="247">
        <v>595.67999999999995</v>
      </c>
      <c r="X217" s="241"/>
      <c r="Y217" s="247">
        <v>329.72</v>
      </c>
      <c r="Z217" s="241"/>
      <c r="AA217" s="247">
        <v>297.48</v>
      </c>
      <c r="AB217" s="241"/>
      <c r="AC217" s="247">
        <v>340.24</v>
      </c>
      <c r="AD217" s="241"/>
      <c r="AE217" s="247">
        <f t="shared" si="24"/>
        <v>4791.5600000000004</v>
      </c>
      <c r="AF217" s="248">
        <f t="shared" si="25"/>
        <v>5.2840183576949469E-4</v>
      </c>
      <c r="AG217" s="249"/>
    </row>
    <row r="218" spans="1:33" outlineLevel="1">
      <c r="A218" s="244">
        <v>70148</v>
      </c>
      <c r="B218" s="244" t="s">
        <v>811</v>
      </c>
      <c r="C218" s="245"/>
      <c r="D218" s="246"/>
      <c r="E218" s="240"/>
      <c r="F218" s="241"/>
      <c r="G218" s="247">
        <v>5288.04</v>
      </c>
      <c r="H218" s="241"/>
      <c r="I218" s="247">
        <v>2633.63</v>
      </c>
      <c r="J218" s="241"/>
      <c r="K218" s="247">
        <v>2569.89</v>
      </c>
      <c r="L218" s="241"/>
      <c r="M218" s="247">
        <v>3205.13</v>
      </c>
      <c r="N218" s="241"/>
      <c r="O218" s="247">
        <v>2817.43</v>
      </c>
      <c r="P218" s="241"/>
      <c r="Q218" s="247">
        <v>7063.2</v>
      </c>
      <c r="R218" s="241"/>
      <c r="S218" s="247">
        <v>9134.7199999999993</v>
      </c>
      <c r="T218" s="241"/>
      <c r="U218" s="247">
        <v>4028.1</v>
      </c>
      <c r="V218" s="241"/>
      <c r="W218" s="247">
        <v>1770.63</v>
      </c>
      <c r="X218" s="241"/>
      <c r="Y218" s="247">
        <v>1922.41</v>
      </c>
      <c r="Z218" s="241"/>
      <c r="AA218" s="247">
        <v>1788.68</v>
      </c>
      <c r="AB218" s="241"/>
      <c r="AC218" s="247">
        <v>2593.08</v>
      </c>
      <c r="AD218" s="241"/>
      <c r="AE218" s="247">
        <f t="shared" si="24"/>
        <v>44814.939999999995</v>
      </c>
      <c r="AF218" s="248">
        <f t="shared" si="25"/>
        <v>4.9420849506005881E-3</v>
      </c>
      <c r="AG218" s="249"/>
    </row>
    <row r="219" spans="1:33" outlineLevel="1">
      <c r="A219" s="244">
        <v>70165</v>
      </c>
      <c r="B219" s="244" t="s">
        <v>771</v>
      </c>
      <c r="C219" s="245"/>
      <c r="D219" s="246"/>
      <c r="E219" s="240"/>
      <c r="F219" s="241"/>
      <c r="G219" s="247">
        <v>138.66</v>
      </c>
      <c r="H219" s="241"/>
      <c r="I219" s="247">
        <v>1010.64</v>
      </c>
      <c r="J219" s="241"/>
      <c r="K219" s="247">
        <v>680.79</v>
      </c>
      <c r="L219" s="241"/>
      <c r="M219" s="247">
        <v>627.46</v>
      </c>
      <c r="N219" s="241"/>
      <c r="O219" s="247">
        <v>677.85</v>
      </c>
      <c r="P219" s="241"/>
      <c r="Q219" s="247">
        <v>728.5</v>
      </c>
      <c r="R219" s="241"/>
      <c r="S219" s="247">
        <v>712.58</v>
      </c>
      <c r="T219" s="241"/>
      <c r="U219" s="247">
        <v>618.24</v>
      </c>
      <c r="V219" s="241"/>
      <c r="W219" s="247">
        <v>1514.95</v>
      </c>
      <c r="X219" s="241"/>
      <c r="Y219" s="247">
        <v>987.73</v>
      </c>
      <c r="Z219" s="241"/>
      <c r="AA219" s="247">
        <v>679.8</v>
      </c>
      <c r="AB219" s="241"/>
      <c r="AC219" s="247">
        <v>818.41</v>
      </c>
      <c r="AD219" s="241"/>
      <c r="AE219" s="247">
        <f t="shared" si="24"/>
        <v>9195.61</v>
      </c>
      <c r="AF219" s="248">
        <f t="shared" si="25"/>
        <v>1.0140699907796881E-3</v>
      </c>
      <c r="AG219" s="249"/>
    </row>
    <row r="220" spans="1:33" outlineLevel="1">
      <c r="A220" s="244">
        <v>70167</v>
      </c>
      <c r="B220" s="244" t="s">
        <v>812</v>
      </c>
      <c r="C220" s="245"/>
      <c r="D220" s="246"/>
      <c r="E220" s="240"/>
      <c r="F220" s="241"/>
      <c r="G220" s="247">
        <v>894.21</v>
      </c>
      <c r="H220" s="241"/>
      <c r="I220" s="247">
        <v>1758.31</v>
      </c>
      <c r="J220" s="241"/>
      <c r="K220" s="247">
        <v>685.93</v>
      </c>
      <c r="L220" s="241"/>
      <c r="M220" s="247">
        <v>865.24</v>
      </c>
      <c r="N220" s="241"/>
      <c r="O220" s="247">
        <v>2335.0100000000002</v>
      </c>
      <c r="P220" s="241"/>
      <c r="Q220" s="247">
        <v>1420.35</v>
      </c>
      <c r="R220" s="241"/>
      <c r="S220" s="247">
        <v>1368.6</v>
      </c>
      <c r="T220" s="241"/>
      <c r="U220" s="247">
        <v>1426.29</v>
      </c>
      <c r="V220" s="241"/>
      <c r="W220" s="247">
        <v>1404.7</v>
      </c>
      <c r="X220" s="241"/>
      <c r="Y220" s="247">
        <v>1476.21</v>
      </c>
      <c r="Z220" s="241"/>
      <c r="AA220" s="247">
        <v>1364.01</v>
      </c>
      <c r="AB220" s="241"/>
      <c r="AC220" s="247">
        <v>1207.3</v>
      </c>
      <c r="AD220" s="241"/>
      <c r="AE220" s="247">
        <f t="shared" si="24"/>
        <v>16206.16</v>
      </c>
      <c r="AF220" s="248">
        <f t="shared" si="25"/>
        <v>1.7871767638877845E-3</v>
      </c>
      <c r="AG220" s="249"/>
    </row>
    <row r="221" spans="1:33" outlineLevel="1">
      <c r="A221" s="244">
        <v>70175</v>
      </c>
      <c r="B221" s="244" t="s">
        <v>773</v>
      </c>
      <c r="C221" s="245"/>
      <c r="D221" s="246"/>
      <c r="E221" s="240"/>
      <c r="F221" s="241"/>
      <c r="G221" s="247">
        <v>676.78</v>
      </c>
      <c r="H221" s="241"/>
      <c r="I221" s="247">
        <v>757.93</v>
      </c>
      <c r="J221" s="241"/>
      <c r="K221" s="247">
        <v>-658.75</v>
      </c>
      <c r="L221" s="241"/>
      <c r="M221" s="247">
        <v>930.14</v>
      </c>
      <c r="N221" s="241"/>
      <c r="O221" s="247">
        <v>829.92</v>
      </c>
      <c r="P221" s="241"/>
      <c r="Q221" s="247">
        <v>1001.96</v>
      </c>
      <c r="R221" s="241"/>
      <c r="S221" s="247">
        <v>766.78</v>
      </c>
      <c r="T221" s="241"/>
      <c r="U221" s="247">
        <v>733.38</v>
      </c>
      <c r="V221" s="241"/>
      <c r="W221" s="247">
        <v>746.84</v>
      </c>
      <c r="X221" s="241"/>
      <c r="Y221" s="247">
        <v>766.78</v>
      </c>
      <c r="Z221" s="241"/>
      <c r="AA221" s="247">
        <v>741.88</v>
      </c>
      <c r="AB221" s="241"/>
      <c r="AC221" s="247">
        <v>825.74</v>
      </c>
      <c r="AD221" s="241"/>
      <c r="AE221" s="247">
        <f t="shared" si="24"/>
        <v>8119.38</v>
      </c>
      <c r="AF221" s="248">
        <f t="shared" si="25"/>
        <v>8.9538590715969736E-4</v>
      </c>
      <c r="AG221" s="249"/>
    </row>
    <row r="222" spans="1:33" outlineLevel="1">
      <c r="A222" s="244">
        <v>70185</v>
      </c>
      <c r="B222" s="244" t="s">
        <v>813</v>
      </c>
      <c r="C222" s="245"/>
      <c r="D222" s="246"/>
      <c r="E222" s="240"/>
      <c r="F222" s="241"/>
      <c r="G222" s="247">
        <v>0</v>
      </c>
      <c r="H222" s="241"/>
      <c r="I222" s="247">
        <v>536.34</v>
      </c>
      <c r="J222" s="241"/>
      <c r="K222" s="247">
        <v>880.45</v>
      </c>
      <c r="L222" s="241"/>
      <c r="M222" s="247">
        <v>153.65</v>
      </c>
      <c r="N222" s="241"/>
      <c r="O222" s="247">
        <v>70.16</v>
      </c>
      <c r="P222" s="241"/>
      <c r="Q222" s="247">
        <v>1260.76</v>
      </c>
      <c r="R222" s="241"/>
      <c r="S222" s="247">
        <v>95.01</v>
      </c>
      <c r="T222" s="241"/>
      <c r="U222" s="247">
        <v>61.29</v>
      </c>
      <c r="V222" s="241"/>
      <c r="W222" s="247">
        <v>500.11</v>
      </c>
      <c r="X222" s="241"/>
      <c r="Y222" s="247">
        <v>1012.33</v>
      </c>
      <c r="Z222" s="241"/>
      <c r="AA222" s="247">
        <v>39.729999999999997</v>
      </c>
      <c r="AB222" s="241"/>
      <c r="AC222" s="247">
        <v>438.55</v>
      </c>
      <c r="AD222" s="241"/>
      <c r="AE222" s="247">
        <f t="shared" si="24"/>
        <v>5048.380000000001</v>
      </c>
      <c r="AF222" s="248">
        <f t="shared" si="25"/>
        <v>5.5672333429238117E-4</v>
      </c>
      <c r="AG222" s="249"/>
    </row>
    <row r="223" spans="1:33" outlineLevel="1">
      <c r="A223" s="244">
        <v>70195</v>
      </c>
      <c r="B223" s="244" t="s">
        <v>805</v>
      </c>
      <c r="C223" s="245"/>
      <c r="D223" s="246"/>
      <c r="E223" s="240"/>
      <c r="F223" s="241"/>
      <c r="G223" s="247">
        <v>390.92</v>
      </c>
      <c r="H223" s="241"/>
      <c r="I223" s="247">
        <v>327.22000000000003</v>
      </c>
      <c r="J223" s="241"/>
      <c r="K223" s="247">
        <v>284.92</v>
      </c>
      <c r="L223" s="241"/>
      <c r="M223" s="247">
        <v>284.92</v>
      </c>
      <c r="N223" s="241"/>
      <c r="O223" s="247">
        <v>569.84</v>
      </c>
      <c r="P223" s="241"/>
      <c r="Q223" s="247">
        <v>325</v>
      </c>
      <c r="R223" s="241"/>
      <c r="S223" s="247">
        <v>284.92</v>
      </c>
      <c r="T223" s="241"/>
      <c r="U223" s="247">
        <v>633.9</v>
      </c>
      <c r="V223" s="241"/>
      <c r="W223" s="247">
        <v>0</v>
      </c>
      <c r="X223" s="241"/>
      <c r="Y223" s="247">
        <v>421.98</v>
      </c>
      <c r="Z223" s="241"/>
      <c r="AA223" s="247">
        <v>309.12</v>
      </c>
      <c r="AB223" s="241"/>
      <c r="AC223" s="247">
        <v>675.2</v>
      </c>
      <c r="AD223" s="241"/>
      <c r="AE223" s="247">
        <f t="shared" si="24"/>
        <v>4507.9400000000005</v>
      </c>
      <c r="AF223" s="248">
        <f t="shared" si="25"/>
        <v>4.9712489701448715E-4</v>
      </c>
      <c r="AG223" s="249"/>
    </row>
    <row r="224" spans="1:33" outlineLevel="1">
      <c r="A224" s="244">
        <v>70200</v>
      </c>
      <c r="B224" s="244" t="s">
        <v>775</v>
      </c>
      <c r="C224" s="245"/>
      <c r="D224" s="246"/>
      <c r="E224" s="240"/>
      <c r="F224" s="241"/>
      <c r="G224" s="247">
        <v>425.7</v>
      </c>
      <c r="H224" s="241"/>
      <c r="I224" s="247">
        <v>244.16</v>
      </c>
      <c r="J224" s="241"/>
      <c r="K224" s="247">
        <v>0</v>
      </c>
      <c r="L224" s="241"/>
      <c r="M224" s="247">
        <v>204.86</v>
      </c>
      <c r="N224" s="241"/>
      <c r="O224" s="247">
        <v>543.47</v>
      </c>
      <c r="P224" s="241"/>
      <c r="Q224" s="247">
        <v>-543.47</v>
      </c>
      <c r="R224" s="241"/>
      <c r="S224" s="247">
        <v>0</v>
      </c>
      <c r="T224" s="241"/>
      <c r="U224" s="247">
        <v>141.13</v>
      </c>
      <c r="V224" s="241"/>
      <c r="W224" s="247">
        <v>238.6</v>
      </c>
      <c r="X224" s="241"/>
      <c r="Y224" s="247">
        <v>158.6</v>
      </c>
      <c r="Z224" s="241"/>
      <c r="AA224" s="247">
        <v>0</v>
      </c>
      <c r="AB224" s="241"/>
      <c r="AC224" s="247">
        <v>74.91</v>
      </c>
      <c r="AD224" s="241"/>
      <c r="AE224" s="247">
        <f t="shared" si="24"/>
        <v>1487.96</v>
      </c>
      <c r="AF224" s="248">
        <f t="shared" si="25"/>
        <v>1.6408868835026113E-4</v>
      </c>
      <c r="AG224" s="249"/>
    </row>
    <row r="225" spans="1:33" outlineLevel="1">
      <c r="A225" s="244">
        <v>70201</v>
      </c>
      <c r="B225" s="244" t="s">
        <v>814</v>
      </c>
      <c r="C225" s="245"/>
      <c r="D225" s="246"/>
      <c r="E225" s="240"/>
      <c r="F225" s="241"/>
      <c r="G225" s="247">
        <v>29.71</v>
      </c>
      <c r="H225" s="241"/>
      <c r="I225" s="247">
        <v>249.08</v>
      </c>
      <c r="J225" s="241"/>
      <c r="K225" s="247">
        <v>-29.71</v>
      </c>
      <c r="L225" s="241"/>
      <c r="M225" s="247">
        <v>0</v>
      </c>
      <c r="N225" s="241"/>
      <c r="O225" s="247">
        <v>103.39</v>
      </c>
      <c r="P225" s="241"/>
      <c r="Q225" s="247">
        <v>0</v>
      </c>
      <c r="R225" s="241"/>
      <c r="S225" s="247">
        <v>0</v>
      </c>
      <c r="T225" s="241"/>
      <c r="U225" s="247">
        <v>0</v>
      </c>
      <c r="V225" s="241"/>
      <c r="W225" s="247">
        <v>0</v>
      </c>
      <c r="X225" s="241"/>
      <c r="Y225" s="247">
        <v>0</v>
      </c>
      <c r="Z225" s="241"/>
      <c r="AA225" s="247">
        <v>0</v>
      </c>
      <c r="AB225" s="241"/>
      <c r="AC225" s="247">
        <v>0</v>
      </c>
      <c r="AD225" s="241"/>
      <c r="AE225" s="247">
        <f t="shared" si="24"/>
        <v>352.46999999999997</v>
      </c>
      <c r="AF225" s="248">
        <f t="shared" si="25"/>
        <v>3.8869552933423301E-5</v>
      </c>
      <c r="AG225" s="249"/>
    </row>
    <row r="226" spans="1:33" outlineLevel="1">
      <c r="A226" s="244">
        <v>70202</v>
      </c>
      <c r="B226" s="244" t="s">
        <v>815</v>
      </c>
      <c r="C226" s="245"/>
      <c r="D226" s="246"/>
      <c r="E226" s="240"/>
      <c r="F226" s="241"/>
      <c r="G226" s="247">
        <v>0</v>
      </c>
      <c r="H226" s="241"/>
      <c r="I226" s="247">
        <v>0</v>
      </c>
      <c r="J226" s="241"/>
      <c r="K226" s="247">
        <v>0</v>
      </c>
      <c r="L226" s="241"/>
      <c r="M226" s="247">
        <v>0</v>
      </c>
      <c r="N226" s="241"/>
      <c r="O226" s="247">
        <v>0</v>
      </c>
      <c r="P226" s="241"/>
      <c r="Q226" s="247">
        <v>0</v>
      </c>
      <c r="R226" s="241"/>
      <c r="S226" s="247">
        <v>59.21</v>
      </c>
      <c r="T226" s="241"/>
      <c r="U226" s="247">
        <v>362.25</v>
      </c>
      <c r="V226" s="241"/>
      <c r="W226" s="247">
        <v>0</v>
      </c>
      <c r="X226" s="241"/>
      <c r="Y226" s="247">
        <v>0</v>
      </c>
      <c r="Z226" s="241"/>
      <c r="AA226" s="247">
        <v>0</v>
      </c>
      <c r="AB226" s="241"/>
      <c r="AC226" s="247">
        <v>0</v>
      </c>
      <c r="AD226" s="241"/>
      <c r="AE226" s="247">
        <f t="shared" si="24"/>
        <v>421.46</v>
      </c>
      <c r="AF226" s="248">
        <f t="shared" si="25"/>
        <v>4.6477605978723258E-5</v>
      </c>
      <c r="AG226" s="249"/>
    </row>
    <row r="227" spans="1:33" outlineLevel="1">
      <c r="A227" s="244">
        <v>70203</v>
      </c>
      <c r="B227" s="244" t="s">
        <v>816</v>
      </c>
      <c r="C227" s="245"/>
      <c r="D227" s="246"/>
      <c r="E227" s="240"/>
      <c r="F227" s="241"/>
      <c r="G227" s="247">
        <v>0</v>
      </c>
      <c r="H227" s="241"/>
      <c r="I227" s="247">
        <v>209.52</v>
      </c>
      <c r="J227" s="241"/>
      <c r="K227" s="247">
        <v>140</v>
      </c>
      <c r="L227" s="241"/>
      <c r="M227" s="247">
        <v>39.75</v>
      </c>
      <c r="N227" s="241"/>
      <c r="O227" s="247">
        <v>208.25</v>
      </c>
      <c r="P227" s="241"/>
      <c r="Q227" s="247">
        <v>56.21</v>
      </c>
      <c r="R227" s="241"/>
      <c r="S227" s="247">
        <v>0</v>
      </c>
      <c r="T227" s="241"/>
      <c r="U227" s="247">
        <v>0</v>
      </c>
      <c r="V227" s="241"/>
      <c r="W227" s="247">
        <v>0</v>
      </c>
      <c r="X227" s="241"/>
      <c r="Y227" s="247">
        <v>214.73</v>
      </c>
      <c r="Z227" s="241"/>
      <c r="AA227" s="247">
        <v>363.07</v>
      </c>
      <c r="AB227" s="241"/>
      <c r="AC227" s="247">
        <v>492.09</v>
      </c>
      <c r="AD227" s="241"/>
      <c r="AE227" s="247">
        <f t="shared" si="24"/>
        <v>1723.62</v>
      </c>
      <c r="AF227" s="248">
        <f t="shared" si="25"/>
        <v>1.9007671242121904E-4</v>
      </c>
      <c r="AG227" s="249"/>
    </row>
    <row r="228" spans="1:33" outlineLevel="1">
      <c r="A228" s="244">
        <v>70205</v>
      </c>
      <c r="B228" s="244" t="s">
        <v>806</v>
      </c>
      <c r="C228" s="245"/>
      <c r="D228" s="246"/>
      <c r="E228" s="240"/>
      <c r="F228" s="241"/>
      <c r="G228" s="247">
        <v>36.799999999999997</v>
      </c>
      <c r="H228" s="241"/>
      <c r="I228" s="247">
        <v>395.22</v>
      </c>
      <c r="J228" s="241"/>
      <c r="K228" s="247">
        <v>334.07</v>
      </c>
      <c r="L228" s="241"/>
      <c r="M228" s="247">
        <v>46.37</v>
      </c>
      <c r="N228" s="241"/>
      <c r="O228" s="247">
        <v>232.71</v>
      </c>
      <c r="P228" s="241"/>
      <c r="Q228" s="247">
        <v>166.26</v>
      </c>
      <c r="R228" s="241"/>
      <c r="S228" s="247">
        <v>241.76</v>
      </c>
      <c r="T228" s="241"/>
      <c r="U228" s="247">
        <v>105.76</v>
      </c>
      <c r="V228" s="241"/>
      <c r="W228" s="247">
        <v>20.82</v>
      </c>
      <c r="X228" s="241"/>
      <c r="Y228" s="247">
        <v>45.07</v>
      </c>
      <c r="Z228" s="241"/>
      <c r="AA228" s="247">
        <v>250.76</v>
      </c>
      <c r="AB228" s="241"/>
      <c r="AC228" s="247">
        <v>236.08</v>
      </c>
      <c r="AD228" s="241"/>
      <c r="AE228" s="247">
        <f t="shared" si="24"/>
        <v>2111.6800000000003</v>
      </c>
      <c r="AF228" s="248">
        <f t="shared" si="25"/>
        <v>2.3287104587185105E-4</v>
      </c>
      <c r="AG228" s="249"/>
    </row>
    <row r="229" spans="1:33" outlineLevel="1">
      <c r="A229" s="244">
        <v>70206</v>
      </c>
      <c r="B229" s="244" t="s">
        <v>817</v>
      </c>
      <c r="C229" s="245"/>
      <c r="D229" s="246"/>
      <c r="E229" s="240"/>
      <c r="F229" s="241"/>
      <c r="G229" s="247">
        <v>0</v>
      </c>
      <c r="H229" s="241"/>
      <c r="I229" s="247">
        <v>8.48</v>
      </c>
      <c r="J229" s="241"/>
      <c r="K229" s="247">
        <v>364.5</v>
      </c>
      <c r="L229" s="241"/>
      <c r="M229" s="247">
        <v>-279.85000000000002</v>
      </c>
      <c r="N229" s="241"/>
      <c r="O229" s="247">
        <v>34.11</v>
      </c>
      <c r="P229" s="241"/>
      <c r="Q229" s="247">
        <v>16.25</v>
      </c>
      <c r="R229" s="241"/>
      <c r="S229" s="247">
        <v>75.06</v>
      </c>
      <c r="T229" s="241"/>
      <c r="U229" s="247">
        <v>-40.82</v>
      </c>
      <c r="V229" s="241"/>
      <c r="W229" s="247">
        <v>0</v>
      </c>
      <c r="X229" s="241"/>
      <c r="Y229" s="247">
        <v>19.850000000000001</v>
      </c>
      <c r="Z229" s="241"/>
      <c r="AA229" s="247">
        <v>10.62</v>
      </c>
      <c r="AB229" s="241"/>
      <c r="AC229" s="247">
        <v>250.38</v>
      </c>
      <c r="AD229" s="241"/>
      <c r="AE229" s="247">
        <f t="shared" si="24"/>
        <v>458.58000000000004</v>
      </c>
      <c r="AF229" s="248">
        <f t="shared" si="25"/>
        <v>5.0571111255452267E-5</v>
      </c>
      <c r="AG229" s="249"/>
    </row>
    <row r="230" spans="1:33" outlineLevel="1">
      <c r="A230" s="244">
        <v>70210</v>
      </c>
      <c r="B230" s="244" t="s">
        <v>818</v>
      </c>
      <c r="C230" s="245"/>
      <c r="D230" s="246"/>
      <c r="E230" s="240"/>
      <c r="F230" s="241"/>
      <c r="G230" s="247">
        <v>403.94</v>
      </c>
      <c r="H230" s="241"/>
      <c r="I230" s="247">
        <v>1187.5899999999999</v>
      </c>
      <c r="J230" s="241"/>
      <c r="K230" s="247">
        <v>500.29</v>
      </c>
      <c r="L230" s="241"/>
      <c r="M230" s="247">
        <v>389.35</v>
      </c>
      <c r="N230" s="241"/>
      <c r="O230" s="247">
        <v>455.5</v>
      </c>
      <c r="P230" s="241"/>
      <c r="Q230" s="247">
        <v>825.64</v>
      </c>
      <c r="R230" s="241"/>
      <c r="S230" s="247">
        <v>-58.14</v>
      </c>
      <c r="T230" s="241"/>
      <c r="U230" s="247">
        <v>758.1</v>
      </c>
      <c r="V230" s="241"/>
      <c r="W230" s="247">
        <v>1052.5899999999999</v>
      </c>
      <c r="X230" s="241"/>
      <c r="Y230" s="247">
        <v>-455.54</v>
      </c>
      <c r="Z230" s="241"/>
      <c r="AA230" s="247">
        <v>315.16000000000003</v>
      </c>
      <c r="AB230" s="241"/>
      <c r="AC230" s="247">
        <v>225.53</v>
      </c>
      <c r="AD230" s="241"/>
      <c r="AE230" s="247">
        <f t="shared" si="24"/>
        <v>5600.0099999999993</v>
      </c>
      <c r="AF230" s="248">
        <f t="shared" si="25"/>
        <v>6.1755577814480618E-4</v>
      </c>
      <c r="AG230" s="249"/>
    </row>
    <row r="231" spans="1:33" outlineLevel="1">
      <c r="A231" s="244">
        <v>70214</v>
      </c>
      <c r="B231" s="244" t="s">
        <v>819</v>
      </c>
      <c r="C231" s="245"/>
      <c r="D231" s="246"/>
      <c r="E231" s="240"/>
      <c r="F231" s="241"/>
      <c r="G231" s="247">
        <v>2640.84</v>
      </c>
      <c r="H231" s="241"/>
      <c r="I231" s="247">
        <v>3947.79</v>
      </c>
      <c r="J231" s="241"/>
      <c r="K231" s="247">
        <v>2776.77</v>
      </c>
      <c r="L231" s="241"/>
      <c r="M231" s="247">
        <v>2822.16</v>
      </c>
      <c r="N231" s="241"/>
      <c r="O231" s="247">
        <v>2785.19</v>
      </c>
      <c r="P231" s="241"/>
      <c r="Q231" s="247">
        <v>2982.77</v>
      </c>
      <c r="R231" s="241"/>
      <c r="S231" s="247">
        <v>3063.4</v>
      </c>
      <c r="T231" s="241"/>
      <c r="U231" s="247">
        <v>2907.63</v>
      </c>
      <c r="V231" s="241"/>
      <c r="W231" s="247">
        <v>3348.47</v>
      </c>
      <c r="X231" s="241"/>
      <c r="Y231" s="247">
        <v>3122.88</v>
      </c>
      <c r="Z231" s="241"/>
      <c r="AA231" s="247">
        <v>3009.38</v>
      </c>
      <c r="AB231" s="241"/>
      <c r="AC231" s="247">
        <v>2644.75</v>
      </c>
      <c r="AD231" s="241"/>
      <c r="AE231" s="247">
        <f t="shared" si="24"/>
        <v>36052.03</v>
      </c>
      <c r="AF231" s="248">
        <f t="shared" si="25"/>
        <v>3.9757320862551845E-3</v>
      </c>
      <c r="AG231" s="249"/>
    </row>
    <row r="232" spans="1:33" outlineLevel="1">
      <c r="A232" s="244">
        <v>70215</v>
      </c>
      <c r="B232" s="244" t="s">
        <v>820</v>
      </c>
      <c r="C232" s="245"/>
      <c r="D232" s="246"/>
      <c r="E232" s="240"/>
      <c r="F232" s="241"/>
      <c r="G232" s="247">
        <v>0</v>
      </c>
      <c r="H232" s="241"/>
      <c r="I232" s="247">
        <v>2.86</v>
      </c>
      <c r="J232" s="241"/>
      <c r="K232" s="247">
        <v>0</v>
      </c>
      <c r="L232" s="241"/>
      <c r="M232" s="247">
        <v>0</v>
      </c>
      <c r="N232" s="241"/>
      <c r="O232" s="247">
        <v>0</v>
      </c>
      <c r="P232" s="241"/>
      <c r="Q232" s="247">
        <v>0</v>
      </c>
      <c r="R232" s="241"/>
      <c r="S232" s="247">
        <v>0</v>
      </c>
      <c r="T232" s="241"/>
      <c r="U232" s="247">
        <v>0</v>
      </c>
      <c r="V232" s="241"/>
      <c r="W232" s="247">
        <v>0</v>
      </c>
      <c r="X232" s="241"/>
      <c r="Y232" s="247">
        <v>0</v>
      </c>
      <c r="Z232" s="241"/>
      <c r="AA232" s="247">
        <v>0</v>
      </c>
      <c r="AB232" s="241"/>
      <c r="AC232" s="247">
        <v>0</v>
      </c>
      <c r="AD232" s="241"/>
      <c r="AE232" s="247">
        <f t="shared" si="24"/>
        <v>2.86</v>
      </c>
      <c r="AF232" s="248">
        <f t="shared" si="25"/>
        <v>3.1539399492039225E-7</v>
      </c>
      <c r="AG232" s="249"/>
    </row>
    <row r="233" spans="1:33" outlineLevel="1">
      <c r="A233" s="244">
        <v>70216</v>
      </c>
      <c r="B233" s="244" t="s">
        <v>821</v>
      </c>
      <c r="C233" s="245"/>
      <c r="D233" s="246"/>
      <c r="E233" s="240"/>
      <c r="F233" s="241"/>
      <c r="G233" s="247">
        <v>127.88</v>
      </c>
      <c r="H233" s="241"/>
      <c r="I233" s="247">
        <v>255.01</v>
      </c>
      <c r="J233" s="241"/>
      <c r="K233" s="247">
        <v>265.19</v>
      </c>
      <c r="L233" s="241"/>
      <c r="M233" s="247">
        <v>198.22</v>
      </c>
      <c r="N233" s="241"/>
      <c r="O233" s="247">
        <v>248.56</v>
      </c>
      <c r="P233" s="241"/>
      <c r="Q233" s="247">
        <v>200.47</v>
      </c>
      <c r="R233" s="241"/>
      <c r="S233" s="247">
        <v>206.73</v>
      </c>
      <c r="T233" s="241"/>
      <c r="U233" s="247">
        <v>229.71</v>
      </c>
      <c r="V233" s="241"/>
      <c r="W233" s="247">
        <v>222.73</v>
      </c>
      <c r="X233" s="241"/>
      <c r="Y233" s="247">
        <v>229.71</v>
      </c>
      <c r="Z233" s="241"/>
      <c r="AA233" s="247">
        <v>241.18</v>
      </c>
      <c r="AB233" s="241"/>
      <c r="AC233" s="247">
        <v>230.34</v>
      </c>
      <c r="AD233" s="241"/>
      <c r="AE233" s="247">
        <f t="shared" si="24"/>
        <v>2655.7300000000005</v>
      </c>
      <c r="AF233" s="248">
        <f t="shared" si="25"/>
        <v>2.9286758536011659E-4</v>
      </c>
      <c r="AG233" s="249"/>
    </row>
    <row r="234" spans="1:33" outlineLevel="1">
      <c r="A234" s="244">
        <v>70230</v>
      </c>
      <c r="B234" s="244" t="s">
        <v>822</v>
      </c>
      <c r="C234" s="245"/>
      <c r="D234" s="246"/>
      <c r="E234" s="240"/>
      <c r="F234" s="241"/>
      <c r="G234" s="247">
        <v>0</v>
      </c>
      <c r="H234" s="241"/>
      <c r="I234" s="247">
        <v>0</v>
      </c>
      <c r="J234" s="241"/>
      <c r="K234" s="247">
        <v>0</v>
      </c>
      <c r="L234" s="241"/>
      <c r="M234" s="247">
        <v>0</v>
      </c>
      <c r="N234" s="241"/>
      <c r="O234" s="247">
        <v>0</v>
      </c>
      <c r="P234" s="241"/>
      <c r="Q234" s="247">
        <v>0</v>
      </c>
      <c r="R234" s="241"/>
      <c r="S234" s="247">
        <v>0</v>
      </c>
      <c r="T234" s="241"/>
      <c r="U234" s="247">
        <v>0</v>
      </c>
      <c r="V234" s="241"/>
      <c r="W234" s="247">
        <v>5497.8</v>
      </c>
      <c r="X234" s="241"/>
      <c r="Y234" s="247">
        <v>0</v>
      </c>
      <c r="Z234" s="241"/>
      <c r="AA234" s="247">
        <v>0</v>
      </c>
      <c r="AB234" s="241"/>
      <c r="AC234" s="247">
        <v>0</v>
      </c>
      <c r="AD234" s="241"/>
      <c r="AE234" s="247">
        <f t="shared" si="24"/>
        <v>5497.8</v>
      </c>
      <c r="AF234" s="248">
        <f t="shared" si="25"/>
        <v>6.0628430254312327E-4</v>
      </c>
      <c r="AG234" s="249"/>
    </row>
    <row r="235" spans="1:33" outlineLevel="1">
      <c r="A235" s="244">
        <v>70235</v>
      </c>
      <c r="B235" s="244" t="s">
        <v>825</v>
      </c>
      <c r="C235" s="245"/>
      <c r="D235" s="246"/>
      <c r="E235" s="240"/>
      <c r="F235" s="241"/>
      <c r="G235" s="247">
        <v>-252.48</v>
      </c>
      <c r="H235" s="241"/>
      <c r="I235" s="247">
        <v>0</v>
      </c>
      <c r="J235" s="241"/>
      <c r="K235" s="247">
        <v>192.37</v>
      </c>
      <c r="L235" s="241"/>
      <c r="M235" s="247">
        <v>-110.7</v>
      </c>
      <c r="N235" s="241"/>
      <c r="O235" s="247">
        <v>28.8</v>
      </c>
      <c r="P235" s="241"/>
      <c r="Q235" s="247">
        <v>144.03</v>
      </c>
      <c r="R235" s="241"/>
      <c r="S235" s="247">
        <v>-144.03</v>
      </c>
      <c r="T235" s="241"/>
      <c r="U235" s="247">
        <v>115.23</v>
      </c>
      <c r="V235" s="241"/>
      <c r="W235" s="247">
        <v>190.49</v>
      </c>
      <c r="X235" s="241"/>
      <c r="Y235" s="247">
        <v>-161.63999999999999</v>
      </c>
      <c r="Z235" s="241"/>
      <c r="AA235" s="247">
        <v>0</v>
      </c>
      <c r="AB235" s="241"/>
      <c r="AC235" s="247">
        <v>483.38</v>
      </c>
      <c r="AD235" s="241"/>
      <c r="AE235" s="247">
        <f t="shared" si="24"/>
        <v>485.44999999999993</v>
      </c>
      <c r="AF235" s="248">
        <f t="shared" si="25"/>
        <v>5.353427092101552E-5</v>
      </c>
      <c r="AG235" s="249"/>
    </row>
    <row r="236" spans="1:33" outlineLevel="1">
      <c r="A236" s="244">
        <v>70245</v>
      </c>
      <c r="B236" s="244" t="s">
        <v>827</v>
      </c>
      <c r="C236" s="245"/>
      <c r="D236" s="246"/>
      <c r="E236" s="240"/>
      <c r="F236" s="241"/>
      <c r="G236" s="247">
        <v>60.44</v>
      </c>
      <c r="H236" s="241"/>
      <c r="I236" s="247">
        <v>213.78</v>
      </c>
      <c r="J236" s="241"/>
      <c r="K236" s="247">
        <v>61.33</v>
      </c>
      <c r="L236" s="241"/>
      <c r="M236" s="247">
        <v>61.32</v>
      </c>
      <c r="N236" s="241"/>
      <c r="O236" s="247">
        <v>68.28</v>
      </c>
      <c r="P236" s="241"/>
      <c r="Q236" s="247">
        <v>64.62</v>
      </c>
      <c r="R236" s="241"/>
      <c r="S236" s="247">
        <v>64.62</v>
      </c>
      <c r="T236" s="241"/>
      <c r="U236" s="247">
        <v>102.37</v>
      </c>
      <c r="V236" s="241"/>
      <c r="W236" s="247">
        <v>95.06</v>
      </c>
      <c r="X236" s="241"/>
      <c r="Y236" s="247">
        <v>99.38</v>
      </c>
      <c r="Z236" s="241"/>
      <c r="AA236" s="247">
        <v>99.38</v>
      </c>
      <c r="AB236" s="241"/>
      <c r="AC236" s="247">
        <v>92.28</v>
      </c>
      <c r="AD236" s="241"/>
      <c r="AE236" s="247">
        <f t="shared" si="24"/>
        <v>1082.8599999999999</v>
      </c>
      <c r="AF236" s="248">
        <f t="shared" si="25"/>
        <v>1.19415224244579E-4</v>
      </c>
      <c r="AG236" s="249"/>
    </row>
    <row r="237" spans="1:33" outlineLevel="1">
      <c r="A237" s="244">
        <v>70255</v>
      </c>
      <c r="B237" s="244" t="s">
        <v>828</v>
      </c>
      <c r="C237" s="245"/>
      <c r="D237" s="246"/>
      <c r="E237" s="240"/>
      <c r="F237" s="241"/>
      <c r="G237" s="247">
        <v>1311.04</v>
      </c>
      <c r="H237" s="241"/>
      <c r="I237" s="247">
        <v>1096.6199999999999</v>
      </c>
      <c r="J237" s="241"/>
      <c r="K237" s="247">
        <v>1240.8</v>
      </c>
      <c r="L237" s="241"/>
      <c r="M237" s="247">
        <v>1303.53</v>
      </c>
      <c r="N237" s="241"/>
      <c r="O237" s="247">
        <v>1401.98</v>
      </c>
      <c r="P237" s="241"/>
      <c r="Q237" s="247">
        <v>1025.82</v>
      </c>
      <c r="R237" s="241"/>
      <c r="S237" s="247">
        <v>1698.16</v>
      </c>
      <c r="T237" s="241"/>
      <c r="U237" s="247">
        <v>1144.8699999999999</v>
      </c>
      <c r="V237" s="241"/>
      <c r="W237" s="247">
        <v>1109.68</v>
      </c>
      <c r="X237" s="241"/>
      <c r="Y237" s="247">
        <v>1119.68</v>
      </c>
      <c r="Z237" s="241"/>
      <c r="AA237" s="247">
        <v>1018.83</v>
      </c>
      <c r="AB237" s="241"/>
      <c r="AC237" s="247">
        <v>1069.78</v>
      </c>
      <c r="AD237" s="241"/>
      <c r="AE237" s="247">
        <f t="shared" si="24"/>
        <v>14540.79</v>
      </c>
      <c r="AF237" s="248">
        <f t="shared" si="25"/>
        <v>1.603523722866605E-3</v>
      </c>
      <c r="AG237" s="249"/>
    </row>
    <row r="238" spans="1:33" outlineLevel="1">
      <c r="A238" s="244">
        <v>70300</v>
      </c>
      <c r="B238" s="244" t="s">
        <v>829</v>
      </c>
      <c r="C238" s="245"/>
      <c r="D238" s="246"/>
      <c r="E238" s="240"/>
      <c r="F238" s="241"/>
      <c r="G238" s="247">
        <v>3877.67</v>
      </c>
      <c r="H238" s="241"/>
      <c r="I238" s="247">
        <v>4177.1000000000004</v>
      </c>
      <c r="J238" s="241"/>
      <c r="K238" s="247">
        <v>3877.67</v>
      </c>
      <c r="L238" s="241"/>
      <c r="M238" s="247">
        <v>4437.17</v>
      </c>
      <c r="N238" s="241"/>
      <c r="O238" s="247">
        <v>4027.39</v>
      </c>
      <c r="P238" s="241"/>
      <c r="Q238" s="247">
        <v>4027.39</v>
      </c>
      <c r="R238" s="241"/>
      <c r="S238" s="247">
        <v>4114.62</v>
      </c>
      <c r="T238" s="241"/>
      <c r="U238" s="247">
        <v>4027.39</v>
      </c>
      <c r="V238" s="241"/>
      <c r="W238" s="247">
        <v>4027.38</v>
      </c>
      <c r="X238" s="241"/>
      <c r="Y238" s="247">
        <v>4114.62</v>
      </c>
      <c r="Z238" s="241"/>
      <c r="AA238" s="247">
        <v>4027.39</v>
      </c>
      <c r="AB238" s="241"/>
      <c r="AC238" s="247">
        <v>4027.39</v>
      </c>
      <c r="AD238" s="241"/>
      <c r="AE238" s="247">
        <f t="shared" si="24"/>
        <v>48763.179999999993</v>
      </c>
      <c r="AF238" s="248">
        <f t="shared" si="25"/>
        <v>5.3774874633643948E-3</v>
      </c>
      <c r="AG238" s="249"/>
    </row>
    <row r="239" spans="1:33" outlineLevel="1">
      <c r="A239" s="244">
        <v>70301</v>
      </c>
      <c r="B239" s="244" t="s">
        <v>830</v>
      </c>
      <c r="C239" s="245"/>
      <c r="D239" s="246"/>
      <c r="E239" s="240"/>
      <c r="F239" s="241"/>
      <c r="G239" s="247">
        <v>0</v>
      </c>
      <c r="H239" s="241"/>
      <c r="I239" s="247">
        <v>65.430000000000007</v>
      </c>
      <c r="J239" s="241"/>
      <c r="K239" s="247">
        <v>0</v>
      </c>
      <c r="L239" s="241"/>
      <c r="M239" s="247">
        <v>0</v>
      </c>
      <c r="N239" s="241"/>
      <c r="O239" s="247">
        <v>0</v>
      </c>
      <c r="P239" s="241"/>
      <c r="Q239" s="247">
        <v>0</v>
      </c>
      <c r="R239" s="241"/>
      <c r="S239" s="247">
        <v>0</v>
      </c>
      <c r="T239" s="241"/>
      <c r="U239" s="247">
        <v>0</v>
      </c>
      <c r="V239" s="241"/>
      <c r="W239" s="247">
        <v>0</v>
      </c>
      <c r="X239" s="241"/>
      <c r="Y239" s="247">
        <v>0</v>
      </c>
      <c r="Z239" s="241"/>
      <c r="AA239" s="247">
        <v>0</v>
      </c>
      <c r="AB239" s="241"/>
      <c r="AC239" s="247">
        <v>0</v>
      </c>
      <c r="AD239" s="241"/>
      <c r="AE239" s="247">
        <f t="shared" si="24"/>
        <v>65.430000000000007</v>
      </c>
      <c r="AF239" s="248">
        <f t="shared" si="25"/>
        <v>7.2154647159584845E-6</v>
      </c>
      <c r="AG239" s="249"/>
    </row>
    <row r="240" spans="1:33" outlineLevel="1">
      <c r="A240" s="244">
        <v>70302</v>
      </c>
      <c r="B240" s="244" t="s">
        <v>831</v>
      </c>
      <c r="C240" s="245"/>
      <c r="D240" s="246"/>
      <c r="E240" s="240"/>
      <c r="F240" s="241"/>
      <c r="G240" s="247">
        <v>0</v>
      </c>
      <c r="H240" s="241"/>
      <c r="I240" s="247">
        <v>264.26</v>
      </c>
      <c r="J240" s="241"/>
      <c r="K240" s="247">
        <v>0</v>
      </c>
      <c r="L240" s="241"/>
      <c r="M240" s="247">
        <v>0</v>
      </c>
      <c r="N240" s="241"/>
      <c r="O240" s="247">
        <v>0</v>
      </c>
      <c r="P240" s="241"/>
      <c r="Q240" s="247">
        <v>0</v>
      </c>
      <c r="R240" s="241"/>
      <c r="S240" s="247">
        <v>0</v>
      </c>
      <c r="T240" s="241"/>
      <c r="U240" s="247">
        <v>0</v>
      </c>
      <c r="V240" s="241"/>
      <c r="W240" s="247">
        <v>0</v>
      </c>
      <c r="X240" s="241"/>
      <c r="Y240" s="247">
        <v>0</v>
      </c>
      <c r="Z240" s="241"/>
      <c r="AA240" s="247">
        <v>0</v>
      </c>
      <c r="AB240" s="241"/>
      <c r="AC240" s="247">
        <v>0</v>
      </c>
      <c r="AD240" s="241"/>
      <c r="AE240" s="247">
        <f t="shared" si="24"/>
        <v>264.26</v>
      </c>
      <c r="AF240" s="248">
        <f t="shared" si="25"/>
        <v>2.9141964020161835E-5</v>
      </c>
      <c r="AG240" s="249"/>
    </row>
    <row r="241" spans="1:33" outlineLevel="1">
      <c r="A241" s="244">
        <v>70310</v>
      </c>
      <c r="B241" s="244" t="s">
        <v>832</v>
      </c>
      <c r="C241" s="245"/>
      <c r="D241" s="246"/>
      <c r="E241" s="240"/>
      <c r="F241" s="241"/>
      <c r="G241" s="247">
        <v>597.45000000000005</v>
      </c>
      <c r="H241" s="241"/>
      <c r="I241" s="247">
        <v>332.68</v>
      </c>
      <c r="J241" s="241"/>
      <c r="K241" s="247">
        <v>1260.8800000000001</v>
      </c>
      <c r="L241" s="241"/>
      <c r="M241" s="247">
        <v>1233.77</v>
      </c>
      <c r="N241" s="241"/>
      <c r="O241" s="247">
        <v>2458.08</v>
      </c>
      <c r="P241" s="241"/>
      <c r="Q241" s="247">
        <v>506.46</v>
      </c>
      <c r="R241" s="241"/>
      <c r="S241" s="247">
        <v>1609.09</v>
      </c>
      <c r="T241" s="241"/>
      <c r="U241" s="247">
        <v>2841.87</v>
      </c>
      <c r="V241" s="241"/>
      <c r="W241" s="247">
        <v>596.07000000000005</v>
      </c>
      <c r="X241" s="241"/>
      <c r="Y241" s="247">
        <v>1635.06</v>
      </c>
      <c r="Z241" s="241"/>
      <c r="AA241" s="247">
        <v>8035.5</v>
      </c>
      <c r="AB241" s="241"/>
      <c r="AC241" s="247">
        <v>7045.8</v>
      </c>
      <c r="AD241" s="241"/>
      <c r="AE241" s="247">
        <f t="shared" si="24"/>
        <v>28152.710000000003</v>
      </c>
      <c r="AF241" s="248">
        <f t="shared" si="25"/>
        <v>3.1046138722850619E-3</v>
      </c>
      <c r="AG241" s="249"/>
    </row>
    <row r="242" spans="1:33" outlineLevel="1">
      <c r="A242" s="244">
        <v>70320</v>
      </c>
      <c r="B242" s="244" t="s">
        <v>833</v>
      </c>
      <c r="C242" s="245"/>
      <c r="D242" s="246"/>
      <c r="E242" s="240"/>
      <c r="F242" s="241"/>
      <c r="G242" s="247">
        <v>1078.6199999999999</v>
      </c>
      <c r="H242" s="241"/>
      <c r="I242" s="247">
        <v>482</v>
      </c>
      <c r="J242" s="241"/>
      <c r="K242" s="247">
        <v>793.06</v>
      </c>
      <c r="L242" s="241"/>
      <c r="M242" s="247">
        <v>662.13</v>
      </c>
      <c r="N242" s="241"/>
      <c r="O242" s="247">
        <v>424.35</v>
      </c>
      <c r="P242" s="241"/>
      <c r="Q242" s="247">
        <v>1183.1199999999999</v>
      </c>
      <c r="R242" s="241"/>
      <c r="S242" s="247">
        <v>1614.39</v>
      </c>
      <c r="T242" s="241"/>
      <c r="U242" s="247">
        <v>914.4</v>
      </c>
      <c r="V242" s="241"/>
      <c r="W242" s="247">
        <v>938.95</v>
      </c>
      <c r="X242" s="241"/>
      <c r="Y242" s="247">
        <v>842.48</v>
      </c>
      <c r="Z242" s="241"/>
      <c r="AA242" s="247">
        <v>945.75</v>
      </c>
      <c r="AB242" s="241"/>
      <c r="AC242" s="247">
        <v>417.04</v>
      </c>
      <c r="AD242" s="241"/>
      <c r="AE242" s="247">
        <f t="shared" si="24"/>
        <v>10296.290000000001</v>
      </c>
      <c r="AF242" s="248">
        <f t="shared" si="25"/>
        <v>1.1354503622233866E-3</v>
      </c>
      <c r="AG242" s="249"/>
    </row>
    <row r="243" spans="1:33" outlineLevel="1">
      <c r="A243" s="244">
        <v>70335</v>
      </c>
      <c r="B243" s="244" t="s">
        <v>834</v>
      </c>
      <c r="C243" s="245"/>
      <c r="D243" s="246"/>
      <c r="E243" s="240"/>
      <c r="F243" s="241"/>
      <c r="G243" s="247">
        <v>0</v>
      </c>
      <c r="H243" s="241"/>
      <c r="I243" s="247">
        <v>97.54</v>
      </c>
      <c r="J243" s="241"/>
      <c r="K243" s="247">
        <v>-0.3</v>
      </c>
      <c r="L243" s="241"/>
      <c r="M243" s="247">
        <v>0</v>
      </c>
      <c r="N243" s="241"/>
      <c r="O243" s="247">
        <v>0</v>
      </c>
      <c r="P243" s="241"/>
      <c r="Q243" s="247">
        <v>0</v>
      </c>
      <c r="R243" s="241"/>
      <c r="S243" s="247">
        <v>0</v>
      </c>
      <c r="T243" s="241"/>
      <c r="U243" s="247">
        <v>248.57</v>
      </c>
      <c r="V243" s="241"/>
      <c r="W243" s="247">
        <v>0</v>
      </c>
      <c r="X243" s="241"/>
      <c r="Y243" s="247">
        <v>0</v>
      </c>
      <c r="Z243" s="241"/>
      <c r="AA243" s="247">
        <v>0</v>
      </c>
      <c r="AB243" s="241"/>
      <c r="AC243" s="247">
        <v>0</v>
      </c>
      <c r="AD243" s="241"/>
      <c r="AE243" s="247">
        <f t="shared" si="24"/>
        <v>345.81</v>
      </c>
      <c r="AF243" s="248">
        <f t="shared" si="25"/>
        <v>3.8135103980217076E-5</v>
      </c>
      <c r="AG243" s="249"/>
    </row>
    <row r="244" spans="1:33" outlineLevel="1">
      <c r="A244" s="244">
        <v>70336</v>
      </c>
      <c r="B244" s="244" t="s">
        <v>835</v>
      </c>
      <c r="C244" s="245"/>
      <c r="D244" s="246"/>
      <c r="E244" s="240"/>
      <c r="F244" s="241"/>
      <c r="G244" s="247">
        <v>30.35</v>
      </c>
      <c r="H244" s="241"/>
      <c r="I244" s="247">
        <v>746.34</v>
      </c>
      <c r="J244" s="241"/>
      <c r="K244" s="247">
        <v>388.65</v>
      </c>
      <c r="L244" s="241"/>
      <c r="M244" s="247">
        <v>386.35</v>
      </c>
      <c r="N244" s="241"/>
      <c r="O244" s="247">
        <v>373.91</v>
      </c>
      <c r="P244" s="241"/>
      <c r="Q244" s="247">
        <v>332.28</v>
      </c>
      <c r="R244" s="241"/>
      <c r="S244" s="247">
        <v>369.95</v>
      </c>
      <c r="T244" s="241"/>
      <c r="U244" s="247">
        <v>303.08999999999997</v>
      </c>
      <c r="V244" s="241"/>
      <c r="W244" s="247">
        <v>335.63</v>
      </c>
      <c r="X244" s="241"/>
      <c r="Y244" s="247">
        <v>377.03</v>
      </c>
      <c r="Z244" s="241"/>
      <c r="AA244" s="247">
        <v>435.42</v>
      </c>
      <c r="AB244" s="241"/>
      <c r="AC244" s="247">
        <v>486.31</v>
      </c>
      <c r="AD244" s="241"/>
      <c r="AE244" s="247">
        <f t="shared" si="24"/>
        <v>4565.3100000000004</v>
      </c>
      <c r="AF244" s="248">
        <f t="shared" si="25"/>
        <v>5.0345152410839723E-4</v>
      </c>
      <c r="AG244" s="249"/>
    </row>
    <row r="245" spans="1:33" outlineLevel="1">
      <c r="A245" s="244">
        <v>70345</v>
      </c>
      <c r="B245" s="244" t="s">
        <v>836</v>
      </c>
      <c r="C245" s="245"/>
      <c r="D245" s="246"/>
      <c r="E245" s="240"/>
      <c r="F245" s="241"/>
      <c r="G245" s="247">
        <v>0</v>
      </c>
      <c r="H245" s="241"/>
      <c r="I245" s="247">
        <v>45.8</v>
      </c>
      <c r="J245" s="241"/>
      <c r="K245" s="247">
        <v>0</v>
      </c>
      <c r="L245" s="241"/>
      <c r="M245" s="247">
        <v>0</v>
      </c>
      <c r="N245" s="241"/>
      <c r="O245" s="247">
        <v>0</v>
      </c>
      <c r="P245" s="241"/>
      <c r="Q245" s="247">
        <v>46.2</v>
      </c>
      <c r="R245" s="241"/>
      <c r="S245" s="247">
        <v>0</v>
      </c>
      <c r="T245" s="241"/>
      <c r="U245" s="247">
        <v>0</v>
      </c>
      <c r="V245" s="241"/>
      <c r="W245" s="247">
        <v>228.27</v>
      </c>
      <c r="X245" s="241"/>
      <c r="Y245" s="247">
        <v>0</v>
      </c>
      <c r="Z245" s="241"/>
      <c r="AA245" s="247">
        <v>0</v>
      </c>
      <c r="AB245" s="241"/>
      <c r="AC245" s="247">
        <v>0</v>
      </c>
      <c r="AD245" s="241"/>
      <c r="AE245" s="247">
        <f t="shared" si="24"/>
        <v>320.27000000000004</v>
      </c>
      <c r="AF245" s="248">
        <f t="shared" si="25"/>
        <v>3.5318613550053858E-5</v>
      </c>
      <c r="AG245" s="249"/>
    </row>
    <row r="246" spans="1:33" s="240" customFormat="1" ht="5.15" customHeight="1" outlineLevel="1">
      <c r="A246" s="245"/>
      <c r="B246" s="245"/>
      <c r="C246" s="245"/>
      <c r="D246" s="245"/>
      <c r="G246" s="255"/>
      <c r="H246" s="253"/>
      <c r="I246" s="255"/>
      <c r="J246" s="253"/>
      <c r="K246" s="255"/>
      <c r="L246" s="253"/>
      <c r="M246" s="255"/>
      <c r="N246" s="253"/>
      <c r="O246" s="255"/>
      <c r="P246" s="253"/>
      <c r="Q246" s="255"/>
      <c r="R246" s="253"/>
      <c r="S246" s="255"/>
      <c r="T246" s="253"/>
      <c r="U246" s="255"/>
      <c r="V246" s="253"/>
      <c r="W246" s="255"/>
      <c r="X246" s="253"/>
      <c r="Y246" s="255"/>
      <c r="Z246" s="253"/>
      <c r="AA246" s="255"/>
      <c r="AB246" s="253"/>
      <c r="AC246" s="255"/>
      <c r="AD246" s="253"/>
      <c r="AE246" s="255"/>
      <c r="AF246" s="243"/>
      <c r="AG246" s="222"/>
    </row>
    <row r="247" spans="1:33" s="240" customFormat="1" ht="15.5">
      <c r="C247" s="245" t="s">
        <v>837</v>
      </c>
      <c r="G247" s="252">
        <f>SUM(G202:G246)</f>
        <v>36852.30999999999</v>
      </c>
      <c r="H247" s="253"/>
      <c r="I247" s="252">
        <f>SUM(I202:I246)</f>
        <v>70327.049999999974</v>
      </c>
      <c r="J247" s="253"/>
      <c r="K247" s="252">
        <f>SUM(K202:K246)</f>
        <v>54339.729999999996</v>
      </c>
      <c r="L247" s="253"/>
      <c r="M247" s="252">
        <f>SUM(M202:M246)</f>
        <v>53682.51999999999</v>
      </c>
      <c r="N247" s="253"/>
      <c r="O247" s="252">
        <f>SUM(O202:O246)</f>
        <v>56081.340000000004</v>
      </c>
      <c r="P247" s="253"/>
      <c r="Q247" s="252">
        <f>SUM(Q202:Q246)</f>
        <v>57148.999999999993</v>
      </c>
      <c r="R247" s="253"/>
      <c r="S247" s="252">
        <f>SUM(S202:S246)</f>
        <v>63077.080000000009</v>
      </c>
      <c r="T247" s="253"/>
      <c r="U247" s="252">
        <f>SUM(U202:U246)</f>
        <v>58153.96</v>
      </c>
      <c r="V247" s="253"/>
      <c r="W247" s="252">
        <f>SUM(W202:W246)</f>
        <v>61752.129999999968</v>
      </c>
      <c r="X247" s="253"/>
      <c r="Y247" s="252">
        <f>SUM(Y202:Y246)</f>
        <v>56756.830000000016</v>
      </c>
      <c r="Z247" s="253"/>
      <c r="AA247" s="252">
        <f>SUM(AA202:AA246)</f>
        <v>59793.820000000007</v>
      </c>
      <c r="AB247" s="253"/>
      <c r="AC247" s="252">
        <f>SUM(AC202:AC246)</f>
        <v>69888.739999999976</v>
      </c>
      <c r="AD247" s="253"/>
      <c r="AE247" s="252">
        <f>SUM(AE202:AE246)</f>
        <v>697854.51000000013</v>
      </c>
      <c r="AF247" s="248">
        <f>IF(AE$47=0,0,AE247/AE$47)</f>
        <v>7.6957734888850646E-2</v>
      </c>
      <c r="AG247" s="222"/>
    </row>
    <row r="248" spans="1:33" s="240" customFormat="1" ht="15.5" outlineLevel="1">
      <c r="G248" s="254"/>
      <c r="H248" s="253"/>
      <c r="I248" s="254"/>
      <c r="J248" s="253"/>
      <c r="K248" s="254"/>
      <c r="L248" s="253"/>
      <c r="M248" s="254"/>
      <c r="N248" s="253"/>
      <c r="O248" s="254"/>
      <c r="P248" s="253"/>
      <c r="Q248" s="254"/>
      <c r="R248" s="253"/>
      <c r="S248" s="254"/>
      <c r="T248" s="253"/>
      <c r="U248" s="254"/>
      <c r="V248" s="253"/>
      <c r="W248" s="254"/>
      <c r="X248" s="253"/>
      <c r="Y248" s="254"/>
      <c r="Z248" s="253"/>
      <c r="AA248" s="254"/>
      <c r="AB248" s="253"/>
      <c r="AC248" s="254"/>
      <c r="AD248" s="253"/>
      <c r="AE248" s="254"/>
      <c r="AF248" s="243"/>
      <c r="AG248" s="222"/>
    </row>
    <row r="249" spans="1:33" outlineLevel="1">
      <c r="A249" s="244">
        <v>70149</v>
      </c>
      <c r="B249" s="244" t="s">
        <v>838</v>
      </c>
      <c r="C249" s="245"/>
      <c r="D249" s="246"/>
      <c r="E249" s="240"/>
      <c r="F249" s="241"/>
      <c r="G249" s="247">
        <v>23664.78</v>
      </c>
      <c r="H249" s="241"/>
      <c r="I249" s="247">
        <v>23154.17</v>
      </c>
      <c r="J249" s="241"/>
      <c r="K249" s="247">
        <v>23786.89</v>
      </c>
      <c r="L249" s="241"/>
      <c r="M249" s="247">
        <v>24657.38</v>
      </c>
      <c r="N249" s="241"/>
      <c r="O249" s="247">
        <v>24856.22</v>
      </c>
      <c r="P249" s="241"/>
      <c r="Q249" s="247">
        <v>24832.27</v>
      </c>
      <c r="R249" s="241"/>
      <c r="S249" s="247">
        <v>25759.88</v>
      </c>
      <c r="T249" s="241"/>
      <c r="U249" s="247">
        <v>25747.98</v>
      </c>
      <c r="V249" s="241"/>
      <c r="W249" s="247">
        <v>25619.53</v>
      </c>
      <c r="X249" s="241"/>
      <c r="Y249" s="247">
        <v>25635.67</v>
      </c>
      <c r="Z249" s="241"/>
      <c r="AA249" s="247">
        <v>25343.34</v>
      </c>
      <c r="AB249" s="241"/>
      <c r="AC249" s="247">
        <v>25755.37</v>
      </c>
      <c r="AD249" s="241"/>
      <c r="AE249" s="247">
        <f>AC249+AA249+Y249+W249+U249+S249+Q249+O249+M249+K249+I249+G249</f>
        <v>298813.48</v>
      </c>
      <c r="AF249" s="248">
        <f>IF(AE$47=0,0,AE249/AE$47)</f>
        <v>3.2952439578064589E-2</v>
      </c>
      <c r="AG249" s="249"/>
    </row>
    <row r="250" spans="1:33" s="240" customFormat="1" ht="5.15" customHeight="1" outlineLevel="1">
      <c r="A250" s="245"/>
      <c r="B250" s="245"/>
      <c r="C250" s="245"/>
      <c r="D250" s="245"/>
      <c r="G250" s="255"/>
      <c r="H250" s="253"/>
      <c r="I250" s="255"/>
      <c r="J250" s="253"/>
      <c r="K250" s="255"/>
      <c r="L250" s="253"/>
      <c r="M250" s="255"/>
      <c r="N250" s="253"/>
      <c r="O250" s="255"/>
      <c r="P250" s="253"/>
      <c r="Q250" s="255"/>
      <c r="R250" s="253"/>
      <c r="S250" s="255"/>
      <c r="T250" s="253"/>
      <c r="U250" s="255"/>
      <c r="V250" s="253"/>
      <c r="W250" s="255"/>
      <c r="X250" s="253"/>
      <c r="Y250" s="255"/>
      <c r="Z250" s="253"/>
      <c r="AA250" s="255"/>
      <c r="AB250" s="253"/>
      <c r="AC250" s="255"/>
      <c r="AD250" s="253"/>
      <c r="AE250" s="255"/>
      <c r="AF250" s="243"/>
      <c r="AG250" s="222"/>
    </row>
    <row r="251" spans="1:33" s="240" customFormat="1" ht="15.5">
      <c r="C251" s="244" t="s">
        <v>839</v>
      </c>
      <c r="G251" s="252">
        <f>SUM(G248:G250)</f>
        <v>23664.78</v>
      </c>
      <c r="H251" s="253"/>
      <c r="I251" s="252">
        <f>SUM(I248:I250)</f>
        <v>23154.17</v>
      </c>
      <c r="J251" s="253"/>
      <c r="K251" s="252">
        <f>SUM(K248:K250)</f>
        <v>23786.89</v>
      </c>
      <c r="L251" s="253"/>
      <c r="M251" s="252">
        <f>SUM(M248:M250)</f>
        <v>24657.38</v>
      </c>
      <c r="N251" s="253"/>
      <c r="O251" s="252">
        <f>SUM(O248:O250)</f>
        <v>24856.22</v>
      </c>
      <c r="P251" s="253"/>
      <c r="Q251" s="252">
        <f>SUM(Q248:Q250)</f>
        <v>24832.27</v>
      </c>
      <c r="R251" s="253"/>
      <c r="S251" s="252">
        <f>SUM(S248:S250)</f>
        <v>25759.88</v>
      </c>
      <c r="T251" s="253"/>
      <c r="U251" s="252">
        <f>SUM(U248:U250)</f>
        <v>25747.98</v>
      </c>
      <c r="V251" s="253"/>
      <c r="W251" s="252">
        <f>SUM(W248:W250)</f>
        <v>25619.53</v>
      </c>
      <c r="X251" s="253"/>
      <c r="Y251" s="252">
        <f>SUM(Y248:Y250)</f>
        <v>25635.67</v>
      </c>
      <c r="Z251" s="253"/>
      <c r="AA251" s="252">
        <f>SUM(AA248:AA250)</f>
        <v>25343.34</v>
      </c>
      <c r="AB251" s="253"/>
      <c r="AC251" s="252">
        <f>SUM(AC248:AC250)</f>
        <v>25755.37</v>
      </c>
      <c r="AD251" s="253"/>
      <c r="AE251" s="252">
        <f>SUM(AE248:AE250)</f>
        <v>298813.48</v>
      </c>
      <c r="AF251" s="248">
        <f>IF(AE$47=0,0,AE251/AE$47)</f>
        <v>3.2952439578064589E-2</v>
      </c>
      <c r="AG251" s="222"/>
    </row>
    <row r="252" spans="1:33" s="240" customFormat="1" ht="7.5" customHeight="1">
      <c r="G252" s="254"/>
      <c r="H252" s="253"/>
      <c r="I252" s="254"/>
      <c r="J252" s="253"/>
      <c r="K252" s="254"/>
      <c r="L252" s="253"/>
      <c r="M252" s="254"/>
      <c r="N252" s="253"/>
      <c r="O252" s="254"/>
      <c r="P252" s="253"/>
      <c r="Q252" s="254"/>
      <c r="R252" s="253"/>
      <c r="S252" s="254"/>
      <c r="T252" s="253"/>
      <c r="U252" s="254"/>
      <c r="V252" s="253"/>
      <c r="W252" s="254"/>
      <c r="X252" s="253"/>
      <c r="Y252" s="254"/>
      <c r="Z252" s="253"/>
      <c r="AA252" s="254"/>
      <c r="AB252" s="253"/>
      <c r="AC252" s="254"/>
      <c r="AD252" s="253"/>
      <c r="AE252" s="254"/>
      <c r="AF252" s="243"/>
      <c r="AG252" s="222"/>
    </row>
    <row r="253" spans="1:33" s="240" customFormat="1" ht="15.5">
      <c r="B253" s="257" t="s">
        <v>840</v>
      </c>
      <c r="G253" s="258">
        <f>+G200+G247+G251</f>
        <v>60517.089999999989</v>
      </c>
      <c r="H253" s="253"/>
      <c r="I253" s="258">
        <f>+I200+I247+I251</f>
        <v>94925.419999999969</v>
      </c>
      <c r="J253" s="253"/>
      <c r="K253" s="258">
        <f>+K200+K247+K251</f>
        <v>78126.62</v>
      </c>
      <c r="L253" s="253"/>
      <c r="M253" s="258">
        <f>+M200+M247+M251</f>
        <v>80191.51999999999</v>
      </c>
      <c r="N253" s="253"/>
      <c r="O253" s="258">
        <f>+O200+O247+O251</f>
        <v>81053.320000000007</v>
      </c>
      <c r="P253" s="253"/>
      <c r="Q253" s="258">
        <f>+Q200+Q247+Q251</f>
        <v>83028.539999999994</v>
      </c>
      <c r="R253" s="253"/>
      <c r="S253" s="258">
        <f>+S200+S247+S251</f>
        <v>89368.580000000016</v>
      </c>
      <c r="T253" s="253"/>
      <c r="U253" s="258">
        <f>+U200+U247+U251</f>
        <v>84634</v>
      </c>
      <c r="V253" s="253"/>
      <c r="W253" s="258">
        <f>+W200+W247+W251</f>
        <v>88015.469999999972</v>
      </c>
      <c r="X253" s="253"/>
      <c r="Y253" s="258">
        <f>+Y200+Y247+Y251</f>
        <v>83402.270000000019</v>
      </c>
      <c r="Z253" s="253"/>
      <c r="AA253" s="258">
        <f>+AA200+AA247+AA251</f>
        <v>85942.38</v>
      </c>
      <c r="AB253" s="253"/>
      <c r="AC253" s="258">
        <f>+AC200+AC247+AC251</f>
        <v>96659.289999999964</v>
      </c>
      <c r="AD253" s="253"/>
      <c r="AE253" s="258">
        <f>+AE200+AE247+AE251</f>
        <v>1005864.5000000001</v>
      </c>
      <c r="AF253" s="248">
        <f>IF(AE$47=0,0,AE253/AE$47)</f>
        <v>0.11092434370755347</v>
      </c>
      <c r="AG253" s="222"/>
    </row>
    <row r="254" spans="1:33" s="240" customFormat="1" ht="7.5" customHeight="1">
      <c r="G254" s="254"/>
      <c r="H254" s="253"/>
      <c r="I254" s="254"/>
      <c r="J254" s="253"/>
      <c r="K254" s="254"/>
      <c r="L254" s="253"/>
      <c r="M254" s="254"/>
      <c r="N254" s="253"/>
      <c r="O254" s="254"/>
      <c r="P254" s="253"/>
      <c r="Q254" s="254"/>
      <c r="R254" s="253"/>
      <c r="S254" s="254"/>
      <c r="T254" s="253"/>
      <c r="U254" s="254"/>
      <c r="V254" s="253"/>
      <c r="W254" s="254"/>
      <c r="X254" s="253"/>
      <c r="Y254" s="254"/>
      <c r="Z254" s="253"/>
      <c r="AA254" s="254"/>
      <c r="AB254" s="253"/>
      <c r="AC254" s="254"/>
      <c r="AD254" s="253"/>
      <c r="AE254" s="254"/>
      <c r="AF254" s="243"/>
      <c r="AG254" s="222"/>
    </row>
    <row r="255" spans="1:33" s="240" customFormat="1" ht="7.5" customHeight="1">
      <c r="A255" s="264"/>
      <c r="B255" s="264"/>
      <c r="C255" s="264"/>
      <c r="D255" s="264"/>
      <c r="E255" s="264"/>
      <c r="F255" s="264"/>
      <c r="G255" s="262"/>
      <c r="H255" s="253"/>
      <c r="I255" s="262"/>
      <c r="J255" s="253"/>
      <c r="K255" s="262"/>
      <c r="L255" s="253"/>
      <c r="M255" s="262"/>
      <c r="N255" s="253"/>
      <c r="O255" s="262"/>
      <c r="P255" s="253"/>
      <c r="Q255" s="262"/>
      <c r="R255" s="253"/>
      <c r="S255" s="262"/>
      <c r="T255" s="253"/>
      <c r="U255" s="262"/>
      <c r="V255" s="253"/>
      <c r="W255" s="262"/>
      <c r="X255" s="253"/>
      <c r="Y255" s="262"/>
      <c r="Z255" s="253"/>
      <c r="AA255" s="262"/>
      <c r="AB255" s="253"/>
      <c r="AC255" s="262"/>
      <c r="AD255" s="253"/>
      <c r="AE255" s="262"/>
      <c r="AF255" s="243"/>
      <c r="AG255" s="222"/>
    </row>
    <row r="256" spans="1:33" s="240" customFormat="1" ht="15.5">
      <c r="B256" s="265" t="s">
        <v>841</v>
      </c>
      <c r="C256" s="266"/>
      <c r="D256" s="266"/>
      <c r="E256" s="266"/>
      <c r="F256" s="266"/>
      <c r="G256" s="267">
        <f>+G189-G253</f>
        <v>229308.66000000024</v>
      </c>
      <c r="H256" s="268"/>
      <c r="I256" s="267">
        <f>+I189-I253</f>
        <v>121412.56999999996</v>
      </c>
      <c r="J256" s="269"/>
      <c r="K256" s="267">
        <f>+K189-K253</f>
        <v>119224.03999999998</v>
      </c>
      <c r="L256" s="269"/>
      <c r="M256" s="267">
        <f>+M189-M253</f>
        <v>151723.79999999999</v>
      </c>
      <c r="N256" s="268"/>
      <c r="O256" s="267">
        <f>+O189-O253</f>
        <v>163907.62</v>
      </c>
      <c r="P256" s="269"/>
      <c r="Q256" s="267">
        <f>+Q189-Q253</f>
        <v>99961.769999999917</v>
      </c>
      <c r="R256" s="269"/>
      <c r="S256" s="267">
        <f>+S189-S253</f>
        <v>136421.05999999994</v>
      </c>
      <c r="T256" s="268"/>
      <c r="U256" s="267">
        <f>+U189-U253</f>
        <v>166475.09999999998</v>
      </c>
      <c r="V256" s="269"/>
      <c r="W256" s="267">
        <f>+W189-W253</f>
        <v>130399.68000000005</v>
      </c>
      <c r="X256" s="269"/>
      <c r="Y256" s="267">
        <f>+Y189-Y253</f>
        <v>142361.2699999999</v>
      </c>
      <c r="Z256" s="268"/>
      <c r="AA256" s="267">
        <f>+AA189-AA253</f>
        <v>144703.63</v>
      </c>
      <c r="AB256" s="269"/>
      <c r="AC256" s="267">
        <f>+AC189-AC253</f>
        <v>87173.070000000022</v>
      </c>
      <c r="AD256" s="269"/>
      <c r="AE256" s="267">
        <f>+AE189-AE253</f>
        <v>1693072.2700000014</v>
      </c>
      <c r="AF256" s="248">
        <f>IF(AE$47=0,0,AE256/AE$47)</f>
        <v>0.18670798144204104</v>
      </c>
      <c r="AG256" s="270"/>
    </row>
    <row r="257" spans="1:33" s="240" customFormat="1" ht="6.75" customHeight="1">
      <c r="A257" s="271"/>
      <c r="B257" s="271"/>
      <c r="C257" s="271"/>
      <c r="D257" s="271"/>
      <c r="E257" s="271"/>
      <c r="F257" s="271"/>
      <c r="G257" s="272"/>
      <c r="H257" s="271"/>
      <c r="I257" s="272"/>
      <c r="J257" s="271"/>
      <c r="K257" s="272"/>
      <c r="L257" s="271"/>
      <c r="M257" s="272"/>
      <c r="N257" s="271"/>
      <c r="O257" s="272"/>
      <c r="P257" s="271"/>
      <c r="Q257" s="272"/>
      <c r="R257" s="271"/>
      <c r="S257" s="272"/>
      <c r="T257" s="271"/>
      <c r="U257" s="272"/>
      <c r="V257" s="271"/>
      <c r="W257" s="272"/>
      <c r="X257" s="271"/>
      <c r="Y257" s="272"/>
      <c r="Z257" s="271"/>
      <c r="AA257" s="272"/>
      <c r="AB257" s="271"/>
      <c r="AC257" s="272"/>
      <c r="AD257" s="271"/>
      <c r="AE257" s="272"/>
      <c r="AF257" s="273"/>
      <c r="AG257" s="222"/>
    </row>
    <row r="258" spans="1:33" s="240" customFormat="1" ht="15.5">
      <c r="B258" s="274" t="s">
        <v>842</v>
      </c>
      <c r="C258" s="275"/>
      <c r="D258" s="275"/>
      <c r="E258" s="275"/>
      <c r="F258" s="275"/>
      <c r="G258" s="276">
        <f>G256 +G181+SUMIF($A:$A,52141,G:G)+SUMIF($A:$A,52142,G:G)+SUMIF($A:$A,52143,G:G)+SUMIF($A:$A,55142,G:G)+SUMIF($A:$A,56142,G:G)+SUMIF($A:$A,70142,G:G)</f>
        <v>257393.57000000024</v>
      </c>
      <c r="H258" s="275"/>
      <c r="I258" s="276">
        <f>I256 +I181+SUMIF($A:$A,52141,I:I)+SUMIF($A:$A,52142,I:I)+SUMIF($A:$A,52143,I:I)+SUMIF($A:$A,55142,I:I)+SUMIF($A:$A,56142,I:I)+SUMIF($A:$A,70142,I:I)</f>
        <v>145517.01999999996</v>
      </c>
      <c r="J258" s="275"/>
      <c r="K258" s="276">
        <f>K256 +K181+SUMIF($A:$A,52141,K:K)+SUMIF($A:$A,52142,K:K)+SUMIF($A:$A,52143,K:K)+SUMIF($A:$A,55142,K:K)+SUMIF($A:$A,56142,K:K)+SUMIF($A:$A,70142,K:K)</f>
        <v>148801.20999999996</v>
      </c>
      <c r="L258" s="275"/>
      <c r="M258" s="276">
        <f>M256 +M181+SUMIF($A:$A,52141,M:M)+SUMIF($A:$A,52142,M:M)+SUMIF($A:$A,52143,M:M)+SUMIF($A:$A,55142,M:M)+SUMIF($A:$A,56142,M:M)+SUMIF($A:$A,70142,M:M)</f>
        <v>187756.56</v>
      </c>
      <c r="N258" s="275"/>
      <c r="O258" s="276">
        <f>O256 +O181+SUMIF($A:$A,52141,O:O)+SUMIF($A:$A,52142,O:O)+SUMIF($A:$A,52143,O:O)+SUMIF($A:$A,55142,O:O)+SUMIF($A:$A,56142,O:O)+SUMIF($A:$A,70142,O:O)</f>
        <v>196929.09</v>
      </c>
      <c r="P258" s="275"/>
      <c r="Q258" s="276">
        <f>Q256 +Q181+SUMIF($A:$A,52141,Q:Q)+SUMIF($A:$A,52142,Q:Q)+SUMIF($A:$A,52143,Q:Q)+SUMIF($A:$A,55142,Q:Q)+SUMIF($A:$A,56142,Q:Q)+SUMIF($A:$A,70142,Q:Q)</f>
        <v>135390.09999999992</v>
      </c>
      <c r="R258" s="275"/>
      <c r="S258" s="276">
        <f>S256 +S181+SUMIF($A:$A,52141,S:S)+SUMIF($A:$A,52142,S:S)+SUMIF($A:$A,52143,S:S)+SUMIF($A:$A,55142,S:S)+SUMIF($A:$A,56142,S:S)+SUMIF($A:$A,70142,S:S)</f>
        <v>166209.31999999995</v>
      </c>
      <c r="T258" s="275"/>
      <c r="U258" s="276">
        <f>U256 +U181+SUMIF($A:$A,52141,U:U)+SUMIF($A:$A,52142,U:U)+SUMIF($A:$A,52143,U:U)+SUMIF($A:$A,55142,U:U)+SUMIF($A:$A,56142,U:U)+SUMIF($A:$A,70142,U:U)</f>
        <v>193989.68</v>
      </c>
      <c r="V258" s="275"/>
      <c r="W258" s="276">
        <f>W256 +W181+SUMIF($A:$A,52141,W:W)+SUMIF($A:$A,52142,W:W)+SUMIF($A:$A,52143,W:W)+SUMIF($A:$A,55142,W:W)+SUMIF($A:$A,56142,W:W)+SUMIF($A:$A,70142,W:W)</f>
        <v>160203.96000000005</v>
      </c>
      <c r="X258" s="275"/>
      <c r="Y258" s="276">
        <f>Y256 +Y181+SUMIF($A:$A,52141,Y:Y)+SUMIF($A:$A,52142,Y:Y)+SUMIF($A:$A,52143,Y:Y)+SUMIF($A:$A,55142,Y:Y)+SUMIF($A:$A,56142,Y:Y)+SUMIF($A:$A,70142,Y:Y)</f>
        <v>196409.2099999999</v>
      </c>
      <c r="Z258" s="275"/>
      <c r="AA258" s="276">
        <f>AA256 +AA181+SUMIF($A:$A,52141,AA:AA)+SUMIF($A:$A,52142,AA:AA)+SUMIF($A:$A,52143,AA:AA)+SUMIF($A:$A,55142,AA:AA)+SUMIF($A:$A,56142,AA:AA)+SUMIF($A:$A,70142,AA:AA)</f>
        <v>184285.23</v>
      </c>
      <c r="AB258" s="275"/>
      <c r="AC258" s="276">
        <f>AC256 +AC181+SUMIF($A:$A,52141,AC:AC)+SUMIF($A:$A,52142,AC:AC)+SUMIF($A:$A,52143,AC:AC)+SUMIF($A:$A,55142,AC:AC)+SUMIF($A:$A,56142,AC:AC)+SUMIF($A:$A,70142,AC:AC)</f>
        <v>132297.74000000002</v>
      </c>
      <c r="AD258" s="275"/>
      <c r="AE258" s="276">
        <f>AE256 +AE181+SUMIF($A:$A,52141,AE:AE)+SUMIF($A:$A,52142,AE:AE)+SUMIF($A:$A,52143,AE:AE)+SUMIF($A:$A,55142,AE:AE)+SUMIF($A:$A,56142,AE:AE)+SUMIF($A:$A,70142,AE:AE)</f>
        <v>2105182.6900000013</v>
      </c>
      <c r="AF258" s="248">
        <f>IF(AE$47=0,0,AE258/AE$47)</f>
        <v>0.23215453798474059</v>
      </c>
      <c r="AG258" s="270"/>
    </row>
    <row r="259" spans="1:33" s="240" customFormat="1" ht="6.75" customHeight="1">
      <c r="G259" s="254"/>
      <c r="H259" s="254"/>
      <c r="I259" s="254"/>
      <c r="J259" s="254"/>
      <c r="K259" s="254"/>
      <c r="L259" s="254"/>
      <c r="M259" s="254"/>
      <c r="N259" s="254"/>
      <c r="O259" s="254"/>
      <c r="P259" s="254"/>
      <c r="Q259" s="254"/>
      <c r="R259" s="254"/>
      <c r="S259" s="254"/>
      <c r="T259" s="254"/>
      <c r="U259" s="254"/>
      <c r="V259" s="254"/>
      <c r="W259" s="254"/>
      <c r="X259" s="254"/>
      <c r="Y259" s="254"/>
      <c r="Z259" s="254"/>
      <c r="AA259" s="254"/>
      <c r="AB259" s="254"/>
      <c r="AC259" s="254"/>
      <c r="AD259" s="254"/>
      <c r="AE259" s="254"/>
      <c r="AF259" s="273"/>
      <c r="AG259" s="222"/>
    </row>
    <row r="260" spans="1:33" outlineLevel="1">
      <c r="A260" s="244">
        <v>51260</v>
      </c>
      <c r="B260" s="244" t="s">
        <v>843</v>
      </c>
      <c r="C260" s="245"/>
      <c r="D260" s="246"/>
      <c r="E260" s="240"/>
      <c r="F260" s="241"/>
      <c r="G260" s="247">
        <v>28738.44</v>
      </c>
      <c r="H260" s="241"/>
      <c r="I260" s="247">
        <v>27105.79</v>
      </c>
      <c r="J260" s="241"/>
      <c r="K260" s="247">
        <v>27105.8</v>
      </c>
      <c r="L260" s="241"/>
      <c r="M260" s="247">
        <v>27105.66</v>
      </c>
      <c r="N260" s="241"/>
      <c r="O260" s="247">
        <v>26304.1</v>
      </c>
      <c r="P260" s="241"/>
      <c r="Q260" s="247">
        <v>29023.54</v>
      </c>
      <c r="R260" s="241"/>
      <c r="S260" s="247">
        <v>28945.02</v>
      </c>
      <c r="T260" s="241"/>
      <c r="U260" s="247">
        <v>28945.1</v>
      </c>
      <c r="V260" s="241"/>
      <c r="W260" s="247">
        <v>28945.1</v>
      </c>
      <c r="X260" s="241"/>
      <c r="Y260" s="247">
        <v>29762.45</v>
      </c>
      <c r="Z260" s="241"/>
      <c r="AA260" s="247">
        <v>29970.52</v>
      </c>
      <c r="AB260" s="241"/>
      <c r="AC260" s="247">
        <v>29970.53</v>
      </c>
      <c r="AD260" s="241"/>
      <c r="AE260" s="247">
        <f t="shared" ref="AE260:AE261" si="26">AC260+AA260+Y260+W260+U260+S260+Q260+O260+M260+K260+I260+G260</f>
        <v>341922.05</v>
      </c>
      <c r="AF260" s="248">
        <f t="shared" ref="AF260:AF261" si="27">IF(AE$47=0,0,AE260/AE$47)</f>
        <v>3.7706350105199335E-2</v>
      </c>
      <c r="AG260" s="249"/>
    </row>
    <row r="261" spans="1:33" outlineLevel="1">
      <c r="A261" s="244">
        <v>54260</v>
      </c>
      <c r="B261" s="244" t="s">
        <v>843</v>
      </c>
      <c r="C261" s="245"/>
      <c r="D261" s="246"/>
      <c r="E261" s="240"/>
      <c r="F261" s="241"/>
      <c r="G261" s="247">
        <v>5860.88</v>
      </c>
      <c r="H261" s="241"/>
      <c r="I261" s="247">
        <v>5860.86</v>
      </c>
      <c r="J261" s="241"/>
      <c r="K261" s="247">
        <v>5860.87</v>
      </c>
      <c r="L261" s="241"/>
      <c r="M261" s="247">
        <v>5860.83</v>
      </c>
      <c r="N261" s="241"/>
      <c r="O261" s="247">
        <v>5860.84</v>
      </c>
      <c r="P261" s="241"/>
      <c r="Q261" s="247">
        <v>6946.65</v>
      </c>
      <c r="R261" s="241"/>
      <c r="S261" s="247">
        <v>6403.55</v>
      </c>
      <c r="T261" s="241"/>
      <c r="U261" s="247">
        <v>5711.11</v>
      </c>
      <c r="V261" s="241"/>
      <c r="W261" s="247">
        <v>5711.16</v>
      </c>
      <c r="X261" s="241"/>
      <c r="Y261" s="247">
        <v>5797.53</v>
      </c>
      <c r="Z261" s="241"/>
      <c r="AA261" s="247">
        <v>5797.47</v>
      </c>
      <c r="AB261" s="241"/>
      <c r="AC261" s="247">
        <v>5962.97</v>
      </c>
      <c r="AD261" s="241"/>
      <c r="AE261" s="247">
        <f t="shared" si="26"/>
        <v>71634.720000000001</v>
      </c>
      <c r="AF261" s="248">
        <f t="shared" si="27"/>
        <v>7.8997064740572442E-3</v>
      </c>
      <c r="AG261" s="249"/>
    </row>
    <row r="262" spans="1:33" s="240" customFormat="1" ht="5.15" customHeight="1" outlineLevel="1">
      <c r="A262" s="245"/>
      <c r="B262" s="245"/>
      <c r="C262" s="245"/>
      <c r="D262" s="245"/>
      <c r="G262" s="255"/>
      <c r="H262" s="254"/>
      <c r="I262" s="255"/>
      <c r="J262" s="254"/>
      <c r="K262" s="255"/>
      <c r="L262" s="254"/>
      <c r="M262" s="255"/>
      <c r="N262" s="254"/>
      <c r="O262" s="255"/>
      <c r="P262" s="254"/>
      <c r="Q262" s="255"/>
      <c r="R262" s="254"/>
      <c r="S262" s="255"/>
      <c r="T262" s="254"/>
      <c r="U262" s="255"/>
      <c r="V262" s="254"/>
      <c r="W262" s="255"/>
      <c r="X262" s="254"/>
      <c r="Y262" s="255"/>
      <c r="Z262" s="254"/>
      <c r="AA262" s="255"/>
      <c r="AB262" s="254"/>
      <c r="AC262" s="255"/>
      <c r="AD262" s="254"/>
      <c r="AE262" s="255"/>
      <c r="AF262" s="273"/>
      <c r="AG262" s="222"/>
    </row>
    <row r="263" spans="1:33" s="240" customFormat="1" ht="15.5">
      <c r="C263" s="245" t="s">
        <v>843</v>
      </c>
      <c r="G263" s="252">
        <f>SUM(G260:G262)</f>
        <v>34599.32</v>
      </c>
      <c r="H263" s="254"/>
      <c r="I263" s="252">
        <f>SUM(I260:I262)</f>
        <v>32966.65</v>
      </c>
      <c r="J263" s="254"/>
      <c r="K263" s="252">
        <f>SUM(K260:K262)</f>
        <v>32966.67</v>
      </c>
      <c r="L263" s="277">
        <f>IF(K$41=0,0,K263/K$41)</f>
        <v>0</v>
      </c>
      <c r="M263" s="252">
        <f>SUM(M260:M262)</f>
        <v>32966.49</v>
      </c>
      <c r="N263" s="254"/>
      <c r="O263" s="252">
        <f>SUM(O260:O262)</f>
        <v>32164.94</v>
      </c>
      <c r="P263" s="254"/>
      <c r="Q263" s="252">
        <f>SUM(Q260:Q262)</f>
        <v>35970.19</v>
      </c>
      <c r="R263" s="277">
        <f>IF(Q$41=0,0,Q263/Q$41)</f>
        <v>0</v>
      </c>
      <c r="S263" s="252">
        <f>SUM(S260:S262)</f>
        <v>35348.57</v>
      </c>
      <c r="T263" s="254"/>
      <c r="U263" s="252">
        <f>SUM(U260:U262)</f>
        <v>34656.21</v>
      </c>
      <c r="V263" s="254"/>
      <c r="W263" s="252">
        <f>SUM(W260:W262)</f>
        <v>34656.259999999995</v>
      </c>
      <c r="X263" s="277">
        <f>IF(W$41=0,0,W263/W$41)</f>
        <v>0</v>
      </c>
      <c r="Y263" s="252">
        <f>SUM(Y260:Y262)</f>
        <v>35559.980000000003</v>
      </c>
      <c r="Z263" s="254"/>
      <c r="AA263" s="252">
        <f>SUM(AA260:AA262)</f>
        <v>35767.99</v>
      </c>
      <c r="AB263" s="254"/>
      <c r="AC263" s="252">
        <f>SUM(AC260:AC262)</f>
        <v>35933.5</v>
      </c>
      <c r="AD263" s="277">
        <f>IF(AC$41=0,0,AC263/AC$41)</f>
        <v>0</v>
      </c>
      <c r="AE263" s="252">
        <f>SUM(G263,I263,K263,M263,O263,Q263,S263,U263,W263,Y263,AA263,AC263)</f>
        <v>413556.77</v>
      </c>
      <c r="AF263" s="248">
        <f>IF(AE$47=0,0,AE263/AE$47)</f>
        <v>4.5606056579256586E-2</v>
      </c>
      <c r="AG263" s="222"/>
    </row>
    <row r="264" spans="1:33" s="240" customFormat="1" ht="15.5" outlineLevel="1">
      <c r="C264" s="245"/>
      <c r="G264" s="254"/>
      <c r="H264" s="254"/>
      <c r="I264" s="254"/>
      <c r="J264" s="254"/>
      <c r="K264" s="254"/>
      <c r="L264" s="273"/>
      <c r="M264" s="254"/>
      <c r="N264" s="254"/>
      <c r="O264" s="254"/>
      <c r="P264" s="254"/>
      <c r="Q264" s="254"/>
      <c r="R264" s="273"/>
      <c r="S264" s="254"/>
      <c r="T264" s="254"/>
      <c r="U264" s="254"/>
      <c r="V264" s="254"/>
      <c r="W264" s="254"/>
      <c r="X264" s="273"/>
      <c r="Y264" s="254"/>
      <c r="Z264" s="254"/>
      <c r="AA264" s="254"/>
      <c r="AB264" s="254"/>
      <c r="AC264" s="254"/>
      <c r="AD264" s="273"/>
      <c r="AE264" s="254"/>
      <c r="AF264" s="273"/>
      <c r="AG264" s="222"/>
    </row>
    <row r="265" spans="1:33" customFormat="1" ht="14.5" outlineLevel="1"/>
    <row r="266" spans="1:33" s="240" customFormat="1" ht="5.15" customHeight="1" outlineLevel="1">
      <c r="A266" s="245"/>
      <c r="B266" s="245"/>
      <c r="C266" s="245"/>
      <c r="D266" s="245"/>
      <c r="G266" s="255"/>
      <c r="H266" s="254"/>
      <c r="I266" s="255"/>
      <c r="J266" s="254"/>
      <c r="K266" s="255"/>
      <c r="L266" s="273"/>
      <c r="M266" s="255"/>
      <c r="N266" s="254"/>
      <c r="O266" s="255"/>
      <c r="P266" s="254"/>
      <c r="Q266" s="255"/>
      <c r="R266" s="273"/>
      <c r="S266" s="255"/>
      <c r="T266" s="254"/>
      <c r="U266" s="255"/>
      <c r="V266" s="254"/>
      <c r="W266" s="255"/>
      <c r="X266" s="273"/>
      <c r="Y266" s="255"/>
      <c r="Z266" s="254"/>
      <c r="AA266" s="255"/>
      <c r="AB266" s="254"/>
      <c r="AC266" s="255"/>
      <c r="AD266" s="273"/>
      <c r="AE266" s="255"/>
      <c r="AF266" s="273"/>
      <c r="AG266" s="222"/>
    </row>
    <row r="267" spans="1:33" s="240" customFormat="1" ht="15.5">
      <c r="C267" s="244" t="s">
        <v>844</v>
      </c>
      <c r="G267" s="252">
        <f>SUM(G265:G266)</f>
        <v>0</v>
      </c>
      <c r="H267" s="254"/>
      <c r="I267" s="252">
        <f>SUM(I265:I266)</f>
        <v>0</v>
      </c>
      <c r="J267" s="254"/>
      <c r="K267" s="252">
        <f>SUM(K265:K266)</f>
        <v>0</v>
      </c>
      <c r="L267" s="277">
        <f>IF(K$41=0,0,K267/K$41)</f>
        <v>0</v>
      </c>
      <c r="M267" s="252">
        <f>SUM(M265:M266)</f>
        <v>0</v>
      </c>
      <c r="N267" s="254"/>
      <c r="O267" s="252">
        <f>SUM(O265:O266)</f>
        <v>0</v>
      </c>
      <c r="P267" s="254"/>
      <c r="Q267" s="252">
        <f>SUM(Q265:Q266)</f>
        <v>0</v>
      </c>
      <c r="R267" s="277">
        <f>IF(Q$41=0,0,Q267/Q$41)</f>
        <v>0</v>
      </c>
      <c r="S267" s="252">
        <f>SUM(S265:S266)</f>
        <v>0</v>
      </c>
      <c r="T267" s="254"/>
      <c r="U267" s="252">
        <f>SUM(U265:U266)</f>
        <v>0</v>
      </c>
      <c r="V267" s="254"/>
      <c r="W267" s="252">
        <f>SUM(W265:W266)</f>
        <v>0</v>
      </c>
      <c r="X267" s="277">
        <f>IF(W$41=0,0,W267/W$41)</f>
        <v>0</v>
      </c>
      <c r="Y267" s="252">
        <f>SUM(Y265:Y266)</f>
        <v>0</v>
      </c>
      <c r="Z267" s="254"/>
      <c r="AA267" s="252">
        <f>SUM(AA265:AA266)</f>
        <v>0</v>
      </c>
      <c r="AB267" s="254"/>
      <c r="AC267" s="252">
        <f>SUM(AC265:AC266)</f>
        <v>0</v>
      </c>
      <c r="AD267" s="277">
        <f>IF(AC$41=0,0,AC267/AC$41)</f>
        <v>0</v>
      </c>
      <c r="AE267" s="252">
        <f>SUM(G267,I267,K267)</f>
        <v>0</v>
      </c>
      <c r="AF267" s="248">
        <f>IF(AE$47=0,0,AE267/AE$47)</f>
        <v>0</v>
      </c>
      <c r="AG267" s="222"/>
    </row>
    <row r="268" spans="1:33" s="240" customFormat="1" ht="15.5" outlineLevel="1">
      <c r="G268" s="254"/>
      <c r="H268" s="254"/>
      <c r="I268" s="254"/>
      <c r="J268" s="254"/>
      <c r="K268" s="254"/>
      <c r="L268" s="273"/>
      <c r="M268" s="254"/>
      <c r="N268" s="254"/>
      <c r="O268" s="254"/>
      <c r="P268" s="254"/>
      <c r="Q268" s="254"/>
      <c r="R268" s="273"/>
      <c r="S268" s="254"/>
      <c r="T268" s="254"/>
      <c r="U268" s="254"/>
      <c r="V268" s="254"/>
      <c r="W268" s="254"/>
      <c r="X268" s="273"/>
      <c r="Y268" s="254"/>
      <c r="Z268" s="254"/>
      <c r="AA268" s="254"/>
      <c r="AB268" s="254"/>
      <c r="AC268" s="254"/>
      <c r="AD268" s="273"/>
      <c r="AE268" s="254"/>
      <c r="AF268" s="273"/>
      <c r="AG268" s="222"/>
    </row>
    <row r="269" spans="1:33" outlineLevel="1">
      <c r="A269" s="244">
        <v>70264</v>
      </c>
      <c r="B269" s="244" t="s">
        <v>863</v>
      </c>
      <c r="C269" s="245"/>
      <c r="D269" s="246"/>
      <c r="E269" s="240"/>
      <c r="F269" s="241"/>
      <c r="G269" s="247">
        <v>52.08</v>
      </c>
      <c r="H269" s="241"/>
      <c r="I269" s="247">
        <v>52.09</v>
      </c>
      <c r="J269" s="241"/>
      <c r="K269" s="247">
        <v>52.08</v>
      </c>
      <c r="L269" s="241"/>
      <c r="M269" s="247">
        <v>52.08</v>
      </c>
      <c r="N269" s="241"/>
      <c r="O269" s="247">
        <v>52.09</v>
      </c>
      <c r="P269" s="241"/>
      <c r="Q269" s="247">
        <v>52.08</v>
      </c>
      <c r="R269" s="241"/>
      <c r="S269" s="247">
        <v>52.08</v>
      </c>
      <c r="T269" s="241"/>
      <c r="U269" s="247">
        <v>52.09</v>
      </c>
      <c r="V269" s="241"/>
      <c r="W269" s="247">
        <v>52.08</v>
      </c>
      <c r="X269" s="241"/>
      <c r="Y269" s="247">
        <v>52.08</v>
      </c>
      <c r="Z269" s="241"/>
      <c r="AA269" s="247">
        <v>52.09</v>
      </c>
      <c r="AB269" s="241"/>
      <c r="AC269" s="247">
        <v>52.08</v>
      </c>
      <c r="AD269" s="241"/>
      <c r="AE269" s="247">
        <f>AC269+AA269+Y269+W269+U269+S269+Q269+O269+M269+K269+I269+G269</f>
        <v>625</v>
      </c>
      <c r="AF269" s="248">
        <f>IF(AE$47=0,0,AE269/AE$47)</f>
        <v>6.8923512875959845E-5</v>
      </c>
      <c r="AG269" s="249"/>
    </row>
    <row r="270" spans="1:33" s="240" customFormat="1" ht="5.15" customHeight="1" outlineLevel="1">
      <c r="A270" s="245"/>
      <c r="B270" s="245"/>
      <c r="C270" s="245"/>
      <c r="D270" s="245"/>
      <c r="G270" s="255"/>
      <c r="H270" s="254"/>
      <c r="I270" s="255"/>
      <c r="J270" s="254"/>
      <c r="K270" s="255"/>
      <c r="L270" s="273"/>
      <c r="M270" s="255"/>
      <c r="N270" s="254"/>
      <c r="O270" s="255"/>
      <c r="P270" s="254"/>
      <c r="Q270" s="255"/>
      <c r="R270" s="273"/>
      <c r="S270" s="255"/>
      <c r="T270" s="254"/>
      <c r="U270" s="255"/>
      <c r="V270" s="254"/>
      <c r="W270" s="255"/>
      <c r="X270" s="273"/>
      <c r="Y270" s="255"/>
      <c r="Z270" s="254"/>
      <c r="AA270" s="255"/>
      <c r="AB270" s="254"/>
      <c r="AC270" s="255"/>
      <c r="AD270" s="273"/>
      <c r="AE270" s="255"/>
      <c r="AF270" s="273"/>
      <c r="AG270" s="222"/>
    </row>
    <row r="271" spans="1:33" s="240" customFormat="1" ht="15.5">
      <c r="C271" s="245" t="s">
        <v>845</v>
      </c>
      <c r="G271" s="252">
        <f>SUM(G269:G270)</f>
        <v>52.08</v>
      </c>
      <c r="H271" s="254"/>
      <c r="I271" s="252">
        <f>SUM(I269:I270)</f>
        <v>52.09</v>
      </c>
      <c r="J271" s="254"/>
      <c r="K271" s="252">
        <f>SUM(K269:K270)</f>
        <v>52.08</v>
      </c>
      <c r="L271" s="277">
        <f>IF(K$41=0,0,K271/K$41)</f>
        <v>0</v>
      </c>
      <c r="M271" s="252">
        <f>SUM(M269:M270)</f>
        <v>52.08</v>
      </c>
      <c r="N271" s="254"/>
      <c r="O271" s="252">
        <f>SUM(O269:O270)</f>
        <v>52.09</v>
      </c>
      <c r="P271" s="254"/>
      <c r="Q271" s="252">
        <f>SUM(Q269:Q270)</f>
        <v>52.08</v>
      </c>
      <c r="R271" s="277">
        <f>IF(Q$41=0,0,Q271/Q$41)</f>
        <v>0</v>
      </c>
      <c r="S271" s="252">
        <f>SUM(S269:S270)</f>
        <v>52.08</v>
      </c>
      <c r="T271" s="254"/>
      <c r="U271" s="252">
        <f>SUM(U269:U270)</f>
        <v>52.09</v>
      </c>
      <c r="V271" s="254"/>
      <c r="W271" s="252">
        <f>SUM(W269:W270)</f>
        <v>52.08</v>
      </c>
      <c r="X271" s="277">
        <f>IF(W$41=0,0,W271/W$41)</f>
        <v>0</v>
      </c>
      <c r="Y271" s="252">
        <f>SUM(Y269:Y270)</f>
        <v>52.08</v>
      </c>
      <c r="Z271" s="254"/>
      <c r="AA271" s="252">
        <f>SUM(AA269:AA270)</f>
        <v>52.09</v>
      </c>
      <c r="AB271" s="254"/>
      <c r="AC271" s="252">
        <f>SUM(AC269:AC270)</f>
        <v>52.08</v>
      </c>
      <c r="AD271" s="277">
        <f>IF(AC$41=0,0,AC271/AC$41)</f>
        <v>0</v>
      </c>
      <c r="AE271" s="252">
        <f>SUM(G271,I271,K271,M271,O271,Q271,S271,U271,W271,Y271,AA271,AC271)</f>
        <v>625</v>
      </c>
      <c r="AF271" s="248">
        <f>IF(AE$47=0,0,AE271/AE$47)</f>
        <v>6.8923512875959845E-5</v>
      </c>
      <c r="AG271" s="222"/>
    </row>
    <row r="272" spans="1:33" s="240" customFormat="1" ht="6.75" customHeight="1">
      <c r="G272" s="254"/>
      <c r="H272" s="254"/>
      <c r="I272" s="254"/>
      <c r="J272" s="254"/>
      <c r="K272" s="254"/>
      <c r="L272" s="273"/>
      <c r="M272" s="254"/>
      <c r="N272" s="254"/>
      <c r="O272" s="254"/>
      <c r="P272" s="254"/>
      <c r="Q272" s="254"/>
      <c r="R272" s="273"/>
      <c r="S272" s="254"/>
      <c r="T272" s="254"/>
      <c r="U272" s="254"/>
      <c r="V272" s="254"/>
      <c r="W272" s="254"/>
      <c r="X272" s="273"/>
      <c r="Y272" s="254"/>
      <c r="Z272" s="254"/>
      <c r="AA272" s="254"/>
      <c r="AB272" s="254"/>
      <c r="AC272" s="254"/>
      <c r="AD272" s="273"/>
      <c r="AE272" s="254"/>
      <c r="AF272" s="273"/>
      <c r="AG272" s="222"/>
    </row>
    <row r="273" spans="1:33" s="240" customFormat="1" ht="15.5">
      <c r="B273" s="257" t="s">
        <v>846</v>
      </c>
      <c r="G273" s="258">
        <f>+G263+G267+G271</f>
        <v>34651.4</v>
      </c>
      <c r="H273" s="254"/>
      <c r="I273" s="258">
        <f>+I263+I267+I271</f>
        <v>33018.74</v>
      </c>
      <c r="J273" s="254"/>
      <c r="K273" s="258">
        <f>+K263+K267+K271</f>
        <v>33018.75</v>
      </c>
      <c r="L273" s="277">
        <f>IF(K$41=0,0,K273/K$41)</f>
        <v>0</v>
      </c>
      <c r="M273" s="258">
        <f>+M263+M267+M271</f>
        <v>33018.57</v>
      </c>
      <c r="N273" s="254"/>
      <c r="O273" s="258">
        <f>+O263+O267+O271</f>
        <v>32217.03</v>
      </c>
      <c r="P273" s="254"/>
      <c r="Q273" s="258">
        <f>+Q263+Q267+Q271</f>
        <v>36022.270000000004</v>
      </c>
      <c r="R273" s="277">
        <f>IF(Q$41=0,0,Q273/Q$41)</f>
        <v>0</v>
      </c>
      <c r="S273" s="258">
        <f>+S263+S267+S271</f>
        <v>35400.65</v>
      </c>
      <c r="T273" s="254"/>
      <c r="U273" s="258">
        <f>+U263+U267+U271</f>
        <v>34708.299999999996</v>
      </c>
      <c r="V273" s="254"/>
      <c r="W273" s="258">
        <f>+W263+W267+W271</f>
        <v>34708.339999999997</v>
      </c>
      <c r="X273" s="277">
        <f>IF(W$41=0,0,W273/W$41)</f>
        <v>0</v>
      </c>
      <c r="Y273" s="258">
        <f>+Y263+Y267+Y271</f>
        <v>35612.060000000005</v>
      </c>
      <c r="Z273" s="254"/>
      <c r="AA273" s="258">
        <f>+AA263+AA267+AA271</f>
        <v>35820.079999999994</v>
      </c>
      <c r="AB273" s="254"/>
      <c r="AC273" s="258">
        <f>+AC263+AC267+AC271</f>
        <v>35985.58</v>
      </c>
      <c r="AD273" s="277">
        <f>IF(AC$41=0,0,AC273/AC$41)</f>
        <v>0</v>
      </c>
      <c r="AE273" s="258">
        <f>+AE263+AE267+AE271</f>
        <v>414181.77</v>
      </c>
      <c r="AF273" s="248">
        <f>IF(AE$47=0,0,AE273/AE$47)</f>
        <v>4.5674980092132542E-2</v>
      </c>
      <c r="AG273" s="222"/>
    </row>
    <row r="274" spans="1:33" s="240" customFormat="1" ht="6.75" customHeight="1">
      <c r="G274" s="254"/>
      <c r="H274" s="254"/>
      <c r="I274" s="254"/>
      <c r="J274" s="254"/>
      <c r="K274" s="254"/>
      <c r="L274" s="273"/>
      <c r="M274" s="254"/>
      <c r="N274" s="254"/>
      <c r="O274" s="254"/>
      <c r="P274" s="254"/>
      <c r="Q274" s="254"/>
      <c r="R274" s="273"/>
      <c r="S274" s="254"/>
      <c r="T274" s="254"/>
      <c r="U274" s="254"/>
      <c r="V274" s="254"/>
      <c r="W274" s="254"/>
      <c r="X274" s="273"/>
      <c r="Y274" s="254"/>
      <c r="Z274" s="254"/>
      <c r="AA274" s="254"/>
      <c r="AB274" s="254"/>
      <c r="AC274" s="254"/>
      <c r="AD274" s="273"/>
      <c r="AE274" s="254"/>
      <c r="AF274" s="273"/>
      <c r="AG274" s="222"/>
    </row>
    <row r="275" spans="1:33" s="240" customFormat="1" ht="15.5">
      <c r="B275" s="260" t="s">
        <v>847</v>
      </c>
      <c r="G275" s="258">
        <f>+G256-G273</f>
        <v>194657.26000000024</v>
      </c>
      <c r="H275" s="254"/>
      <c r="I275" s="258">
        <f>+I256-I273</f>
        <v>88393.829999999958</v>
      </c>
      <c r="J275" s="254"/>
      <c r="K275" s="258">
        <f>+K256-K273</f>
        <v>86205.289999999979</v>
      </c>
      <c r="L275" s="277">
        <f>IF(K$41=0,0,K275/K$41)</f>
        <v>0</v>
      </c>
      <c r="M275" s="258">
        <f>+M256-M273</f>
        <v>118705.22999999998</v>
      </c>
      <c r="N275" s="254"/>
      <c r="O275" s="258">
        <f>+O256-O273</f>
        <v>131690.59</v>
      </c>
      <c r="P275" s="254"/>
      <c r="Q275" s="258">
        <f>+Q256-Q273</f>
        <v>63939.499999999913</v>
      </c>
      <c r="R275" s="277">
        <f>IF(Q$41=0,0,Q275/Q$41)</f>
        <v>0</v>
      </c>
      <c r="S275" s="258">
        <f>+S256-S273</f>
        <v>101020.40999999995</v>
      </c>
      <c r="T275" s="254"/>
      <c r="U275" s="258">
        <f>+U256-U273</f>
        <v>131766.79999999999</v>
      </c>
      <c r="V275" s="254"/>
      <c r="W275" s="258">
        <f>+W256-W273</f>
        <v>95691.340000000055</v>
      </c>
      <c r="X275" s="277">
        <f>IF(W$41=0,0,W275/W$41)</f>
        <v>0</v>
      </c>
      <c r="Y275" s="258">
        <f>+Y256-Y273</f>
        <v>106749.2099999999</v>
      </c>
      <c r="Z275" s="254"/>
      <c r="AA275" s="258">
        <f>+AA256-AA273</f>
        <v>108883.55000000002</v>
      </c>
      <c r="AB275" s="254"/>
      <c r="AC275" s="258">
        <f>+AC256-AC273</f>
        <v>51187.49000000002</v>
      </c>
      <c r="AD275" s="277">
        <f>IF(AC$41=0,0,AC275/AC$41)</f>
        <v>0</v>
      </c>
      <c r="AE275" s="258">
        <f>+AE256-AE273</f>
        <v>1278890.5000000014</v>
      </c>
      <c r="AF275" s="248">
        <f>IF(AE$47=0,0,AE275/AE$47)</f>
        <v>0.14103300134990851</v>
      </c>
      <c r="AG275" s="222"/>
    </row>
    <row r="276" spans="1:33" s="240" customFormat="1" ht="6.75" customHeight="1">
      <c r="G276" s="254"/>
      <c r="H276" s="254"/>
      <c r="I276" s="254"/>
      <c r="J276" s="254"/>
      <c r="K276" s="254"/>
      <c r="L276" s="273"/>
      <c r="M276" s="254"/>
      <c r="N276" s="254"/>
      <c r="O276" s="254"/>
      <c r="P276" s="254"/>
      <c r="Q276" s="254"/>
      <c r="R276" s="273"/>
      <c r="S276" s="254"/>
      <c r="T276" s="254"/>
      <c r="U276" s="254"/>
      <c r="V276" s="254"/>
      <c r="W276" s="254"/>
      <c r="X276" s="273"/>
      <c r="Y276" s="254"/>
      <c r="Z276" s="254"/>
      <c r="AA276" s="254"/>
      <c r="AB276" s="254"/>
      <c r="AC276" s="254"/>
      <c r="AD276" s="273"/>
      <c r="AE276" s="254"/>
      <c r="AF276" s="273"/>
      <c r="AG276" s="222"/>
    </row>
    <row r="277" spans="1:33" outlineLevel="1">
      <c r="A277" s="244"/>
      <c r="B277" s="244"/>
      <c r="C277" s="245"/>
      <c r="D277" s="246"/>
      <c r="E277" s="240"/>
      <c r="F277" s="241"/>
      <c r="G277" s="247"/>
      <c r="H277" s="241"/>
      <c r="I277" s="247"/>
      <c r="J277" s="241"/>
      <c r="K277" s="247"/>
      <c r="L277" s="241"/>
      <c r="M277" s="247"/>
      <c r="N277" s="241"/>
      <c r="O277" s="247"/>
      <c r="P277" s="241"/>
      <c r="Q277" s="247"/>
      <c r="R277" s="241"/>
      <c r="S277" s="247"/>
      <c r="T277" s="241"/>
      <c r="U277" s="247"/>
      <c r="V277" s="241"/>
      <c r="W277" s="247"/>
      <c r="X277" s="241"/>
      <c r="Y277" s="247"/>
      <c r="Z277" s="241"/>
      <c r="AA277" s="247"/>
      <c r="AB277" s="241"/>
      <c r="AC277" s="247"/>
      <c r="AD277" s="241"/>
      <c r="AE277" s="247"/>
      <c r="AF277" s="248"/>
      <c r="AG277" s="249"/>
    </row>
    <row r="278" spans="1:33" s="240" customFormat="1" ht="5.15" customHeight="1" outlineLevel="1">
      <c r="A278" s="245"/>
      <c r="B278" s="245"/>
      <c r="C278" s="245"/>
      <c r="D278" s="245"/>
      <c r="G278" s="255"/>
      <c r="H278" s="254"/>
      <c r="I278" s="255"/>
      <c r="J278" s="254"/>
      <c r="K278" s="255"/>
      <c r="L278" s="273"/>
      <c r="M278" s="255"/>
      <c r="N278" s="254"/>
      <c r="O278" s="255"/>
      <c r="P278" s="254"/>
      <c r="Q278" s="255"/>
      <c r="R278" s="273"/>
      <c r="S278" s="255"/>
      <c r="T278" s="254"/>
      <c r="U278" s="255"/>
      <c r="V278" s="254"/>
      <c r="W278" s="255"/>
      <c r="X278" s="273"/>
      <c r="Y278" s="255"/>
      <c r="Z278" s="254"/>
      <c r="AA278" s="255"/>
      <c r="AB278" s="254"/>
      <c r="AC278" s="255"/>
      <c r="AD278" s="273"/>
      <c r="AE278" s="255"/>
      <c r="AF278" s="273"/>
      <c r="AG278" s="222"/>
    </row>
    <row r="279" spans="1:33" s="240" customFormat="1" ht="15.5">
      <c r="C279" s="245" t="s">
        <v>848</v>
      </c>
      <c r="G279" s="252">
        <f>SUM(G277:G278)</f>
        <v>0</v>
      </c>
      <c r="H279" s="254"/>
      <c r="I279" s="252">
        <f>SUM(I277:I278)</f>
        <v>0</v>
      </c>
      <c r="J279" s="254"/>
      <c r="K279" s="252">
        <f>SUM(K277:K278)</f>
        <v>0</v>
      </c>
      <c r="L279" s="277">
        <f>IF(K$41=0,0,K279/K$41)</f>
        <v>0</v>
      </c>
      <c r="M279" s="252">
        <f>SUM(M277:M278)</f>
        <v>0</v>
      </c>
      <c r="N279" s="254"/>
      <c r="O279" s="252">
        <f>SUM(O277:O278)</f>
        <v>0</v>
      </c>
      <c r="P279" s="254"/>
      <c r="Q279" s="252">
        <f>SUM(Q277:Q278)</f>
        <v>0</v>
      </c>
      <c r="R279" s="277">
        <f>IF(Q$41=0,0,Q279/Q$41)</f>
        <v>0</v>
      </c>
      <c r="S279" s="252">
        <f>SUM(S277:S278)</f>
        <v>0</v>
      </c>
      <c r="T279" s="254"/>
      <c r="U279" s="252">
        <f>SUM(U277:U278)</f>
        <v>0</v>
      </c>
      <c r="V279" s="254"/>
      <c r="W279" s="252">
        <f>SUM(W277:W278)</f>
        <v>0</v>
      </c>
      <c r="X279" s="277">
        <f>IF(W$41=0,0,W279/W$41)</f>
        <v>0</v>
      </c>
      <c r="Y279" s="252">
        <f>SUM(Y277:Y278)</f>
        <v>0</v>
      </c>
      <c r="Z279" s="254"/>
      <c r="AA279" s="252">
        <f>SUM(AA277:AA278)</f>
        <v>0</v>
      </c>
      <c r="AB279" s="254"/>
      <c r="AC279" s="252">
        <f>SUM(AC277:AC278)</f>
        <v>0</v>
      </c>
      <c r="AD279" s="277">
        <f>IF(AC$41=0,0,AC279/AC$41)</f>
        <v>0</v>
      </c>
      <c r="AE279" s="252">
        <f>SUM(AE277:AE278)</f>
        <v>0</v>
      </c>
      <c r="AF279" s="248">
        <f>IF(AE$47=0,0,AE279/AE$47)</f>
        <v>0</v>
      </c>
      <c r="AG279" s="222"/>
    </row>
    <row r="280" spans="1:33" s="240" customFormat="1" ht="15.5" outlineLevel="1">
      <c r="G280" s="254"/>
      <c r="H280" s="254"/>
      <c r="I280" s="254"/>
      <c r="J280" s="254"/>
      <c r="K280" s="254"/>
      <c r="L280" s="273"/>
      <c r="M280" s="254"/>
      <c r="N280" s="254"/>
      <c r="O280" s="254"/>
      <c r="P280" s="254"/>
      <c r="Q280" s="254"/>
      <c r="R280" s="273"/>
      <c r="S280" s="254"/>
      <c r="T280" s="254"/>
      <c r="U280" s="254"/>
      <c r="V280" s="254"/>
      <c r="W280" s="254"/>
      <c r="X280" s="273"/>
      <c r="Y280" s="254"/>
      <c r="Z280" s="254"/>
      <c r="AA280" s="254"/>
      <c r="AB280" s="254"/>
      <c r="AC280" s="254"/>
      <c r="AD280" s="273"/>
      <c r="AE280" s="254"/>
      <c r="AF280" s="273"/>
      <c r="AG280" s="222"/>
    </row>
    <row r="281" spans="1:33" customFormat="1" ht="14.5" outlineLevel="1"/>
    <row r="282" spans="1:33" s="240" customFormat="1" ht="5.15" customHeight="1" outlineLevel="1">
      <c r="A282" s="245"/>
      <c r="B282" s="245"/>
      <c r="C282" s="245"/>
      <c r="D282" s="245"/>
      <c r="G282" s="255"/>
      <c r="H282" s="254"/>
      <c r="I282" s="255"/>
      <c r="J282" s="254"/>
      <c r="K282" s="255"/>
      <c r="L282" s="273"/>
      <c r="M282" s="255"/>
      <c r="N282" s="254"/>
      <c r="O282" s="255"/>
      <c r="P282" s="254"/>
      <c r="Q282" s="255"/>
      <c r="R282" s="273"/>
      <c r="S282" s="255"/>
      <c r="T282" s="254"/>
      <c r="U282" s="255"/>
      <c r="V282" s="254"/>
      <c r="W282" s="255"/>
      <c r="X282" s="273"/>
      <c r="Y282" s="255"/>
      <c r="Z282" s="254"/>
      <c r="AA282" s="255"/>
      <c r="AB282" s="254"/>
      <c r="AC282" s="255"/>
      <c r="AD282" s="273"/>
      <c r="AE282" s="255"/>
      <c r="AF282" s="273"/>
      <c r="AG282" s="222"/>
    </row>
    <row r="283" spans="1:33" s="240" customFormat="1" ht="15.5">
      <c r="C283" s="244" t="s">
        <v>849</v>
      </c>
      <c r="G283" s="252">
        <f>SUM(G281:G282)</f>
        <v>0</v>
      </c>
      <c r="H283" s="254"/>
      <c r="I283" s="252">
        <f>SUM(I281:I282)</f>
        <v>0</v>
      </c>
      <c r="J283" s="254"/>
      <c r="K283" s="252">
        <f>SUM(K281:K282)</f>
        <v>0</v>
      </c>
      <c r="L283" s="277">
        <f>IF(K$41=0,0,K283/K$41)</f>
        <v>0</v>
      </c>
      <c r="M283" s="252">
        <f>SUM(M281:M282)</f>
        <v>0</v>
      </c>
      <c r="N283" s="254"/>
      <c r="O283" s="252">
        <f>SUM(O281:O282)</f>
        <v>0</v>
      </c>
      <c r="P283" s="254"/>
      <c r="Q283" s="252">
        <f>SUM(Q281:Q282)</f>
        <v>0</v>
      </c>
      <c r="R283" s="277">
        <f>IF(Q$41=0,0,Q283/Q$41)</f>
        <v>0</v>
      </c>
      <c r="S283" s="252">
        <f>SUM(S281:S282)</f>
        <v>0</v>
      </c>
      <c r="T283" s="254"/>
      <c r="U283" s="252">
        <f>SUM(U281:U282)</f>
        <v>0</v>
      </c>
      <c r="V283" s="254"/>
      <c r="W283" s="252">
        <f>SUM(W281:W282)</f>
        <v>0</v>
      </c>
      <c r="X283" s="277">
        <f>IF(W$41=0,0,W283/W$41)</f>
        <v>0</v>
      </c>
      <c r="Y283" s="252">
        <f>SUM(Y281:Y282)</f>
        <v>0</v>
      </c>
      <c r="Z283" s="254"/>
      <c r="AA283" s="252">
        <f>SUM(AA281:AA282)</f>
        <v>0</v>
      </c>
      <c r="AB283" s="254"/>
      <c r="AC283" s="252">
        <f>SUM(AC281:AC282)</f>
        <v>0</v>
      </c>
      <c r="AD283" s="277">
        <f>IF(AC$41=0,0,AC283/AC$41)</f>
        <v>0</v>
      </c>
      <c r="AE283" s="252">
        <f>SUM(AE281:AE282)</f>
        <v>0</v>
      </c>
      <c r="AF283" s="248">
        <f>IF(AE$47=0,0,AE283/AE$47)</f>
        <v>0</v>
      </c>
      <c r="AG283" s="222"/>
    </row>
    <row r="284" spans="1:33" s="240" customFormat="1" ht="15.5" outlineLevel="1">
      <c r="G284" s="254"/>
      <c r="H284" s="254"/>
      <c r="I284" s="254"/>
      <c r="J284" s="254"/>
      <c r="K284" s="254"/>
      <c r="L284" s="273"/>
      <c r="M284" s="254"/>
      <c r="N284" s="254"/>
      <c r="O284" s="254"/>
      <c r="P284" s="254"/>
      <c r="Q284" s="254"/>
      <c r="R284" s="273"/>
      <c r="S284" s="254"/>
      <c r="T284" s="254"/>
      <c r="U284" s="254"/>
      <c r="V284" s="254"/>
      <c r="W284" s="254"/>
      <c r="X284" s="273"/>
      <c r="Y284" s="254"/>
      <c r="Z284" s="254"/>
      <c r="AA284" s="254"/>
      <c r="AB284" s="254"/>
      <c r="AC284" s="254"/>
      <c r="AD284" s="273"/>
      <c r="AE284" s="254"/>
      <c r="AF284" s="273"/>
      <c r="AG284" s="222"/>
    </row>
    <row r="285" spans="1:33" outlineLevel="1">
      <c r="A285" s="244"/>
      <c r="B285" s="244"/>
      <c r="C285" s="245"/>
      <c r="D285" s="246"/>
      <c r="E285" s="240"/>
      <c r="F285" s="241"/>
      <c r="G285" s="247"/>
      <c r="H285" s="241"/>
      <c r="I285" s="247"/>
      <c r="J285" s="241"/>
      <c r="K285" s="247"/>
      <c r="L285" s="241"/>
      <c r="M285" s="247"/>
      <c r="N285" s="241"/>
      <c r="O285" s="247"/>
      <c r="P285" s="241"/>
      <c r="Q285" s="247"/>
      <c r="R285" s="241"/>
      <c r="S285" s="247"/>
      <c r="T285" s="241"/>
      <c r="U285" s="247"/>
      <c r="V285" s="241"/>
      <c r="W285" s="247"/>
      <c r="X285" s="241"/>
      <c r="Y285" s="247"/>
      <c r="Z285" s="241"/>
      <c r="AA285" s="247"/>
      <c r="AB285" s="241"/>
      <c r="AC285" s="247"/>
      <c r="AD285" s="241"/>
      <c r="AE285" s="247"/>
      <c r="AF285" s="248"/>
      <c r="AG285" s="249"/>
    </row>
    <row r="286" spans="1:33" s="240" customFormat="1" ht="5.15" customHeight="1" outlineLevel="1">
      <c r="A286" s="245"/>
      <c r="B286" s="245"/>
      <c r="C286" s="245"/>
      <c r="D286" s="245"/>
      <c r="G286" s="255"/>
      <c r="H286" s="254"/>
      <c r="I286" s="255"/>
      <c r="J286" s="254"/>
      <c r="K286" s="255"/>
      <c r="L286" s="273"/>
      <c r="M286" s="255"/>
      <c r="N286" s="254"/>
      <c r="O286" s="255"/>
      <c r="P286" s="254"/>
      <c r="Q286" s="255"/>
      <c r="R286" s="273"/>
      <c r="S286" s="255"/>
      <c r="T286" s="254"/>
      <c r="U286" s="255"/>
      <c r="V286" s="254"/>
      <c r="W286" s="255"/>
      <c r="X286" s="273"/>
      <c r="Y286" s="255"/>
      <c r="Z286" s="254"/>
      <c r="AA286" s="255"/>
      <c r="AB286" s="254"/>
      <c r="AC286" s="255"/>
      <c r="AD286" s="273"/>
      <c r="AE286" s="255"/>
      <c r="AF286" s="273"/>
      <c r="AG286" s="222"/>
    </row>
    <row r="287" spans="1:33" s="240" customFormat="1" ht="15.5">
      <c r="C287" s="245" t="s">
        <v>850</v>
      </c>
      <c r="G287" s="252">
        <f>SUM(G285:G286)</f>
        <v>0</v>
      </c>
      <c r="H287" s="254"/>
      <c r="I287" s="252">
        <f>SUM(I285:I286)</f>
        <v>0</v>
      </c>
      <c r="J287" s="254"/>
      <c r="K287" s="252">
        <f>SUM(K285:K286)</f>
        <v>0</v>
      </c>
      <c r="L287" s="277">
        <f>IF(K$41=0,0,K287/K$41)</f>
        <v>0</v>
      </c>
      <c r="M287" s="252">
        <f>SUM(M285:M286)</f>
        <v>0</v>
      </c>
      <c r="N287" s="254"/>
      <c r="O287" s="252">
        <f>SUM(O285:O286)</f>
        <v>0</v>
      </c>
      <c r="P287" s="254"/>
      <c r="Q287" s="252">
        <f>SUM(Q285:Q286)</f>
        <v>0</v>
      </c>
      <c r="R287" s="277">
        <f>IF(Q$41=0,0,Q287/Q$41)</f>
        <v>0</v>
      </c>
      <c r="S287" s="252">
        <f>SUM(S285:S286)</f>
        <v>0</v>
      </c>
      <c r="T287" s="254"/>
      <c r="U287" s="252">
        <f>SUM(U285:U286)</f>
        <v>0</v>
      </c>
      <c r="V287" s="254"/>
      <c r="W287" s="252">
        <f>SUM(W285:W286)</f>
        <v>0</v>
      </c>
      <c r="X287" s="277">
        <f>IF(W$41=0,0,W287/W$41)</f>
        <v>0</v>
      </c>
      <c r="Y287" s="252">
        <f>SUM(Y285:Y286)</f>
        <v>0</v>
      </c>
      <c r="Z287" s="254"/>
      <c r="AA287" s="252">
        <f>SUM(AA285:AA286)</f>
        <v>0</v>
      </c>
      <c r="AB287" s="254"/>
      <c r="AC287" s="252">
        <f>SUM(AC285:AC286)</f>
        <v>0</v>
      </c>
      <c r="AD287" s="277">
        <f>IF(AC$41=0,0,AC287/AC$41)</f>
        <v>0</v>
      </c>
      <c r="AE287" s="252">
        <f>SUM(AE285:AE286)</f>
        <v>0</v>
      </c>
      <c r="AF287" s="248">
        <f>IF(AE$47=0,0,AE287/AE$47)</f>
        <v>0</v>
      </c>
      <c r="AG287" s="222"/>
    </row>
    <row r="288" spans="1:33" s="240" customFormat="1" ht="6.75" customHeight="1">
      <c r="G288" s="254"/>
      <c r="H288" s="254"/>
      <c r="I288" s="254"/>
      <c r="J288" s="254"/>
      <c r="K288" s="254"/>
      <c r="L288" s="273"/>
      <c r="M288" s="254"/>
      <c r="N288" s="254"/>
      <c r="O288" s="254"/>
      <c r="P288" s="254"/>
      <c r="Q288" s="254"/>
      <c r="R288" s="273"/>
      <c r="S288" s="254"/>
      <c r="T288" s="254"/>
      <c r="U288" s="254"/>
      <c r="V288" s="254"/>
      <c r="W288" s="254"/>
      <c r="X288" s="273"/>
      <c r="Y288" s="254"/>
      <c r="Z288" s="254"/>
      <c r="AA288" s="254"/>
      <c r="AB288" s="254"/>
      <c r="AC288" s="254"/>
      <c r="AD288" s="273"/>
      <c r="AE288" s="254"/>
      <c r="AF288" s="273"/>
      <c r="AG288" s="222"/>
    </row>
    <row r="289" spans="1:33" s="240" customFormat="1" ht="15.5">
      <c r="B289" s="257" t="s">
        <v>851</v>
      </c>
      <c r="G289" s="258">
        <f>+G275-G279-G283-G287</f>
        <v>194657.26000000024</v>
      </c>
      <c r="H289" s="254"/>
      <c r="I289" s="258">
        <f>+I275-I279-I283-I287</f>
        <v>88393.829999999958</v>
      </c>
      <c r="J289" s="254"/>
      <c r="K289" s="258">
        <f>+K275-K279-K283-K287</f>
        <v>86205.289999999979</v>
      </c>
      <c r="L289" s="277">
        <f>IF(K$41=0,0,K289/K$41)</f>
        <v>0</v>
      </c>
      <c r="M289" s="258">
        <f>+M275-M279-M283-M287</f>
        <v>118705.22999999998</v>
      </c>
      <c r="N289" s="254"/>
      <c r="O289" s="258">
        <f>+O275-O279-O283-O287</f>
        <v>131690.59</v>
      </c>
      <c r="P289" s="254"/>
      <c r="Q289" s="258">
        <f>+Q275-Q279-Q283-Q287</f>
        <v>63939.499999999913</v>
      </c>
      <c r="R289" s="277">
        <f>IF(Q$41=0,0,Q289/Q$41)</f>
        <v>0</v>
      </c>
      <c r="S289" s="258">
        <f>+S275-S279-S283-S287</f>
        <v>101020.40999999995</v>
      </c>
      <c r="T289" s="254"/>
      <c r="U289" s="258">
        <f>+U275-U279-U283-U287</f>
        <v>131766.79999999999</v>
      </c>
      <c r="V289" s="254"/>
      <c r="W289" s="258">
        <f>+W275-W279-W283-W287</f>
        <v>95691.340000000055</v>
      </c>
      <c r="X289" s="277">
        <f>IF(W$41=0,0,W289/W$41)</f>
        <v>0</v>
      </c>
      <c r="Y289" s="258">
        <f>+Y275-Y279-Y283-Y287</f>
        <v>106749.2099999999</v>
      </c>
      <c r="Z289" s="254"/>
      <c r="AA289" s="258">
        <f>+AA275-AA279-AA283-AA287</f>
        <v>108883.55000000002</v>
      </c>
      <c r="AB289" s="254"/>
      <c r="AC289" s="258">
        <f>+AC275-AC279-AC283-AC287</f>
        <v>51187.49000000002</v>
      </c>
      <c r="AD289" s="277">
        <f>IF(AC$41=0,0,AC289/AC$41)</f>
        <v>0</v>
      </c>
      <c r="AE289" s="258">
        <f>+AE275-AE279-AE283-AE287</f>
        <v>1278890.5000000014</v>
      </c>
      <c r="AF289" s="248">
        <f>IF(AE$47=0,0,AE289/AE$47)</f>
        <v>0.14103300134990851</v>
      </c>
      <c r="AG289" s="222"/>
    </row>
    <row r="290" spans="1:33" s="240" customFormat="1" ht="6.75" customHeight="1">
      <c r="G290" s="254"/>
      <c r="H290" s="254"/>
      <c r="I290" s="254"/>
      <c r="J290" s="254"/>
      <c r="K290" s="254"/>
      <c r="L290" s="273"/>
      <c r="M290" s="254"/>
      <c r="N290" s="254"/>
      <c r="O290" s="254"/>
      <c r="P290" s="254"/>
      <c r="Q290" s="254"/>
      <c r="R290" s="273"/>
      <c r="S290" s="254"/>
      <c r="T290" s="254"/>
      <c r="U290" s="254"/>
      <c r="V290" s="254"/>
      <c r="W290" s="254"/>
      <c r="X290" s="273"/>
      <c r="Y290" s="254"/>
      <c r="Z290" s="254"/>
      <c r="AA290" s="254"/>
      <c r="AB290" s="254"/>
      <c r="AC290" s="254"/>
      <c r="AD290" s="273"/>
      <c r="AE290" s="254"/>
      <c r="AF290" s="273"/>
      <c r="AG290" s="222"/>
    </row>
    <row r="291" spans="1:33" customFormat="1" ht="14.5" outlineLevel="1"/>
    <row r="292" spans="1:33" s="240" customFormat="1" ht="5.15" customHeight="1" outlineLevel="1">
      <c r="A292" s="245"/>
      <c r="B292" s="245"/>
      <c r="C292" s="245"/>
      <c r="D292" s="245"/>
      <c r="G292" s="255"/>
      <c r="H292" s="254"/>
      <c r="I292" s="255"/>
      <c r="J292" s="254"/>
      <c r="K292" s="255"/>
      <c r="L292" s="273"/>
      <c r="M292" s="255"/>
      <c r="N292" s="254"/>
      <c r="O292" s="255"/>
      <c r="P292" s="254"/>
      <c r="Q292" s="255"/>
      <c r="R292" s="273"/>
      <c r="S292" s="255"/>
      <c r="T292" s="254"/>
      <c r="U292" s="255"/>
      <c r="V292" s="254"/>
      <c r="W292" s="255"/>
      <c r="X292" s="273"/>
      <c r="Y292" s="255"/>
      <c r="Z292" s="254"/>
      <c r="AA292" s="255"/>
      <c r="AB292" s="254"/>
      <c r="AC292" s="255"/>
      <c r="AD292" s="273"/>
      <c r="AE292" s="255"/>
      <c r="AF292" s="273"/>
      <c r="AG292" s="222"/>
    </row>
    <row r="293" spans="1:33" s="240" customFormat="1" ht="15.5">
      <c r="C293" s="244" t="s">
        <v>852</v>
      </c>
      <c r="G293" s="252">
        <f>SUM(G291:G292)</f>
        <v>0</v>
      </c>
      <c r="H293" s="254"/>
      <c r="I293" s="252">
        <f>SUM(I291:I292)</f>
        <v>0</v>
      </c>
      <c r="J293" s="254"/>
      <c r="K293" s="252">
        <f>SUM(K291:K292)</f>
        <v>0</v>
      </c>
      <c r="L293" s="277">
        <f>IF(K$41=0,0,K293/K$41)</f>
        <v>0</v>
      </c>
      <c r="M293" s="252">
        <f>SUM(M291:M292)</f>
        <v>0</v>
      </c>
      <c r="N293" s="254"/>
      <c r="O293" s="252">
        <f>SUM(O291:O292)</f>
        <v>0</v>
      </c>
      <c r="P293" s="254"/>
      <c r="Q293" s="252">
        <f>SUM(Q291:Q292)</f>
        <v>0</v>
      </c>
      <c r="R293" s="277">
        <f>IF(Q$41=0,0,Q293/Q$41)</f>
        <v>0</v>
      </c>
      <c r="S293" s="252">
        <f>SUM(S291:S292)</f>
        <v>0</v>
      </c>
      <c r="T293" s="254"/>
      <c r="U293" s="252">
        <f>SUM(U291:U292)</f>
        <v>0</v>
      </c>
      <c r="V293" s="254"/>
      <c r="W293" s="252">
        <f>SUM(W291:W292)</f>
        <v>0</v>
      </c>
      <c r="X293" s="277">
        <f>IF(W$41=0,0,W293/W$41)</f>
        <v>0</v>
      </c>
      <c r="Y293" s="252">
        <f>SUM(Y291:Y292)</f>
        <v>0</v>
      </c>
      <c r="Z293" s="254"/>
      <c r="AA293" s="252">
        <f>SUM(AA291:AA292)</f>
        <v>0</v>
      </c>
      <c r="AB293" s="254"/>
      <c r="AC293" s="252">
        <f>SUM(AC291:AC292)</f>
        <v>0</v>
      </c>
      <c r="AD293" s="277">
        <f>IF(AC$41=0,0,AC293/AC$41)</f>
        <v>0</v>
      </c>
      <c r="AE293" s="252">
        <f>SUM(AE291:AE292)</f>
        <v>0</v>
      </c>
      <c r="AF293" s="248">
        <f>IF(AE$47=0,0,AE293/AE$47)</f>
        <v>0</v>
      </c>
      <c r="AG293" s="222"/>
    </row>
    <row r="294" spans="1:33" s="240" customFormat="1" ht="6.75" customHeight="1">
      <c r="G294" s="254"/>
      <c r="H294" s="254"/>
      <c r="I294" s="254"/>
      <c r="J294" s="254"/>
      <c r="K294" s="254"/>
      <c r="L294" s="273"/>
      <c r="M294" s="254"/>
      <c r="N294" s="254"/>
      <c r="O294" s="254"/>
      <c r="P294" s="254"/>
      <c r="Q294" s="254"/>
      <c r="R294" s="273"/>
      <c r="S294" s="254"/>
      <c r="T294" s="254"/>
      <c r="U294" s="254"/>
      <c r="V294" s="254"/>
      <c r="W294" s="254"/>
      <c r="X294" s="273"/>
      <c r="Y294" s="254"/>
      <c r="Z294" s="254"/>
      <c r="AA294" s="254"/>
      <c r="AB294" s="254"/>
      <c r="AC294" s="254"/>
      <c r="AD294" s="273"/>
      <c r="AE294" s="254"/>
      <c r="AF294" s="273"/>
      <c r="AG294" s="222"/>
    </row>
    <row r="295" spans="1:33" s="240" customFormat="1" ht="15.5">
      <c r="B295" s="257" t="s">
        <v>853</v>
      </c>
      <c r="G295" s="258">
        <f>+G289-G293</f>
        <v>194657.26000000024</v>
      </c>
      <c r="H295" s="254"/>
      <c r="I295" s="258">
        <f>+I289-I293</f>
        <v>88393.829999999958</v>
      </c>
      <c r="J295" s="254"/>
      <c r="K295" s="258">
        <f>+K289-K293</f>
        <v>86205.289999999979</v>
      </c>
      <c r="L295" s="277">
        <f>IF(K$41=0,0,K295/K$41)</f>
        <v>0</v>
      </c>
      <c r="M295" s="258">
        <f>+M289-M293</f>
        <v>118705.22999999998</v>
      </c>
      <c r="N295" s="254"/>
      <c r="O295" s="258">
        <f>+O289-O293</f>
        <v>131690.59</v>
      </c>
      <c r="P295" s="254"/>
      <c r="Q295" s="258">
        <f>+Q289-Q293</f>
        <v>63939.499999999913</v>
      </c>
      <c r="R295" s="277">
        <f>IF(Q$41=0,0,Q295/Q$41)</f>
        <v>0</v>
      </c>
      <c r="S295" s="258">
        <f>+S289-S293</f>
        <v>101020.40999999995</v>
      </c>
      <c r="T295" s="254"/>
      <c r="U295" s="258">
        <f>+U289-U293</f>
        <v>131766.79999999999</v>
      </c>
      <c r="V295" s="254"/>
      <c r="W295" s="258">
        <f>+W289-W293</f>
        <v>95691.340000000055</v>
      </c>
      <c r="X295" s="277">
        <f>IF(W$41=0,0,W295/W$41)</f>
        <v>0</v>
      </c>
      <c r="Y295" s="258">
        <f>+Y289-Y293</f>
        <v>106749.2099999999</v>
      </c>
      <c r="Z295" s="254"/>
      <c r="AA295" s="258">
        <f>+AA289-AA293</f>
        <v>108883.55000000002</v>
      </c>
      <c r="AB295" s="254"/>
      <c r="AC295" s="258">
        <f>+AC289-AC293</f>
        <v>51187.49000000002</v>
      </c>
      <c r="AD295" s="277">
        <f>IF(AC$41=0,0,AC295/AC$41)</f>
        <v>0</v>
      </c>
      <c r="AE295" s="258">
        <f>+AE289-AE293</f>
        <v>1278890.5000000014</v>
      </c>
      <c r="AF295" s="248">
        <f>IF(AE$47=0,0,AE295/AE$47)</f>
        <v>0.14103300134990851</v>
      </c>
      <c r="AG295" s="222"/>
    </row>
    <row r="296" spans="1:33" ht="6.75" customHeight="1">
      <c r="G296" s="278"/>
      <c r="H296" s="278"/>
      <c r="I296" s="278"/>
      <c r="J296" s="278"/>
      <c r="K296" s="278"/>
      <c r="L296" s="273"/>
      <c r="M296" s="278"/>
      <c r="N296" s="278"/>
      <c r="O296" s="278"/>
      <c r="P296" s="278"/>
      <c r="Q296" s="278"/>
      <c r="R296" s="273"/>
      <c r="S296" s="278"/>
      <c r="T296" s="278"/>
      <c r="U296" s="278"/>
      <c r="V296" s="278"/>
      <c r="W296" s="278"/>
      <c r="X296" s="273"/>
      <c r="Y296" s="278"/>
      <c r="Z296" s="278"/>
      <c r="AA296" s="278"/>
      <c r="AB296" s="278"/>
      <c r="AC296" s="278"/>
      <c r="AD296" s="273"/>
      <c r="AE296" s="278"/>
      <c r="AF296" s="273"/>
      <c r="AG296" s="222"/>
    </row>
    <row r="297" spans="1:33" customFormat="1" ht="14.5" outlineLevel="1"/>
    <row r="298" spans="1:33" s="240" customFormat="1" ht="5.15" customHeight="1" outlineLevel="1">
      <c r="A298" s="245"/>
      <c r="B298" s="245"/>
      <c r="C298" s="245"/>
      <c r="D298" s="245"/>
      <c r="G298" s="255"/>
      <c r="H298" s="254"/>
      <c r="I298" s="255"/>
      <c r="J298" s="254"/>
      <c r="K298" s="255"/>
      <c r="L298" s="273"/>
      <c r="M298" s="255"/>
      <c r="N298" s="254"/>
      <c r="O298" s="255"/>
      <c r="P298" s="254"/>
      <c r="Q298" s="255"/>
      <c r="R298" s="273"/>
      <c r="S298" s="255"/>
      <c r="T298" s="254"/>
      <c r="U298" s="255"/>
      <c r="V298" s="254"/>
      <c r="W298" s="255"/>
      <c r="X298" s="273"/>
      <c r="Y298" s="255"/>
      <c r="Z298" s="254"/>
      <c r="AA298" s="255"/>
      <c r="AB298" s="254"/>
      <c r="AC298" s="255"/>
      <c r="AD298" s="273"/>
      <c r="AE298" s="255"/>
      <c r="AF298" s="273"/>
      <c r="AG298" s="222"/>
    </row>
    <row r="299" spans="1:33" s="240" customFormat="1" ht="15.5">
      <c r="C299" s="244" t="s">
        <v>854</v>
      </c>
      <c r="G299" s="252">
        <f>SUM(G297:G298)</f>
        <v>0</v>
      </c>
      <c r="H299" s="254"/>
      <c r="I299" s="252">
        <f>SUM(I297:I298)</f>
        <v>0</v>
      </c>
      <c r="J299" s="254"/>
      <c r="K299" s="252">
        <f>SUM(K297:K298)</f>
        <v>0</v>
      </c>
      <c r="L299" s="277">
        <f>IF(K$41=0,0,K299/K$41)</f>
        <v>0</v>
      </c>
      <c r="M299" s="252">
        <f>SUM(M297:M298)</f>
        <v>0</v>
      </c>
      <c r="N299" s="254"/>
      <c r="O299" s="252">
        <f>SUM(O297:O298)</f>
        <v>0</v>
      </c>
      <c r="P299" s="254"/>
      <c r="Q299" s="252">
        <f>SUM(Q297:Q298)</f>
        <v>0</v>
      </c>
      <c r="R299" s="277">
        <f>IF(Q$41=0,0,Q299/Q$41)</f>
        <v>0</v>
      </c>
      <c r="S299" s="252">
        <f>SUM(S297:S298)</f>
        <v>0</v>
      </c>
      <c r="T299" s="254"/>
      <c r="U299" s="252">
        <f>SUM(U297:U298)</f>
        <v>0</v>
      </c>
      <c r="V299" s="254"/>
      <c r="W299" s="252">
        <f>SUM(W297:W298)</f>
        <v>0</v>
      </c>
      <c r="X299" s="277">
        <f>IF(W$41=0,0,W299/W$41)</f>
        <v>0</v>
      </c>
      <c r="Y299" s="252">
        <f>SUM(Y297:Y298)</f>
        <v>0</v>
      </c>
      <c r="Z299" s="254"/>
      <c r="AA299" s="252">
        <f>SUM(AA297:AA298)</f>
        <v>0</v>
      </c>
      <c r="AB299" s="254"/>
      <c r="AC299" s="252">
        <f>SUM(AC297:AC298)</f>
        <v>0</v>
      </c>
      <c r="AD299" s="277">
        <f>IF(AC$41=0,0,AC299/AC$41)</f>
        <v>0</v>
      </c>
      <c r="AE299" s="252">
        <f>SUM(AE297:AE298)</f>
        <v>0</v>
      </c>
      <c r="AF299" s="248">
        <f>IF(AE$47=0,0,AE299/AE$47)</f>
        <v>0</v>
      </c>
      <c r="AG299" s="222"/>
    </row>
    <row r="300" spans="1:33" s="240" customFormat="1" ht="6.75" customHeight="1">
      <c r="G300" s="254"/>
      <c r="H300" s="254"/>
      <c r="I300" s="254"/>
      <c r="J300" s="254"/>
      <c r="K300" s="254"/>
      <c r="L300" s="273"/>
      <c r="M300" s="254"/>
      <c r="N300" s="254"/>
      <c r="O300" s="254"/>
      <c r="P300" s="254"/>
      <c r="Q300" s="254"/>
      <c r="R300" s="273"/>
      <c r="S300" s="254"/>
      <c r="T300" s="254"/>
      <c r="U300" s="254"/>
      <c r="V300" s="254"/>
      <c r="W300" s="254"/>
      <c r="X300" s="273"/>
      <c r="Y300" s="254"/>
      <c r="Z300" s="254"/>
      <c r="AA300" s="254"/>
      <c r="AB300" s="254"/>
      <c r="AC300" s="254"/>
      <c r="AD300" s="273"/>
      <c r="AE300" s="254"/>
      <c r="AF300" s="273"/>
      <c r="AG300" s="222"/>
    </row>
    <row r="301" spans="1:33" s="240" customFormat="1" ht="15.5">
      <c r="B301" s="257" t="s">
        <v>855</v>
      </c>
      <c r="G301" s="258">
        <f>+G295-G299</f>
        <v>194657.26000000024</v>
      </c>
      <c r="H301" s="254"/>
      <c r="I301" s="258">
        <f>+I295-I299</f>
        <v>88393.829999999958</v>
      </c>
      <c r="J301" s="254"/>
      <c r="K301" s="258">
        <f>+K295-K299</f>
        <v>86205.289999999979</v>
      </c>
      <c r="L301" s="277">
        <f>IF(K$41=0,0,K301/K$41)</f>
        <v>0</v>
      </c>
      <c r="M301" s="258">
        <f>+M295-M299</f>
        <v>118705.22999999998</v>
      </c>
      <c r="N301" s="254"/>
      <c r="O301" s="258">
        <f>+O295-O299</f>
        <v>131690.59</v>
      </c>
      <c r="P301" s="254"/>
      <c r="Q301" s="258">
        <f>+Q295-Q299</f>
        <v>63939.499999999913</v>
      </c>
      <c r="R301" s="277">
        <f>IF(Q$41=0,0,Q301/Q$41)</f>
        <v>0</v>
      </c>
      <c r="S301" s="258">
        <f>+S295-S299</f>
        <v>101020.40999999995</v>
      </c>
      <c r="T301" s="254"/>
      <c r="U301" s="258">
        <f>+U295-U299</f>
        <v>131766.79999999999</v>
      </c>
      <c r="V301" s="254"/>
      <c r="W301" s="258">
        <f>+W295-W299</f>
        <v>95691.340000000055</v>
      </c>
      <c r="X301" s="277">
        <f>IF(W$41=0,0,W301/W$41)</f>
        <v>0</v>
      </c>
      <c r="Y301" s="258">
        <f>+Y295-Y299</f>
        <v>106749.2099999999</v>
      </c>
      <c r="Z301" s="254"/>
      <c r="AA301" s="258">
        <f>+AA295-AA299</f>
        <v>108883.55000000002</v>
      </c>
      <c r="AB301" s="254"/>
      <c r="AC301" s="258">
        <f>+AC295-AC299</f>
        <v>51187.49000000002</v>
      </c>
      <c r="AD301" s="277">
        <f>IF(AC$41=0,0,AC301/AC$41)</f>
        <v>0</v>
      </c>
      <c r="AE301" s="258">
        <f>+AE295-AE299</f>
        <v>1278890.5000000014</v>
      </c>
      <c r="AF301" s="248">
        <f>IF(AE$47=0,0,AE301/AE$47)</f>
        <v>0.14103300134990851</v>
      </c>
      <c r="AG301" s="222"/>
    </row>
    <row r="302" spans="1:33" s="240" customFormat="1" ht="6.75" customHeight="1">
      <c r="G302" s="254"/>
      <c r="H302" s="254"/>
      <c r="I302" s="254"/>
      <c r="J302" s="254"/>
      <c r="K302" s="254"/>
      <c r="L302" s="273"/>
      <c r="M302" s="254"/>
      <c r="N302" s="254"/>
      <c r="O302" s="254"/>
      <c r="P302" s="254"/>
      <c r="Q302" s="254"/>
      <c r="R302" s="273"/>
      <c r="S302" s="254"/>
      <c r="T302" s="254"/>
      <c r="U302" s="254"/>
      <c r="V302" s="254"/>
      <c r="W302" s="254"/>
      <c r="X302" s="273"/>
      <c r="Y302" s="254"/>
      <c r="Z302" s="254"/>
      <c r="AA302" s="254"/>
      <c r="AB302" s="254"/>
      <c r="AC302" s="254"/>
      <c r="AD302" s="273"/>
      <c r="AE302" s="254"/>
      <c r="AF302" s="273"/>
      <c r="AG302" s="222"/>
    </row>
    <row r="303" spans="1:33" customFormat="1" ht="14.5" outlineLevel="1"/>
    <row r="304" spans="1:33" s="240" customFormat="1" ht="5.15" customHeight="1" outlineLevel="1">
      <c r="A304" s="245"/>
      <c r="B304" s="245"/>
      <c r="C304" s="245"/>
      <c r="D304" s="245"/>
      <c r="G304" s="255"/>
      <c r="H304" s="254"/>
      <c r="I304" s="255"/>
      <c r="J304" s="254"/>
      <c r="K304" s="255"/>
      <c r="L304" s="273"/>
      <c r="M304" s="255"/>
      <c r="N304" s="254"/>
      <c r="O304" s="255"/>
      <c r="P304" s="254"/>
      <c r="Q304" s="255"/>
      <c r="R304" s="273"/>
      <c r="S304" s="255"/>
      <c r="T304" s="254"/>
      <c r="U304" s="255"/>
      <c r="V304" s="254"/>
      <c r="W304" s="255"/>
      <c r="X304" s="273"/>
      <c r="Y304" s="255"/>
      <c r="Z304" s="254"/>
      <c r="AA304" s="255"/>
      <c r="AB304" s="254"/>
      <c r="AC304" s="255"/>
      <c r="AD304" s="273"/>
      <c r="AE304" s="255"/>
      <c r="AF304" s="273"/>
      <c r="AG304" s="222"/>
    </row>
    <row r="305" spans="1:33" s="240" customFormat="1" ht="15.5">
      <c r="C305" s="244" t="s">
        <v>856</v>
      </c>
      <c r="G305" s="252">
        <f>SUM(G303:G304)</f>
        <v>0</v>
      </c>
      <c r="H305" s="254"/>
      <c r="I305" s="252">
        <f>SUM(I303:I304)</f>
        <v>0</v>
      </c>
      <c r="J305" s="254"/>
      <c r="K305" s="252">
        <f>SUM(K303:K304)</f>
        <v>0</v>
      </c>
      <c r="L305" s="277">
        <f>IF(K$41=0,0,K305/K$41)</f>
        <v>0</v>
      </c>
      <c r="M305" s="252">
        <f>SUM(M303:M304)</f>
        <v>0</v>
      </c>
      <c r="N305" s="254"/>
      <c r="O305" s="252">
        <f>SUM(O303:O304)</f>
        <v>0</v>
      </c>
      <c r="P305" s="254"/>
      <c r="Q305" s="252">
        <f>SUM(Q303:Q304)</f>
        <v>0</v>
      </c>
      <c r="R305" s="277">
        <f>IF(Q$41=0,0,Q305/Q$41)</f>
        <v>0</v>
      </c>
      <c r="S305" s="252">
        <f>SUM(S303:S304)</f>
        <v>0</v>
      </c>
      <c r="T305" s="254"/>
      <c r="U305" s="252">
        <f>SUM(U303:U304)</f>
        <v>0</v>
      </c>
      <c r="V305" s="254"/>
      <c r="W305" s="252">
        <f>SUM(W303:W304)</f>
        <v>0</v>
      </c>
      <c r="X305" s="277">
        <f>IF(W$41=0,0,W305/W$41)</f>
        <v>0</v>
      </c>
      <c r="Y305" s="252">
        <f>SUM(Y303:Y304)</f>
        <v>0</v>
      </c>
      <c r="Z305" s="254"/>
      <c r="AA305" s="252">
        <f>SUM(AA303:AA304)</f>
        <v>0</v>
      </c>
      <c r="AB305" s="254"/>
      <c r="AC305" s="252">
        <f>SUM(AC303:AC304)</f>
        <v>0</v>
      </c>
      <c r="AD305" s="277">
        <f>IF(AC$41=0,0,AC305/AC$41)</f>
        <v>0</v>
      </c>
      <c r="AE305" s="252">
        <f>SUM(AE303:AE304)</f>
        <v>0</v>
      </c>
      <c r="AF305" s="248">
        <f>IF(AE$47=0,0,AE305/AE$47)</f>
        <v>0</v>
      </c>
      <c r="AG305" s="222"/>
    </row>
    <row r="306" spans="1:33" s="240" customFormat="1" ht="6.75" customHeight="1">
      <c r="G306" s="254"/>
      <c r="H306" s="254"/>
      <c r="I306" s="254"/>
      <c r="J306" s="254"/>
      <c r="K306" s="254"/>
      <c r="L306" s="273"/>
      <c r="M306" s="254"/>
      <c r="N306" s="254"/>
      <c r="O306" s="254"/>
      <c r="P306" s="254"/>
      <c r="Q306" s="254"/>
      <c r="R306" s="273"/>
      <c r="S306" s="254"/>
      <c r="T306" s="254"/>
      <c r="U306" s="254"/>
      <c r="V306" s="254"/>
      <c r="W306" s="254"/>
      <c r="X306" s="273"/>
      <c r="Y306" s="254"/>
      <c r="Z306" s="254"/>
      <c r="AA306" s="254"/>
      <c r="AB306" s="254"/>
      <c r="AC306" s="254"/>
      <c r="AD306" s="273"/>
      <c r="AE306" s="254"/>
      <c r="AF306" s="273"/>
      <c r="AG306" s="222"/>
    </row>
    <row r="307" spans="1:33" s="240" customFormat="1" ht="16" thickBot="1">
      <c r="B307" s="257" t="s">
        <v>857</v>
      </c>
      <c r="G307" s="279">
        <f>+G301-G305</f>
        <v>194657.26000000024</v>
      </c>
      <c r="H307" s="254"/>
      <c r="I307" s="279">
        <f>+I301-I305</f>
        <v>88393.829999999958</v>
      </c>
      <c r="J307" s="254"/>
      <c r="K307" s="279">
        <f>+K301-K305</f>
        <v>86205.289999999979</v>
      </c>
      <c r="L307" s="277">
        <f>IF(K$41=0,0,K307/K$41)</f>
        <v>0</v>
      </c>
      <c r="M307" s="279">
        <f>+M301-M305</f>
        <v>118705.22999999998</v>
      </c>
      <c r="N307" s="254"/>
      <c r="O307" s="279">
        <f>+O301-O305</f>
        <v>131690.59</v>
      </c>
      <c r="P307" s="254"/>
      <c r="Q307" s="279">
        <f>+Q301-Q305</f>
        <v>63939.499999999913</v>
      </c>
      <c r="R307" s="277">
        <f>IF(Q$41=0,0,Q307/Q$41)</f>
        <v>0</v>
      </c>
      <c r="S307" s="279">
        <f>+S301-S305</f>
        <v>101020.40999999995</v>
      </c>
      <c r="T307" s="254"/>
      <c r="U307" s="279">
        <f>+U301-U305</f>
        <v>131766.79999999999</v>
      </c>
      <c r="V307" s="254"/>
      <c r="W307" s="279">
        <f>+W301-W305</f>
        <v>95691.340000000055</v>
      </c>
      <c r="X307" s="277">
        <f>IF(W$41=0,0,W307/W$41)</f>
        <v>0</v>
      </c>
      <c r="Y307" s="279">
        <f>+Y301-Y305</f>
        <v>106749.2099999999</v>
      </c>
      <c r="Z307" s="254"/>
      <c r="AA307" s="279">
        <f>+AA301-AA305</f>
        <v>108883.55000000002</v>
      </c>
      <c r="AB307" s="254"/>
      <c r="AC307" s="279">
        <f>+AC301-AC305</f>
        <v>51187.49000000002</v>
      </c>
      <c r="AD307" s="277">
        <f>IF(AC$41=0,0,AC307/AC$41)</f>
        <v>0</v>
      </c>
      <c r="AE307" s="279">
        <f>+AE301-AE305</f>
        <v>1278890.5000000014</v>
      </c>
      <c r="AF307" s="248">
        <f>IF(AE$47=0,0,AE307/AE$47)</f>
        <v>0.14103300134990851</v>
      </c>
      <c r="AG307" s="222"/>
    </row>
    <row r="308" spans="1:33" s="280" customFormat="1" ht="16" thickTop="1">
      <c r="A308" s="240"/>
      <c r="B308" s="240"/>
      <c r="C308" s="244"/>
      <c r="D308" s="240"/>
      <c r="E308" s="250"/>
      <c r="F308" s="250"/>
      <c r="H308" s="250"/>
      <c r="J308" s="222"/>
      <c r="L308" s="222"/>
      <c r="N308" s="250"/>
      <c r="P308" s="222"/>
      <c r="R308" s="222"/>
      <c r="T308" s="250"/>
      <c r="V308" s="222"/>
      <c r="X308" s="222"/>
      <c r="Z308" s="250"/>
      <c r="AB308" s="222"/>
      <c r="AD308" s="222"/>
      <c r="AG308" s="250"/>
    </row>
    <row r="309" spans="1:33" customFormat="1" ht="14.5" outlineLevel="1"/>
    <row r="310" spans="1:33" ht="6" customHeight="1" outlineLevel="1">
      <c r="G310" s="255"/>
      <c r="H310" s="254"/>
      <c r="I310" s="255"/>
      <c r="J310" s="254"/>
      <c r="K310" s="255"/>
      <c r="L310" s="273"/>
      <c r="M310" s="255"/>
      <c r="N310" s="254"/>
      <c r="O310" s="255"/>
      <c r="P310" s="254"/>
      <c r="Q310" s="255"/>
      <c r="R310" s="273"/>
      <c r="S310" s="255"/>
      <c r="T310" s="254"/>
      <c r="U310" s="255"/>
      <c r="V310" s="254"/>
      <c r="W310" s="255"/>
      <c r="X310" s="273"/>
      <c r="Y310" s="255"/>
      <c r="Z310" s="254"/>
      <c r="AA310" s="255"/>
      <c r="AB310" s="254"/>
      <c r="AC310" s="255"/>
      <c r="AD310" s="273"/>
      <c r="AE310" s="255"/>
    </row>
    <row r="311" spans="1:33" s="278" customFormat="1">
      <c r="B311" s="278" t="s">
        <v>858</v>
      </c>
      <c r="G311" s="281">
        <f>SUM(G309:G310)</f>
        <v>0</v>
      </c>
      <c r="H311" s="282"/>
      <c r="I311" s="281">
        <f>SUM(I309:I310)</f>
        <v>0</v>
      </c>
      <c r="J311" s="282"/>
      <c r="K311" s="281">
        <f>SUM(K309:K310)</f>
        <v>0</v>
      </c>
      <c r="L311" s="283"/>
      <c r="M311" s="281">
        <f>SUM(M309:M310)</f>
        <v>0</v>
      </c>
      <c r="N311" s="282"/>
      <c r="O311" s="281">
        <f>SUM(O309:O310)</f>
        <v>0</v>
      </c>
      <c r="P311" s="282"/>
      <c r="Q311" s="281">
        <f>SUM(Q309:Q310)</f>
        <v>0</v>
      </c>
      <c r="R311" s="283"/>
      <c r="S311" s="281">
        <f>SUM(S309:S310)</f>
        <v>0</v>
      </c>
      <c r="T311" s="282"/>
      <c r="U311" s="281">
        <f>SUM(U309:U310)</f>
        <v>0</v>
      </c>
      <c r="V311" s="282"/>
      <c r="W311" s="281">
        <f>SUM(W309:W310)</f>
        <v>0</v>
      </c>
      <c r="X311" s="283"/>
      <c r="Y311" s="281">
        <f>SUM(Y309:Y310)</f>
        <v>0</v>
      </c>
      <c r="Z311" s="282"/>
      <c r="AA311" s="281">
        <f>SUM(AA309:AA310)</f>
        <v>0</v>
      </c>
      <c r="AB311" s="282"/>
      <c r="AC311" s="281">
        <f>SUM(AC309:AC310)</f>
        <v>0</v>
      </c>
      <c r="AD311" s="283"/>
      <c r="AE311" s="281">
        <f>SUM(AE309:AE310)</f>
        <v>0</v>
      </c>
    </row>
    <row r="312" spans="1:33">
      <c r="G312" s="284"/>
      <c r="H312" s="284"/>
      <c r="I312" s="284"/>
      <c r="J312" s="284"/>
      <c r="K312" s="284"/>
      <c r="L312" s="284"/>
      <c r="M312" s="284"/>
      <c r="N312" s="284"/>
      <c r="O312" s="284"/>
      <c r="P312" s="284"/>
      <c r="Q312" s="284"/>
      <c r="R312" s="284"/>
      <c r="S312" s="284"/>
      <c r="T312" s="284"/>
      <c r="U312" s="284"/>
      <c r="V312" s="284"/>
      <c r="W312" s="284"/>
      <c r="X312" s="284"/>
      <c r="Y312" s="284"/>
      <c r="Z312" s="284"/>
      <c r="AA312" s="284"/>
      <c r="AB312" s="284"/>
      <c r="AC312" s="284"/>
      <c r="AD312" s="284"/>
      <c r="AE312" s="284"/>
      <c r="AF312" s="284"/>
      <c r="AG312" s="284"/>
    </row>
    <row r="313" spans="1:33" ht="15.5">
      <c r="A313" s="245"/>
      <c r="B313" s="245"/>
      <c r="C313" s="245"/>
      <c r="D313" s="245"/>
      <c r="J313" s="222"/>
      <c r="L313" s="222"/>
      <c r="P313" s="222"/>
      <c r="R313" s="222"/>
      <c r="V313" s="222"/>
      <c r="X313" s="222"/>
      <c r="AB313" s="222"/>
      <c r="AD313" s="222"/>
    </row>
    <row r="314" spans="1:33" ht="15.5">
      <c r="A314" s="240"/>
      <c r="B314" s="240"/>
      <c r="C314" s="245"/>
      <c r="D314" s="240"/>
      <c r="J314" s="222"/>
      <c r="L314" s="222"/>
      <c r="P314" s="222"/>
      <c r="R314" s="222"/>
      <c r="V314" s="222"/>
      <c r="X314" s="222"/>
      <c r="AB314" s="222"/>
      <c r="AC314" s="285" t="s">
        <v>97</v>
      </c>
      <c r="AD314" s="286"/>
      <c r="AE314" s="287">
        <f>SUM(G307:AC307)-AE307</f>
        <v>0</v>
      </c>
    </row>
    <row r="315" spans="1:33" s="280" customFormat="1" ht="15.5">
      <c r="A315" s="240"/>
      <c r="B315" s="240"/>
      <c r="C315" s="240"/>
      <c r="D315" s="240"/>
      <c r="E315" s="250"/>
      <c r="F315" s="250"/>
      <c r="H315" s="250"/>
      <c r="J315" s="222"/>
      <c r="L315" s="222"/>
      <c r="N315" s="250"/>
      <c r="P315" s="222"/>
      <c r="R315" s="222"/>
      <c r="T315" s="250"/>
      <c r="V315" s="222"/>
      <c r="X315" s="222"/>
      <c r="Z315" s="250"/>
      <c r="AB315" s="222"/>
      <c r="AD315" s="222"/>
      <c r="AF315" s="250"/>
      <c r="AG315" s="250"/>
    </row>
    <row r="316" spans="1:33" s="280" customFormat="1" ht="15.5">
      <c r="A316" s="261"/>
      <c r="B316" s="261"/>
      <c r="C316" s="261"/>
      <c r="D316" s="261"/>
      <c r="E316" s="250"/>
      <c r="F316" s="250"/>
      <c r="H316" s="250"/>
      <c r="J316" s="222"/>
      <c r="L316" s="222"/>
      <c r="N316" s="250"/>
      <c r="P316" s="222"/>
      <c r="R316" s="222"/>
      <c r="S316" s="280">
        <f>S47-S307</f>
        <v>681356.6</v>
      </c>
      <c r="T316" s="280">
        <f>T47-T307</f>
        <v>0</v>
      </c>
      <c r="U316" s="280">
        <f>U47-U307</f>
        <v>644590.91999999993</v>
      </c>
      <c r="V316" s="222"/>
      <c r="W316" s="280">
        <f>W47-W307</f>
        <v>681379.75999999989</v>
      </c>
      <c r="X316" s="222"/>
      <c r="Y316" s="280">
        <f>Y47-Y307</f>
        <v>655097.34000000008</v>
      </c>
      <c r="Z316" s="250"/>
      <c r="AA316" s="280">
        <f>AA47-AA307</f>
        <v>654582.73</v>
      </c>
      <c r="AB316" s="222"/>
      <c r="AC316" s="280">
        <f>AC47-AC307</f>
        <v>718757.55999999994</v>
      </c>
      <c r="AD316" s="222"/>
      <c r="AE316" s="280">
        <f>AE47-AE307</f>
        <v>7789132.4999999981</v>
      </c>
      <c r="AG316" s="250"/>
    </row>
    <row r="317" spans="1:33" s="280" customFormat="1" ht="15.5">
      <c r="A317" s="245"/>
      <c r="B317" s="245"/>
      <c r="C317" s="245"/>
      <c r="D317" s="245"/>
      <c r="E317" s="250"/>
      <c r="F317" s="250"/>
      <c r="H317" s="250"/>
      <c r="J317" s="222"/>
      <c r="L317" s="222"/>
      <c r="N317" s="250"/>
      <c r="P317" s="222"/>
      <c r="R317" s="222"/>
      <c r="S317" s="288">
        <f>S316/S47</f>
        <v>0.87088013999797886</v>
      </c>
      <c r="T317" s="288" t="e">
        <f>T316/T47</f>
        <v>#DIV/0!</v>
      </c>
      <c r="U317" s="288">
        <f>U316/U47</f>
        <v>0.83027566210071302</v>
      </c>
      <c r="V317" s="222"/>
      <c r="W317" s="288">
        <f>W316/W47</f>
        <v>0.87685639061856746</v>
      </c>
      <c r="X317" s="222"/>
      <c r="Y317" s="288">
        <f>Y316/Y47</f>
        <v>0.85988095634219275</v>
      </c>
      <c r="Z317" s="250"/>
      <c r="AA317" s="288">
        <f>AA316/AA47</f>
        <v>0.85738263384729962</v>
      </c>
      <c r="AB317" s="222"/>
      <c r="AC317" s="288">
        <f>AC316/AC47</f>
        <v>0.93351799586217221</v>
      </c>
      <c r="AD317" s="222"/>
      <c r="AE317" s="288">
        <f>AE316/AE47</f>
        <v>0.85896699865009141</v>
      </c>
      <c r="AG317" s="250"/>
    </row>
    <row r="318" spans="1:33" s="280" customFormat="1" ht="15.5">
      <c r="A318" s="240"/>
      <c r="B318" s="240"/>
      <c r="C318" s="244"/>
      <c r="D318" s="240"/>
      <c r="E318" s="250"/>
      <c r="F318" s="250"/>
      <c r="H318" s="250"/>
      <c r="J318" s="222"/>
      <c r="L318" s="222"/>
      <c r="N318" s="250"/>
      <c r="P318" s="222"/>
      <c r="R318" s="222"/>
      <c r="T318" s="250"/>
      <c r="V318" s="222"/>
      <c r="X318" s="222"/>
      <c r="Z318" s="250"/>
      <c r="AB318" s="222"/>
      <c r="AD318" s="222"/>
      <c r="AG318" s="250"/>
    </row>
    <row r="319" spans="1:33" s="280" customFormat="1" ht="15.5">
      <c r="A319" s="240"/>
      <c r="B319" s="240"/>
      <c r="C319" s="240"/>
      <c r="D319" s="240"/>
      <c r="E319" s="250"/>
      <c r="F319" s="250"/>
      <c r="H319" s="250"/>
      <c r="J319" s="222"/>
      <c r="L319" s="222"/>
      <c r="N319" s="250"/>
      <c r="P319" s="222"/>
      <c r="R319" s="222"/>
      <c r="T319" s="250"/>
      <c r="V319" s="222"/>
      <c r="X319" s="222"/>
      <c r="Z319" s="250"/>
      <c r="AB319" s="222"/>
      <c r="AD319" s="222"/>
      <c r="AG319" s="250"/>
    </row>
    <row r="320" spans="1:33" s="280" customFormat="1" ht="15.5">
      <c r="A320" s="261"/>
      <c r="B320" s="261"/>
      <c r="C320" s="261"/>
      <c r="D320" s="261"/>
      <c r="E320" s="250"/>
      <c r="F320" s="250"/>
      <c r="H320" s="250"/>
      <c r="J320" s="222"/>
      <c r="L320" s="222"/>
      <c r="N320" s="250"/>
      <c r="P320" s="222"/>
      <c r="R320" s="222"/>
      <c r="T320" s="250"/>
      <c r="V320" s="222"/>
      <c r="X320" s="222"/>
      <c r="Z320" s="250"/>
      <c r="AB320" s="222"/>
      <c r="AD320" s="222"/>
      <c r="AG320" s="250"/>
    </row>
    <row r="321" spans="1:33" s="280" customFormat="1" ht="15.5">
      <c r="A321" s="245"/>
      <c r="B321" s="245"/>
      <c r="C321" s="245"/>
      <c r="D321" s="245"/>
      <c r="E321" s="250"/>
      <c r="F321" s="250"/>
      <c r="H321" s="250"/>
      <c r="J321" s="222"/>
      <c r="L321" s="222"/>
      <c r="N321" s="250"/>
      <c r="P321" s="222"/>
      <c r="R321" s="222"/>
      <c r="T321" s="250"/>
      <c r="V321" s="222"/>
      <c r="X321" s="222"/>
      <c r="Z321" s="250"/>
      <c r="AB321" s="222"/>
      <c r="AD321" s="222"/>
      <c r="AG321" s="250"/>
    </row>
    <row r="322" spans="1:33" s="280" customFormat="1" ht="15.5">
      <c r="A322" s="240"/>
      <c r="B322" s="240"/>
      <c r="C322" s="245"/>
      <c r="D322" s="240"/>
      <c r="E322" s="250"/>
      <c r="F322" s="250"/>
      <c r="H322" s="250"/>
      <c r="J322" s="222"/>
      <c r="L322" s="222"/>
      <c r="N322" s="250"/>
      <c r="P322" s="222"/>
      <c r="R322" s="222"/>
      <c r="T322" s="250"/>
      <c r="V322" s="222"/>
      <c r="X322" s="222"/>
      <c r="Z322" s="250"/>
      <c r="AB322" s="222"/>
      <c r="AD322" s="222"/>
      <c r="AG322" s="250"/>
    </row>
    <row r="323" spans="1:33" s="280" customFormat="1" ht="15.5">
      <c r="A323" s="240"/>
      <c r="B323" s="240"/>
      <c r="C323" s="240"/>
      <c r="D323" s="240"/>
      <c r="E323" s="250"/>
      <c r="F323" s="250"/>
      <c r="H323" s="250"/>
      <c r="J323" s="222"/>
      <c r="L323" s="222"/>
      <c r="N323" s="250"/>
      <c r="P323" s="222"/>
      <c r="R323" s="222"/>
      <c r="T323" s="250"/>
      <c r="V323" s="222"/>
      <c r="X323" s="222"/>
      <c r="Z323" s="250"/>
      <c r="AB323" s="222"/>
      <c r="AD323" s="222"/>
      <c r="AG323" s="250"/>
    </row>
    <row r="324" spans="1:33" s="280" customFormat="1" ht="15.5">
      <c r="A324" s="240"/>
      <c r="B324" s="257"/>
      <c r="C324" s="240"/>
      <c r="D324" s="240"/>
      <c r="E324" s="250"/>
      <c r="F324" s="250"/>
      <c r="H324" s="250"/>
      <c r="J324" s="222"/>
      <c r="L324" s="222"/>
      <c r="N324" s="250"/>
      <c r="P324" s="222"/>
      <c r="R324" s="222"/>
      <c r="T324" s="250"/>
      <c r="V324" s="222"/>
      <c r="X324" s="222"/>
      <c r="Z324" s="250"/>
      <c r="AB324" s="222"/>
      <c r="AD324" s="222"/>
      <c r="AG324" s="250"/>
    </row>
    <row r="325" spans="1:33" s="280" customFormat="1" ht="15.5">
      <c r="A325" s="240"/>
      <c r="B325" s="240"/>
      <c r="C325" s="240"/>
      <c r="D325" s="240"/>
      <c r="E325" s="250"/>
      <c r="F325" s="250"/>
      <c r="H325" s="250"/>
      <c r="J325" s="222"/>
      <c r="L325" s="222"/>
      <c r="N325" s="250"/>
      <c r="P325" s="222"/>
      <c r="R325" s="222"/>
      <c r="T325" s="250"/>
      <c r="V325" s="222"/>
      <c r="X325" s="222"/>
      <c r="Z325" s="250"/>
      <c r="AB325" s="222"/>
      <c r="AD325" s="222"/>
      <c r="AG325" s="250"/>
    </row>
    <row r="326" spans="1:33" s="280" customFormat="1" ht="15.5">
      <c r="A326" s="261"/>
      <c r="B326" s="261"/>
      <c r="C326" s="261"/>
      <c r="D326" s="261"/>
      <c r="E326" s="250"/>
      <c r="F326" s="250"/>
      <c r="H326" s="250"/>
      <c r="J326" s="222"/>
      <c r="L326" s="222"/>
      <c r="N326" s="250"/>
      <c r="P326" s="222"/>
      <c r="R326" s="222"/>
      <c r="T326" s="250"/>
      <c r="V326" s="222"/>
      <c r="X326" s="222"/>
      <c r="Z326" s="250"/>
      <c r="AB326" s="222"/>
      <c r="AD326" s="222"/>
      <c r="AG326" s="250"/>
    </row>
    <row r="327" spans="1:33" s="280" customFormat="1" ht="15.5">
      <c r="A327" s="245"/>
      <c r="B327" s="245"/>
      <c r="C327" s="245"/>
      <c r="D327" s="245"/>
      <c r="E327" s="250"/>
      <c r="F327" s="250"/>
      <c r="H327" s="250"/>
      <c r="J327" s="222"/>
      <c r="L327" s="222"/>
      <c r="N327" s="250"/>
      <c r="P327" s="222"/>
      <c r="R327" s="222"/>
      <c r="T327" s="250"/>
      <c r="V327" s="222"/>
      <c r="X327" s="222"/>
      <c r="Z327" s="250"/>
      <c r="AB327" s="222"/>
      <c r="AD327" s="222"/>
      <c r="AG327" s="250"/>
    </row>
    <row r="328" spans="1:33" s="280" customFormat="1" ht="15.5">
      <c r="A328" s="240"/>
      <c r="B328" s="240"/>
      <c r="C328" s="244"/>
      <c r="D328" s="240"/>
      <c r="E328" s="250"/>
      <c r="F328" s="250"/>
      <c r="H328" s="250"/>
      <c r="J328" s="222"/>
      <c r="L328" s="222"/>
      <c r="N328" s="250"/>
      <c r="P328" s="222"/>
      <c r="R328" s="222"/>
      <c r="T328" s="250"/>
      <c r="V328" s="222"/>
      <c r="X328" s="222"/>
      <c r="Z328" s="250"/>
      <c r="AB328" s="222"/>
      <c r="AD328" s="222"/>
      <c r="AG328" s="250"/>
    </row>
    <row r="329" spans="1:33" s="280" customFormat="1" ht="15.5">
      <c r="A329" s="240"/>
      <c r="B329" s="240"/>
      <c r="C329" s="240"/>
      <c r="D329" s="240"/>
      <c r="E329" s="250"/>
      <c r="F329" s="250"/>
      <c r="H329" s="250"/>
      <c r="J329" s="222"/>
      <c r="L329" s="222"/>
      <c r="N329" s="250"/>
      <c r="P329" s="222"/>
      <c r="R329" s="222"/>
      <c r="T329" s="250"/>
      <c r="V329" s="222"/>
      <c r="X329" s="222"/>
      <c r="Z329" s="250"/>
      <c r="AB329" s="222"/>
      <c r="AD329" s="222"/>
      <c r="AG329" s="250"/>
    </row>
    <row r="330" spans="1:33" s="280" customFormat="1" ht="15.5">
      <c r="A330" s="240"/>
      <c r="B330" s="257"/>
      <c r="C330" s="240"/>
      <c r="D330" s="240"/>
      <c r="E330" s="250"/>
      <c r="F330" s="250"/>
      <c r="H330" s="250"/>
      <c r="J330" s="222"/>
      <c r="L330" s="222"/>
      <c r="N330" s="250"/>
      <c r="P330" s="222"/>
      <c r="R330" s="222"/>
      <c r="T330" s="250"/>
      <c r="V330" s="222"/>
      <c r="X330" s="222"/>
      <c r="Z330" s="250"/>
      <c r="AB330" s="222"/>
      <c r="AD330" s="222"/>
      <c r="AG330" s="250"/>
    </row>
    <row r="331" spans="1:33" s="280" customFormat="1" ht="15.5">
      <c r="A331" s="250"/>
      <c r="B331" s="250"/>
      <c r="C331" s="250"/>
      <c r="D331" s="250"/>
      <c r="E331" s="250"/>
      <c r="F331" s="250"/>
      <c r="H331" s="250"/>
      <c r="J331" s="222"/>
      <c r="L331" s="222"/>
      <c r="N331" s="250"/>
      <c r="P331" s="222"/>
      <c r="R331" s="222"/>
      <c r="T331" s="250"/>
      <c r="V331" s="222"/>
      <c r="X331" s="222"/>
      <c r="Z331" s="250"/>
      <c r="AB331" s="222"/>
      <c r="AD331" s="222"/>
      <c r="AG331" s="250"/>
    </row>
    <row r="332" spans="1:33" s="280" customFormat="1" ht="15.5">
      <c r="A332" s="261"/>
      <c r="B332" s="261"/>
      <c r="C332" s="261"/>
      <c r="D332" s="261"/>
      <c r="E332" s="250"/>
      <c r="F332" s="250"/>
      <c r="H332" s="250"/>
      <c r="J332" s="222"/>
      <c r="L332" s="222"/>
      <c r="N332" s="250"/>
      <c r="P332" s="222"/>
      <c r="R332" s="222"/>
      <c r="T332" s="250"/>
      <c r="V332" s="222"/>
      <c r="X332" s="222"/>
      <c r="Z332" s="250"/>
      <c r="AB332" s="222"/>
      <c r="AD332" s="222"/>
      <c r="AG332" s="250"/>
    </row>
    <row r="333" spans="1:33" s="280" customFormat="1" ht="15.5">
      <c r="A333" s="245"/>
      <c r="B333" s="245"/>
      <c r="C333" s="245"/>
      <c r="D333" s="245"/>
      <c r="E333" s="250"/>
      <c r="F333" s="250"/>
      <c r="H333" s="250"/>
      <c r="J333" s="222"/>
      <c r="L333" s="222"/>
      <c r="N333" s="250"/>
      <c r="P333" s="222"/>
      <c r="R333" s="222"/>
      <c r="T333" s="250"/>
      <c r="V333" s="222"/>
      <c r="X333" s="222"/>
      <c r="Z333" s="250"/>
      <c r="AB333" s="222"/>
      <c r="AD333" s="222"/>
      <c r="AG333" s="250"/>
    </row>
    <row r="334" spans="1:33" s="280" customFormat="1" ht="15.5">
      <c r="A334" s="240"/>
      <c r="B334" s="240"/>
      <c r="C334" s="244"/>
      <c r="D334" s="240"/>
      <c r="E334" s="250"/>
      <c r="F334" s="250"/>
      <c r="H334" s="250"/>
      <c r="J334" s="222"/>
      <c r="L334" s="222"/>
      <c r="N334" s="250"/>
      <c r="P334" s="222"/>
      <c r="R334" s="222"/>
      <c r="T334" s="250"/>
      <c r="V334" s="222"/>
      <c r="X334" s="222"/>
      <c r="Z334" s="250"/>
      <c r="AB334" s="222"/>
      <c r="AD334" s="222"/>
      <c r="AG334" s="250"/>
    </row>
    <row r="335" spans="1:33" s="280" customFormat="1" ht="15.5">
      <c r="A335" s="240"/>
      <c r="B335" s="240"/>
      <c r="C335" s="240"/>
      <c r="D335" s="240"/>
      <c r="E335" s="250"/>
      <c r="F335" s="250"/>
      <c r="H335" s="250"/>
      <c r="J335" s="222"/>
      <c r="L335" s="222"/>
      <c r="N335" s="250"/>
      <c r="P335" s="222"/>
      <c r="R335" s="222"/>
      <c r="T335" s="250"/>
      <c r="V335" s="222"/>
      <c r="X335" s="222"/>
      <c r="Z335" s="250"/>
      <c r="AB335" s="222"/>
      <c r="AD335" s="222"/>
      <c r="AG335" s="250"/>
    </row>
    <row r="336" spans="1:33" s="280" customFormat="1" ht="15.5">
      <c r="A336" s="240"/>
      <c r="B336" s="257"/>
      <c r="C336" s="240"/>
      <c r="D336" s="240"/>
      <c r="E336" s="250"/>
      <c r="F336" s="250"/>
      <c r="H336" s="250"/>
      <c r="J336" s="222"/>
      <c r="L336" s="222"/>
      <c r="N336" s="250"/>
      <c r="P336" s="222"/>
      <c r="R336" s="222"/>
      <c r="T336" s="250"/>
      <c r="V336" s="222"/>
      <c r="X336" s="222"/>
      <c r="Z336" s="250"/>
      <c r="AB336" s="222"/>
      <c r="AD336" s="222"/>
      <c r="AG336" s="250"/>
    </row>
    <row r="337" spans="1:33" s="280" customFormat="1" ht="15.5">
      <c r="A337" s="240"/>
      <c r="B337" s="240"/>
      <c r="C337" s="240"/>
      <c r="D337" s="240"/>
      <c r="E337" s="250"/>
      <c r="F337" s="250"/>
      <c r="H337" s="250"/>
      <c r="J337" s="222"/>
      <c r="L337" s="222"/>
      <c r="N337" s="250"/>
      <c r="P337" s="222"/>
      <c r="R337" s="222"/>
      <c r="T337" s="250"/>
      <c r="V337" s="222"/>
      <c r="X337" s="222"/>
      <c r="Z337" s="250"/>
      <c r="AB337" s="222"/>
      <c r="AD337" s="222"/>
      <c r="AG337" s="250"/>
    </row>
    <row r="338" spans="1:33" s="280" customFormat="1" ht="15.5">
      <c r="A338" s="289"/>
      <c r="B338" s="289"/>
      <c r="C338" s="289"/>
      <c r="D338" s="289"/>
      <c r="E338" s="250"/>
      <c r="F338" s="250"/>
      <c r="H338" s="250"/>
      <c r="J338" s="222"/>
      <c r="L338" s="222"/>
      <c r="N338" s="250"/>
      <c r="P338" s="222"/>
      <c r="R338" s="222"/>
      <c r="T338" s="250"/>
      <c r="V338" s="222"/>
      <c r="X338" s="222"/>
      <c r="Z338" s="250"/>
      <c r="AB338" s="222"/>
      <c r="AD338" s="222"/>
      <c r="AG338" s="250"/>
    </row>
    <row r="339" spans="1:33" s="280" customFormat="1" ht="15.5">
      <c r="A339" s="245"/>
      <c r="B339" s="245"/>
      <c r="C339" s="245"/>
      <c r="D339" s="245"/>
      <c r="E339" s="250"/>
      <c r="F339" s="250"/>
      <c r="H339" s="250"/>
      <c r="J339" s="222"/>
      <c r="L339" s="222"/>
      <c r="N339" s="250"/>
      <c r="P339" s="222"/>
      <c r="R339" s="222"/>
      <c r="T339" s="250"/>
      <c r="V339" s="222"/>
      <c r="X339" s="222"/>
      <c r="Z339" s="250"/>
      <c r="AB339" s="222"/>
      <c r="AD339" s="222"/>
      <c r="AG339" s="250"/>
    </row>
    <row r="340" spans="1:33" s="280" customFormat="1" ht="15.5">
      <c r="A340" s="240"/>
      <c r="B340" s="240"/>
      <c r="C340" s="244"/>
      <c r="D340" s="240"/>
      <c r="E340" s="250"/>
      <c r="F340" s="250"/>
      <c r="H340" s="250"/>
      <c r="J340" s="222"/>
      <c r="L340" s="222"/>
      <c r="N340" s="250"/>
      <c r="P340" s="222"/>
      <c r="R340" s="222"/>
      <c r="T340" s="250"/>
      <c r="V340" s="222"/>
      <c r="X340" s="222"/>
      <c r="Z340" s="250"/>
      <c r="AB340" s="222"/>
      <c r="AD340" s="222"/>
      <c r="AG340" s="250"/>
    </row>
    <row r="341" spans="1:33" s="280" customFormat="1" ht="15.5">
      <c r="A341" s="240"/>
      <c r="B341" s="240"/>
      <c r="C341" s="240"/>
      <c r="D341" s="240"/>
      <c r="E341" s="250"/>
      <c r="F341" s="250"/>
      <c r="H341" s="250"/>
      <c r="J341" s="222"/>
      <c r="L341" s="222"/>
      <c r="N341" s="250"/>
      <c r="P341" s="222"/>
      <c r="R341" s="222"/>
      <c r="T341" s="250"/>
      <c r="V341" s="222"/>
      <c r="X341" s="222"/>
      <c r="Z341" s="250"/>
      <c r="AB341" s="222"/>
      <c r="AD341" s="222"/>
      <c r="AG341" s="250"/>
    </row>
    <row r="342" spans="1:33" s="280" customFormat="1" ht="15.5">
      <c r="A342" s="240"/>
      <c r="B342" s="257"/>
      <c r="C342" s="240"/>
      <c r="D342" s="240"/>
      <c r="E342" s="250"/>
      <c r="F342" s="250"/>
      <c r="H342" s="250"/>
      <c r="J342" s="222"/>
      <c r="L342" s="222"/>
      <c r="N342" s="250"/>
      <c r="P342" s="222"/>
      <c r="R342" s="222"/>
      <c r="T342" s="250"/>
      <c r="V342" s="222"/>
      <c r="X342" s="222"/>
      <c r="Z342" s="250"/>
      <c r="AB342" s="222"/>
      <c r="AD342" s="222"/>
      <c r="AG342" s="250"/>
    </row>
    <row r="343" spans="1:33" s="280" customFormat="1" ht="15.5">
      <c r="A343" s="250"/>
      <c r="B343" s="250"/>
      <c r="C343" s="250"/>
      <c r="D343" s="250"/>
      <c r="E343" s="250"/>
      <c r="F343" s="250"/>
      <c r="H343" s="250"/>
      <c r="J343" s="222"/>
      <c r="L343" s="222"/>
      <c r="N343" s="250"/>
      <c r="P343" s="222"/>
      <c r="R343" s="222"/>
      <c r="T343" s="250"/>
      <c r="V343" s="222"/>
      <c r="X343" s="222"/>
      <c r="Z343" s="250"/>
      <c r="AB343" s="222"/>
      <c r="AD343" s="222"/>
      <c r="AG343" s="250"/>
    </row>
    <row r="344" spans="1:33" s="280" customFormat="1" ht="15.5">
      <c r="A344" s="250"/>
      <c r="B344" s="250"/>
      <c r="C344" s="250"/>
      <c r="D344" s="250"/>
      <c r="E344" s="250"/>
      <c r="F344" s="250"/>
      <c r="H344" s="250"/>
      <c r="J344" s="222"/>
      <c r="L344" s="222"/>
      <c r="N344" s="250"/>
      <c r="P344" s="222"/>
      <c r="R344" s="222"/>
      <c r="T344" s="250"/>
      <c r="V344" s="222"/>
      <c r="X344" s="222"/>
      <c r="Z344" s="250"/>
      <c r="AB344" s="222"/>
      <c r="AD344" s="222"/>
      <c r="AG344" s="250"/>
    </row>
    <row r="345" spans="1:33" s="280" customFormat="1" ht="15.5">
      <c r="A345" s="250"/>
      <c r="B345" s="250"/>
      <c r="C345" s="250"/>
      <c r="D345" s="250"/>
      <c r="E345" s="250"/>
      <c r="F345" s="250"/>
      <c r="H345" s="250"/>
      <c r="J345" s="222"/>
      <c r="L345" s="222"/>
      <c r="N345" s="250"/>
      <c r="P345" s="222"/>
      <c r="R345" s="222"/>
      <c r="T345" s="250"/>
      <c r="V345" s="222"/>
      <c r="X345" s="222"/>
      <c r="Z345" s="250"/>
      <c r="AB345" s="222"/>
      <c r="AD345" s="222"/>
      <c r="AG345" s="250"/>
    </row>
    <row r="346" spans="1:33" s="280" customFormat="1" ht="15.5">
      <c r="A346" s="250"/>
      <c r="B346" s="250"/>
      <c r="C346" s="250"/>
      <c r="D346" s="250"/>
      <c r="E346" s="250"/>
      <c r="F346" s="250"/>
      <c r="H346" s="250"/>
      <c r="J346" s="222"/>
      <c r="L346" s="222"/>
      <c r="N346" s="250"/>
      <c r="P346" s="222"/>
      <c r="R346" s="222"/>
      <c r="T346" s="250"/>
      <c r="V346" s="222"/>
      <c r="X346" s="222"/>
      <c r="Z346" s="250"/>
      <c r="AB346" s="222"/>
      <c r="AD346" s="222"/>
      <c r="AG346" s="250"/>
    </row>
    <row r="347" spans="1:33" s="280" customFormat="1" ht="15.5">
      <c r="A347" s="250"/>
      <c r="B347" s="250"/>
      <c r="C347" s="250"/>
      <c r="D347" s="250"/>
      <c r="E347" s="250"/>
      <c r="F347" s="250"/>
      <c r="H347" s="250"/>
      <c r="J347" s="222"/>
      <c r="L347" s="222"/>
      <c r="N347" s="250"/>
      <c r="P347" s="222"/>
      <c r="R347" s="222"/>
      <c r="T347" s="250"/>
      <c r="V347" s="222"/>
      <c r="X347" s="222"/>
      <c r="Z347" s="250"/>
      <c r="AB347" s="222"/>
      <c r="AD347" s="222"/>
      <c r="AG347" s="250"/>
    </row>
    <row r="348" spans="1:33" s="280" customFormat="1" ht="15.5">
      <c r="A348" s="250"/>
      <c r="B348" s="250"/>
      <c r="C348" s="250"/>
      <c r="D348" s="250"/>
      <c r="E348" s="250"/>
      <c r="F348" s="250"/>
      <c r="H348" s="250"/>
      <c r="J348" s="222"/>
      <c r="L348" s="222"/>
      <c r="N348" s="250"/>
      <c r="P348" s="222"/>
      <c r="R348" s="222"/>
      <c r="T348" s="250"/>
      <c r="V348" s="222"/>
      <c r="X348" s="222"/>
      <c r="Z348" s="250"/>
      <c r="AB348" s="222"/>
      <c r="AD348" s="222"/>
      <c r="AG348" s="250"/>
    </row>
    <row r="349" spans="1:33" s="280" customFormat="1" ht="15.5">
      <c r="A349" s="250"/>
      <c r="B349" s="250"/>
      <c r="C349" s="250"/>
      <c r="D349" s="250"/>
      <c r="E349" s="250"/>
      <c r="F349" s="250"/>
      <c r="H349" s="250"/>
      <c r="J349" s="222"/>
      <c r="L349" s="222"/>
      <c r="N349" s="250"/>
      <c r="P349" s="222"/>
      <c r="R349" s="222"/>
      <c r="T349" s="250"/>
      <c r="V349" s="222"/>
      <c r="X349" s="222"/>
      <c r="Z349" s="250"/>
      <c r="AB349" s="222"/>
      <c r="AD349" s="222"/>
      <c r="AG349" s="250"/>
    </row>
    <row r="350" spans="1:33" s="280" customFormat="1" ht="15.5">
      <c r="A350" s="250"/>
      <c r="B350" s="250"/>
      <c r="C350" s="250"/>
      <c r="D350" s="250"/>
      <c r="E350" s="250"/>
      <c r="F350" s="250"/>
      <c r="H350" s="250"/>
      <c r="J350" s="222"/>
      <c r="L350" s="222"/>
      <c r="N350" s="250"/>
      <c r="P350" s="222"/>
      <c r="R350" s="222"/>
      <c r="T350" s="250"/>
      <c r="V350" s="222"/>
      <c r="X350" s="222"/>
      <c r="Z350" s="250"/>
      <c r="AB350" s="222"/>
      <c r="AD350" s="222"/>
      <c r="AG350" s="250"/>
    </row>
    <row r="351" spans="1:33" s="280" customFormat="1" ht="15.5">
      <c r="A351" s="250"/>
      <c r="B351" s="250"/>
      <c r="C351" s="250"/>
      <c r="D351" s="250"/>
      <c r="E351" s="250"/>
      <c r="F351" s="250"/>
      <c r="H351" s="250"/>
      <c r="J351" s="222"/>
      <c r="L351" s="222"/>
      <c r="N351" s="250"/>
      <c r="P351" s="222"/>
      <c r="R351" s="222"/>
      <c r="T351" s="250"/>
      <c r="V351" s="222"/>
      <c r="X351" s="222"/>
      <c r="Z351" s="250"/>
      <c r="AB351" s="222"/>
      <c r="AD351" s="222"/>
      <c r="AG351" s="250"/>
    </row>
    <row r="352" spans="1:33" s="280" customFormat="1" ht="15.5">
      <c r="A352" s="250"/>
      <c r="B352" s="250"/>
      <c r="C352" s="250"/>
      <c r="D352" s="250"/>
      <c r="E352" s="250"/>
      <c r="F352" s="250"/>
      <c r="H352" s="250"/>
      <c r="J352" s="222"/>
      <c r="L352" s="222"/>
      <c r="N352" s="250"/>
      <c r="P352" s="222"/>
      <c r="R352" s="222"/>
      <c r="T352" s="250"/>
      <c r="V352" s="222"/>
      <c r="X352" s="222"/>
      <c r="Z352" s="250"/>
      <c r="AB352" s="222"/>
      <c r="AD352" s="222"/>
      <c r="AG352" s="250"/>
    </row>
    <row r="353" spans="1:33" s="280" customFormat="1" ht="15.5">
      <c r="A353" s="250"/>
      <c r="B353" s="250"/>
      <c r="C353" s="250"/>
      <c r="D353" s="250"/>
      <c r="E353" s="250"/>
      <c r="F353" s="250"/>
      <c r="H353" s="250"/>
      <c r="J353" s="222"/>
      <c r="L353" s="222"/>
      <c r="N353" s="250"/>
      <c r="P353" s="222"/>
      <c r="R353" s="222"/>
      <c r="T353" s="250"/>
      <c r="V353" s="222"/>
      <c r="X353" s="222"/>
      <c r="Z353" s="250"/>
      <c r="AB353" s="222"/>
      <c r="AD353" s="222"/>
      <c r="AG353" s="250"/>
    </row>
    <row r="354" spans="1:33" s="280" customFormat="1" ht="15.5">
      <c r="A354" s="250"/>
      <c r="B354" s="250"/>
      <c r="C354" s="250"/>
      <c r="D354" s="250"/>
      <c r="E354" s="250"/>
      <c r="F354" s="250"/>
      <c r="H354" s="250"/>
      <c r="J354" s="222"/>
      <c r="L354" s="222"/>
      <c r="N354" s="250"/>
      <c r="P354" s="222"/>
      <c r="R354" s="222"/>
      <c r="T354" s="250"/>
      <c r="V354" s="222"/>
      <c r="X354" s="222"/>
      <c r="Z354" s="250"/>
      <c r="AB354" s="222"/>
      <c r="AD354" s="222"/>
      <c r="AG354" s="250"/>
    </row>
    <row r="355" spans="1:33" s="280" customFormat="1" ht="15.5">
      <c r="A355" s="250"/>
      <c r="B355" s="250"/>
      <c r="C355" s="250"/>
      <c r="D355" s="250"/>
      <c r="E355" s="250"/>
      <c r="F355" s="250"/>
      <c r="H355" s="250"/>
      <c r="J355" s="222"/>
      <c r="L355" s="222"/>
      <c r="N355" s="250"/>
      <c r="P355" s="222"/>
      <c r="R355" s="222"/>
      <c r="T355" s="250"/>
      <c r="V355" s="222"/>
      <c r="X355" s="222"/>
      <c r="Z355" s="250"/>
      <c r="AB355" s="222"/>
      <c r="AD355" s="222"/>
      <c r="AG355" s="250"/>
    </row>
    <row r="356" spans="1:33" s="280" customFormat="1" ht="15.5">
      <c r="A356" s="250"/>
      <c r="B356" s="250"/>
      <c r="C356" s="250"/>
      <c r="D356" s="250"/>
      <c r="E356" s="250"/>
      <c r="F356" s="250"/>
      <c r="H356" s="250"/>
      <c r="J356" s="222"/>
      <c r="L356" s="222"/>
      <c r="N356" s="250"/>
      <c r="P356" s="222"/>
      <c r="R356" s="222"/>
      <c r="T356" s="250"/>
      <c r="V356" s="222"/>
      <c r="X356" s="222"/>
      <c r="Z356" s="250"/>
      <c r="AB356" s="222"/>
      <c r="AD356" s="222"/>
      <c r="AG356" s="250"/>
    </row>
    <row r="357" spans="1:33" s="280" customFormat="1" ht="15.5">
      <c r="A357" s="250"/>
      <c r="B357" s="250"/>
      <c r="C357" s="250"/>
      <c r="D357" s="250"/>
      <c r="E357" s="250"/>
      <c r="F357" s="250"/>
      <c r="H357" s="250"/>
      <c r="J357" s="222"/>
      <c r="L357" s="222"/>
      <c r="N357" s="250"/>
      <c r="P357" s="222"/>
      <c r="R357" s="222"/>
      <c r="T357" s="250"/>
      <c r="V357" s="222"/>
      <c r="X357" s="222"/>
      <c r="Z357" s="250"/>
      <c r="AB357" s="222"/>
      <c r="AD357" s="222"/>
      <c r="AG357" s="250"/>
    </row>
    <row r="358" spans="1:33" s="280" customFormat="1" ht="15.5">
      <c r="A358" s="250"/>
      <c r="B358" s="250"/>
      <c r="C358" s="250"/>
      <c r="D358" s="250"/>
      <c r="E358" s="250"/>
      <c r="F358" s="250"/>
      <c r="H358" s="250"/>
      <c r="J358" s="222"/>
      <c r="L358" s="222"/>
      <c r="N358" s="250"/>
      <c r="P358" s="222"/>
      <c r="R358" s="222"/>
      <c r="T358" s="250"/>
      <c r="V358" s="222"/>
      <c r="X358" s="222"/>
      <c r="Z358" s="250"/>
      <c r="AB358" s="222"/>
      <c r="AD358" s="222"/>
      <c r="AG358" s="250"/>
    </row>
    <row r="359" spans="1:33" s="280" customFormat="1" ht="15.5">
      <c r="A359" s="250"/>
      <c r="B359" s="250"/>
      <c r="C359" s="250"/>
      <c r="D359" s="250"/>
      <c r="E359" s="250"/>
      <c r="F359" s="250"/>
      <c r="H359" s="250"/>
      <c r="J359" s="222"/>
      <c r="L359" s="222"/>
      <c r="N359" s="250"/>
      <c r="P359" s="222"/>
      <c r="R359" s="222"/>
      <c r="T359" s="250"/>
      <c r="V359" s="222"/>
      <c r="X359" s="222"/>
      <c r="Z359" s="250"/>
      <c r="AB359" s="222"/>
      <c r="AD359" s="222"/>
      <c r="AG359" s="250"/>
    </row>
    <row r="360" spans="1:33" s="280" customFormat="1" ht="15.5">
      <c r="A360" s="250"/>
      <c r="B360" s="250"/>
      <c r="C360" s="250"/>
      <c r="D360" s="250"/>
      <c r="E360" s="250"/>
      <c r="F360" s="250"/>
      <c r="H360" s="250"/>
      <c r="J360" s="222"/>
      <c r="L360" s="222"/>
      <c r="N360" s="250"/>
      <c r="P360" s="222"/>
      <c r="R360" s="222"/>
      <c r="T360" s="250"/>
      <c r="V360" s="222"/>
      <c r="X360" s="222"/>
      <c r="Z360" s="250"/>
      <c r="AB360" s="222"/>
      <c r="AD360" s="222"/>
      <c r="AG360" s="250"/>
    </row>
    <row r="361" spans="1:33" s="280" customFormat="1" ht="15.5">
      <c r="A361" s="250"/>
      <c r="B361" s="250"/>
      <c r="C361" s="250"/>
      <c r="D361" s="250"/>
      <c r="E361" s="250"/>
      <c r="F361" s="250"/>
      <c r="H361" s="250"/>
      <c r="J361" s="222"/>
      <c r="L361" s="222"/>
      <c r="N361" s="250"/>
      <c r="P361" s="222"/>
      <c r="R361" s="222"/>
      <c r="T361" s="250"/>
      <c r="V361" s="222"/>
      <c r="X361" s="222"/>
      <c r="Z361" s="250"/>
      <c r="AB361" s="222"/>
      <c r="AD361" s="222"/>
      <c r="AG361" s="250"/>
    </row>
    <row r="362" spans="1:33" s="280" customFormat="1" ht="15.5">
      <c r="A362" s="250"/>
      <c r="B362" s="250"/>
      <c r="C362" s="250"/>
      <c r="D362" s="250"/>
      <c r="E362" s="250"/>
      <c r="F362" s="250"/>
      <c r="H362" s="250"/>
      <c r="J362" s="222"/>
      <c r="L362" s="222"/>
      <c r="N362" s="250"/>
      <c r="P362" s="222"/>
      <c r="R362" s="222"/>
      <c r="T362" s="250"/>
      <c r="V362" s="222"/>
      <c r="X362" s="222"/>
      <c r="Z362" s="250"/>
      <c r="AB362" s="222"/>
      <c r="AD362" s="222"/>
      <c r="AG362" s="250"/>
    </row>
    <row r="363" spans="1:33" s="280" customFormat="1" ht="15.5">
      <c r="A363" s="250"/>
      <c r="B363" s="250"/>
      <c r="C363" s="250"/>
      <c r="D363" s="250"/>
      <c r="E363" s="250"/>
      <c r="F363" s="250"/>
      <c r="H363" s="250"/>
      <c r="J363" s="222"/>
      <c r="L363" s="222"/>
      <c r="N363" s="250"/>
      <c r="P363" s="222"/>
      <c r="R363" s="222"/>
      <c r="T363" s="250"/>
      <c r="V363" s="222"/>
      <c r="X363" s="222"/>
      <c r="Z363" s="250"/>
      <c r="AB363" s="222"/>
      <c r="AD363" s="222"/>
      <c r="AG363" s="250"/>
    </row>
    <row r="364" spans="1:33" s="280" customFormat="1" ht="15.5">
      <c r="A364" s="250"/>
      <c r="B364" s="250"/>
      <c r="C364" s="250"/>
      <c r="D364" s="250"/>
      <c r="E364" s="250"/>
      <c r="F364" s="250"/>
      <c r="H364" s="250"/>
      <c r="J364" s="222"/>
      <c r="L364" s="222"/>
      <c r="N364" s="250"/>
      <c r="P364" s="222"/>
      <c r="R364" s="222"/>
      <c r="T364" s="250"/>
      <c r="V364" s="222"/>
      <c r="X364" s="222"/>
      <c r="Z364" s="250"/>
      <c r="AB364" s="222"/>
      <c r="AD364" s="222"/>
      <c r="AG364" s="250"/>
    </row>
    <row r="365" spans="1:33" s="280" customFormat="1" ht="15.5">
      <c r="A365" s="250"/>
      <c r="B365" s="250"/>
      <c r="C365" s="250"/>
      <c r="D365" s="250"/>
      <c r="E365" s="250"/>
      <c r="F365" s="250"/>
      <c r="H365" s="250"/>
      <c r="J365" s="222"/>
      <c r="L365" s="222"/>
      <c r="N365" s="250"/>
      <c r="P365" s="222"/>
      <c r="R365" s="222"/>
      <c r="T365" s="250"/>
      <c r="V365" s="222"/>
      <c r="X365" s="222"/>
      <c r="Z365" s="250"/>
      <c r="AB365" s="222"/>
      <c r="AD365" s="222"/>
      <c r="AG365" s="250"/>
    </row>
    <row r="366" spans="1:33" s="280" customFormat="1" ht="15.5">
      <c r="A366" s="250"/>
      <c r="B366" s="250"/>
      <c r="C366" s="250"/>
      <c r="D366" s="250"/>
      <c r="E366" s="250"/>
      <c r="F366" s="250"/>
      <c r="H366" s="250"/>
      <c r="J366" s="222"/>
      <c r="L366" s="222"/>
      <c r="N366" s="250"/>
      <c r="P366" s="222"/>
      <c r="R366" s="222"/>
      <c r="T366" s="250"/>
      <c r="V366" s="222"/>
      <c r="X366" s="222"/>
      <c r="Z366" s="250"/>
      <c r="AB366" s="222"/>
      <c r="AD366" s="222"/>
      <c r="AG366" s="250"/>
    </row>
    <row r="367" spans="1:33" s="280" customFormat="1" ht="15.5">
      <c r="A367" s="250"/>
      <c r="B367" s="250"/>
      <c r="C367" s="250"/>
      <c r="D367" s="250"/>
      <c r="E367" s="250"/>
      <c r="F367" s="250"/>
      <c r="H367" s="250"/>
      <c r="J367" s="222"/>
      <c r="L367" s="222"/>
      <c r="N367" s="250"/>
      <c r="P367" s="222"/>
      <c r="R367" s="222"/>
      <c r="T367" s="250"/>
      <c r="V367" s="222"/>
      <c r="X367" s="222"/>
      <c r="Z367" s="250"/>
      <c r="AB367" s="222"/>
      <c r="AD367" s="222"/>
      <c r="AG367" s="250"/>
    </row>
    <row r="368" spans="1:33" s="280" customFormat="1" ht="15.5">
      <c r="A368" s="250"/>
      <c r="B368" s="250"/>
      <c r="C368" s="250"/>
      <c r="D368" s="250"/>
      <c r="E368" s="250"/>
      <c r="F368" s="250"/>
      <c r="H368" s="250"/>
      <c r="J368" s="222"/>
      <c r="L368" s="222"/>
      <c r="N368" s="250"/>
      <c r="P368" s="222"/>
      <c r="R368" s="222"/>
      <c r="T368" s="250"/>
      <c r="V368" s="222"/>
      <c r="X368" s="222"/>
      <c r="Z368" s="250"/>
      <c r="AB368" s="222"/>
      <c r="AD368" s="222"/>
      <c r="AG368" s="250"/>
    </row>
    <row r="369" spans="1:33" s="280" customFormat="1" ht="15.5">
      <c r="A369" s="250"/>
      <c r="B369" s="250"/>
      <c r="C369" s="250"/>
      <c r="D369" s="250"/>
      <c r="E369" s="250"/>
      <c r="F369" s="250"/>
      <c r="H369" s="250"/>
      <c r="J369" s="222"/>
      <c r="L369" s="222"/>
      <c r="N369" s="250"/>
      <c r="P369" s="222"/>
      <c r="R369" s="222"/>
      <c r="T369" s="250"/>
      <c r="V369" s="222"/>
      <c r="X369" s="222"/>
      <c r="Z369" s="250"/>
      <c r="AB369" s="222"/>
      <c r="AD369" s="222"/>
      <c r="AG369" s="250"/>
    </row>
    <row r="370" spans="1:33" s="280" customFormat="1" ht="15.5">
      <c r="A370" s="250"/>
      <c r="B370" s="250"/>
      <c r="C370" s="250"/>
      <c r="D370" s="250"/>
      <c r="E370" s="250"/>
      <c r="F370" s="250"/>
      <c r="H370" s="250"/>
      <c r="J370" s="222"/>
      <c r="L370" s="222"/>
      <c r="N370" s="250"/>
      <c r="P370" s="222"/>
      <c r="R370" s="222"/>
      <c r="T370" s="250"/>
      <c r="V370" s="222"/>
      <c r="X370" s="222"/>
      <c r="Z370" s="250"/>
      <c r="AB370" s="222"/>
      <c r="AD370" s="222"/>
      <c r="AG370" s="250"/>
    </row>
    <row r="371" spans="1:33" s="280" customFormat="1" ht="15.5">
      <c r="A371" s="250"/>
      <c r="B371" s="250"/>
      <c r="C371" s="250"/>
      <c r="D371" s="250"/>
      <c r="E371" s="250"/>
      <c r="F371" s="250"/>
      <c r="H371" s="250"/>
      <c r="J371" s="222"/>
      <c r="L371" s="222"/>
      <c r="N371" s="250"/>
      <c r="P371" s="222"/>
      <c r="R371" s="222"/>
      <c r="T371" s="250"/>
      <c r="V371" s="222"/>
      <c r="X371" s="222"/>
      <c r="Z371" s="250"/>
      <c r="AB371" s="222"/>
      <c r="AD371" s="222"/>
      <c r="AG371" s="250"/>
    </row>
    <row r="372" spans="1:33" s="280" customFormat="1" ht="15.5">
      <c r="A372" s="250"/>
      <c r="B372" s="250"/>
      <c r="C372" s="250"/>
      <c r="D372" s="250"/>
      <c r="E372" s="250"/>
      <c r="F372" s="250"/>
      <c r="H372" s="250"/>
      <c r="J372" s="222"/>
      <c r="L372" s="222"/>
      <c r="N372" s="250"/>
      <c r="P372" s="222"/>
      <c r="R372" s="222"/>
      <c r="T372" s="250"/>
      <c r="V372" s="222"/>
      <c r="X372" s="222"/>
      <c r="Z372" s="250"/>
      <c r="AB372" s="222"/>
      <c r="AD372" s="222"/>
      <c r="AG372" s="250"/>
    </row>
    <row r="373" spans="1:33" s="280" customFormat="1" ht="15.5">
      <c r="A373" s="250"/>
      <c r="B373" s="250"/>
      <c r="C373" s="250"/>
      <c r="D373" s="250"/>
      <c r="E373" s="250"/>
      <c r="F373" s="250"/>
      <c r="H373" s="250"/>
      <c r="J373" s="222"/>
      <c r="L373" s="222"/>
      <c r="N373" s="250"/>
      <c r="P373" s="222"/>
      <c r="R373" s="222"/>
      <c r="T373" s="250"/>
      <c r="V373" s="222"/>
      <c r="X373" s="222"/>
      <c r="Z373" s="250"/>
      <c r="AB373" s="222"/>
      <c r="AD373" s="222"/>
      <c r="AG373" s="250"/>
    </row>
    <row r="374" spans="1:33" s="280" customFormat="1" ht="15.5">
      <c r="A374" s="250"/>
      <c r="B374" s="250"/>
      <c r="C374" s="250"/>
      <c r="D374" s="250"/>
      <c r="E374" s="250"/>
      <c r="F374" s="250"/>
      <c r="H374" s="250"/>
      <c r="J374" s="222"/>
      <c r="L374" s="222"/>
      <c r="N374" s="250"/>
      <c r="P374" s="222"/>
      <c r="R374" s="222"/>
      <c r="T374" s="250"/>
      <c r="V374" s="222"/>
      <c r="X374" s="222"/>
      <c r="Z374" s="250"/>
      <c r="AB374" s="222"/>
      <c r="AD374" s="222"/>
      <c r="AG374" s="250"/>
    </row>
    <row r="375" spans="1:33" s="280" customFormat="1" ht="15.5">
      <c r="A375" s="250"/>
      <c r="B375" s="250"/>
      <c r="C375" s="250"/>
      <c r="D375" s="250"/>
      <c r="E375" s="250"/>
      <c r="F375" s="250"/>
      <c r="H375" s="250"/>
      <c r="J375" s="222"/>
      <c r="L375" s="222"/>
      <c r="N375" s="250"/>
      <c r="P375" s="222"/>
      <c r="R375" s="222"/>
      <c r="T375" s="250"/>
      <c r="V375" s="222"/>
      <c r="X375" s="222"/>
      <c r="Z375" s="250"/>
      <c r="AB375" s="222"/>
      <c r="AD375" s="222"/>
      <c r="AG375" s="250"/>
    </row>
    <row r="376" spans="1:33" s="280" customFormat="1" ht="15.5">
      <c r="A376" s="250"/>
      <c r="B376" s="250"/>
      <c r="C376" s="250"/>
      <c r="D376" s="250"/>
      <c r="E376" s="250"/>
      <c r="F376" s="250"/>
      <c r="H376" s="250"/>
      <c r="J376" s="222"/>
      <c r="L376" s="222"/>
      <c r="N376" s="250"/>
      <c r="P376" s="222"/>
      <c r="R376" s="222"/>
      <c r="T376" s="250"/>
      <c r="V376" s="222"/>
      <c r="X376" s="222"/>
      <c r="Z376" s="250"/>
      <c r="AB376" s="222"/>
      <c r="AD376" s="222"/>
      <c r="AG376" s="250"/>
    </row>
    <row r="377" spans="1:33" s="280" customFormat="1" ht="15.5">
      <c r="A377" s="250"/>
      <c r="B377" s="250"/>
      <c r="C377" s="250"/>
      <c r="D377" s="250"/>
      <c r="E377" s="250"/>
      <c r="F377" s="250"/>
      <c r="H377" s="250"/>
      <c r="J377" s="222"/>
      <c r="L377" s="222"/>
      <c r="N377" s="250"/>
      <c r="P377" s="222"/>
      <c r="R377" s="222"/>
      <c r="T377" s="250"/>
      <c r="V377" s="222"/>
      <c r="X377" s="222"/>
      <c r="Z377" s="250"/>
      <c r="AB377" s="222"/>
      <c r="AD377" s="222"/>
      <c r="AG377" s="250"/>
    </row>
    <row r="378" spans="1:33" s="280" customFormat="1" ht="15.5">
      <c r="A378" s="250"/>
      <c r="B378" s="250"/>
      <c r="C378" s="250"/>
      <c r="D378" s="250"/>
      <c r="E378" s="250"/>
      <c r="F378" s="250"/>
      <c r="H378" s="250"/>
      <c r="J378" s="222"/>
      <c r="L378" s="222"/>
      <c r="N378" s="250"/>
      <c r="P378" s="222"/>
      <c r="R378" s="222"/>
      <c r="T378" s="250"/>
      <c r="V378" s="222"/>
      <c r="X378" s="222"/>
      <c r="Z378" s="250"/>
      <c r="AB378" s="222"/>
      <c r="AD378" s="222"/>
      <c r="AG378" s="250"/>
    </row>
    <row r="379" spans="1:33" s="280" customFormat="1" ht="15.5">
      <c r="A379" s="250"/>
      <c r="B379" s="250"/>
      <c r="C379" s="250"/>
      <c r="D379" s="250"/>
      <c r="E379" s="250"/>
      <c r="F379" s="250"/>
      <c r="H379" s="250"/>
      <c r="J379" s="222"/>
      <c r="L379" s="222"/>
      <c r="N379" s="250"/>
      <c r="P379" s="222"/>
      <c r="R379" s="222"/>
      <c r="T379" s="250"/>
      <c r="V379" s="222"/>
      <c r="X379" s="222"/>
      <c r="Z379" s="250"/>
      <c r="AB379" s="222"/>
      <c r="AD379" s="222"/>
      <c r="AG379" s="250"/>
    </row>
    <row r="380" spans="1:33" s="280" customFormat="1" ht="15.5">
      <c r="A380" s="250"/>
      <c r="B380" s="250"/>
      <c r="C380" s="250"/>
      <c r="D380" s="250"/>
      <c r="E380" s="250"/>
      <c r="F380" s="250"/>
      <c r="H380" s="250"/>
      <c r="J380" s="222"/>
      <c r="L380" s="222"/>
      <c r="N380" s="250"/>
      <c r="P380" s="222"/>
      <c r="R380" s="222"/>
      <c r="T380" s="250"/>
      <c r="V380" s="222"/>
      <c r="X380" s="222"/>
      <c r="Z380" s="250"/>
      <c r="AB380" s="222"/>
      <c r="AD380" s="222"/>
      <c r="AG380" s="250"/>
    </row>
    <row r="381" spans="1:33" s="280" customFormat="1" ht="15.5">
      <c r="A381" s="250"/>
      <c r="B381" s="250"/>
      <c r="C381" s="250"/>
      <c r="D381" s="250"/>
      <c r="E381" s="250"/>
      <c r="F381" s="250"/>
      <c r="H381" s="250"/>
      <c r="J381" s="222"/>
      <c r="L381" s="222"/>
      <c r="N381" s="250"/>
      <c r="P381" s="222"/>
      <c r="R381" s="222"/>
      <c r="T381" s="250"/>
      <c r="V381" s="222"/>
      <c r="X381" s="222"/>
      <c r="Z381" s="250"/>
      <c r="AB381" s="222"/>
      <c r="AD381" s="222"/>
      <c r="AG381" s="250"/>
    </row>
    <row r="382" spans="1:33" s="280" customFormat="1" ht="15.5">
      <c r="A382" s="250"/>
      <c r="B382" s="250"/>
      <c r="C382" s="250"/>
      <c r="D382" s="250"/>
      <c r="E382" s="250"/>
      <c r="F382" s="250"/>
      <c r="H382" s="250"/>
      <c r="J382" s="222"/>
      <c r="L382" s="222"/>
      <c r="N382" s="250"/>
      <c r="P382" s="222"/>
      <c r="R382" s="222"/>
      <c r="T382" s="250"/>
      <c r="V382" s="222"/>
      <c r="X382" s="222"/>
      <c r="Z382" s="250"/>
      <c r="AB382" s="222"/>
      <c r="AD382" s="222"/>
      <c r="AG382" s="250"/>
    </row>
    <row r="383" spans="1:33" s="280" customFormat="1" ht="15.5">
      <c r="A383" s="250"/>
      <c r="B383" s="250"/>
      <c r="C383" s="250"/>
      <c r="D383" s="250"/>
      <c r="E383" s="250"/>
      <c r="F383" s="250"/>
      <c r="H383" s="250"/>
      <c r="J383" s="222"/>
      <c r="L383" s="222"/>
      <c r="N383" s="250"/>
      <c r="P383" s="222"/>
      <c r="R383" s="222"/>
      <c r="T383" s="250"/>
      <c r="V383" s="222"/>
      <c r="X383" s="222"/>
      <c r="Z383" s="250"/>
      <c r="AB383" s="222"/>
      <c r="AD383" s="222"/>
      <c r="AG383" s="250"/>
    </row>
    <row r="384" spans="1:33" s="280" customFormat="1" ht="15.5">
      <c r="A384" s="250"/>
      <c r="B384" s="250"/>
      <c r="C384" s="250"/>
      <c r="D384" s="250"/>
      <c r="E384" s="250"/>
      <c r="F384" s="250"/>
      <c r="H384" s="250"/>
      <c r="J384" s="222"/>
      <c r="L384" s="222"/>
      <c r="N384" s="250"/>
      <c r="P384" s="222"/>
      <c r="R384" s="222"/>
      <c r="T384" s="250"/>
      <c r="V384" s="222"/>
      <c r="X384" s="222"/>
      <c r="Z384" s="250"/>
      <c r="AB384" s="222"/>
      <c r="AD384" s="222"/>
      <c r="AG384" s="250"/>
    </row>
    <row r="385" spans="1:33" s="280" customFormat="1" ht="15.5">
      <c r="A385" s="250"/>
      <c r="B385" s="250"/>
      <c r="C385" s="250"/>
      <c r="D385" s="250"/>
      <c r="E385" s="250"/>
      <c r="F385" s="250"/>
      <c r="H385" s="250"/>
      <c r="J385" s="222"/>
      <c r="L385" s="222"/>
      <c r="N385" s="250"/>
      <c r="P385" s="222"/>
      <c r="R385" s="222"/>
      <c r="T385" s="250"/>
      <c r="V385" s="222"/>
      <c r="X385" s="222"/>
      <c r="Z385" s="250"/>
      <c r="AB385" s="222"/>
      <c r="AD385" s="222"/>
      <c r="AG385" s="250"/>
    </row>
    <row r="386" spans="1:33" s="280" customFormat="1" ht="15.5">
      <c r="A386" s="250"/>
      <c r="B386" s="250"/>
      <c r="C386" s="250"/>
      <c r="D386" s="250"/>
      <c r="E386" s="250"/>
      <c r="F386" s="250"/>
      <c r="H386" s="250"/>
      <c r="J386" s="222"/>
      <c r="L386" s="222"/>
      <c r="N386" s="250"/>
      <c r="P386" s="222"/>
      <c r="R386" s="222"/>
      <c r="T386" s="250"/>
      <c r="V386" s="222"/>
      <c r="X386" s="222"/>
      <c r="Z386" s="250"/>
      <c r="AB386" s="222"/>
      <c r="AD386" s="222"/>
      <c r="AG386" s="250"/>
    </row>
    <row r="387" spans="1:33" s="280" customFormat="1" ht="15.5">
      <c r="A387" s="250"/>
      <c r="B387" s="250"/>
      <c r="C387" s="250"/>
      <c r="D387" s="250"/>
      <c r="E387" s="250"/>
      <c r="F387" s="250"/>
      <c r="H387" s="250"/>
      <c r="J387" s="222"/>
      <c r="L387" s="222"/>
      <c r="N387" s="250"/>
      <c r="P387" s="222"/>
      <c r="R387" s="222"/>
      <c r="T387" s="250"/>
      <c r="V387" s="222"/>
      <c r="X387" s="222"/>
      <c r="Z387" s="250"/>
      <c r="AB387" s="222"/>
      <c r="AD387" s="222"/>
      <c r="AG387" s="250"/>
    </row>
    <row r="388" spans="1:33" s="280" customFormat="1" ht="15.5">
      <c r="A388" s="250"/>
      <c r="B388" s="250"/>
      <c r="C388" s="250"/>
      <c r="D388" s="250"/>
      <c r="E388" s="250"/>
      <c r="F388" s="250"/>
      <c r="H388" s="250"/>
      <c r="J388" s="222"/>
      <c r="L388" s="222"/>
      <c r="N388" s="250"/>
      <c r="P388" s="222"/>
      <c r="R388" s="222"/>
      <c r="T388" s="250"/>
      <c r="V388" s="222"/>
      <c r="X388" s="222"/>
      <c r="Z388" s="250"/>
      <c r="AB388" s="222"/>
      <c r="AD388" s="222"/>
      <c r="AG388" s="250"/>
    </row>
    <row r="389" spans="1:33" s="280" customFormat="1" ht="15.5">
      <c r="A389" s="250"/>
      <c r="B389" s="250"/>
      <c r="C389" s="250"/>
      <c r="D389" s="250"/>
      <c r="E389" s="250"/>
      <c r="F389" s="250"/>
      <c r="H389" s="250"/>
      <c r="J389" s="222"/>
      <c r="L389" s="222"/>
      <c r="N389" s="250"/>
      <c r="P389" s="222"/>
      <c r="R389" s="222"/>
      <c r="T389" s="250"/>
      <c r="V389" s="222"/>
      <c r="X389" s="222"/>
      <c r="Z389" s="250"/>
      <c r="AB389" s="222"/>
      <c r="AD389" s="222"/>
      <c r="AG389" s="250"/>
    </row>
    <row r="390" spans="1:33" s="280" customFormat="1" ht="15.5">
      <c r="A390" s="250"/>
      <c r="B390" s="250"/>
      <c r="C390" s="250"/>
      <c r="D390" s="250"/>
      <c r="E390" s="250"/>
      <c r="F390" s="250"/>
      <c r="H390" s="250"/>
      <c r="J390" s="222"/>
      <c r="L390" s="222"/>
      <c r="N390" s="250"/>
      <c r="P390" s="222"/>
      <c r="R390" s="222"/>
      <c r="T390" s="250"/>
      <c r="V390" s="222"/>
      <c r="X390" s="222"/>
      <c r="Z390" s="250"/>
      <c r="AB390" s="222"/>
      <c r="AD390" s="222"/>
      <c r="AG390" s="250"/>
    </row>
    <row r="391" spans="1:33" s="280" customFormat="1" ht="15.5">
      <c r="A391" s="250"/>
      <c r="B391" s="250"/>
      <c r="C391" s="250"/>
      <c r="D391" s="250"/>
      <c r="E391" s="250"/>
      <c r="F391" s="250"/>
      <c r="H391" s="250"/>
      <c r="J391" s="222"/>
      <c r="L391" s="222"/>
      <c r="N391" s="250"/>
      <c r="P391" s="222"/>
      <c r="R391" s="222"/>
      <c r="T391" s="250"/>
      <c r="V391" s="222"/>
      <c r="X391" s="222"/>
      <c r="Z391" s="250"/>
      <c r="AB391" s="222"/>
      <c r="AD391" s="222"/>
      <c r="AG391" s="250"/>
    </row>
    <row r="392" spans="1:33" s="280" customFormat="1" ht="15.5">
      <c r="A392" s="250"/>
      <c r="B392" s="250"/>
      <c r="C392" s="250"/>
      <c r="D392" s="250"/>
      <c r="E392" s="250"/>
      <c r="F392" s="250"/>
      <c r="H392" s="250"/>
      <c r="J392" s="222"/>
      <c r="L392" s="222"/>
      <c r="N392" s="250"/>
      <c r="P392" s="222"/>
      <c r="R392" s="222"/>
      <c r="T392" s="250"/>
      <c r="V392" s="222"/>
      <c r="X392" s="222"/>
      <c r="Z392" s="250"/>
      <c r="AB392" s="222"/>
      <c r="AD392" s="222"/>
      <c r="AG392" s="250"/>
    </row>
    <row r="393" spans="1:33" s="280" customFormat="1" ht="15.5">
      <c r="A393" s="250"/>
      <c r="B393" s="250"/>
      <c r="C393" s="250"/>
      <c r="D393" s="250"/>
      <c r="E393" s="250"/>
      <c r="F393" s="250"/>
      <c r="H393" s="250"/>
      <c r="J393" s="222"/>
      <c r="L393" s="222"/>
      <c r="N393" s="250"/>
      <c r="P393" s="222"/>
      <c r="R393" s="222"/>
      <c r="T393" s="250"/>
      <c r="V393" s="222"/>
      <c r="X393" s="222"/>
      <c r="Z393" s="250"/>
      <c r="AB393" s="222"/>
      <c r="AD393" s="222"/>
      <c r="AG393" s="250"/>
    </row>
    <row r="394" spans="1:33" s="280" customFormat="1" ht="15.5">
      <c r="A394" s="250"/>
      <c r="B394" s="250"/>
      <c r="C394" s="250"/>
      <c r="D394" s="250"/>
      <c r="E394" s="250"/>
      <c r="F394" s="250"/>
      <c r="H394" s="250"/>
      <c r="J394" s="222"/>
      <c r="L394" s="222"/>
      <c r="N394" s="250"/>
      <c r="P394" s="222"/>
      <c r="R394" s="222"/>
      <c r="T394" s="250"/>
      <c r="V394" s="222"/>
      <c r="X394" s="222"/>
      <c r="Z394" s="250"/>
      <c r="AB394" s="222"/>
      <c r="AD394" s="222"/>
      <c r="AG394" s="250"/>
    </row>
    <row r="395" spans="1:33" s="280" customFormat="1" ht="15.5">
      <c r="A395" s="250"/>
      <c r="B395" s="250"/>
      <c r="C395" s="250"/>
      <c r="D395" s="250"/>
      <c r="E395" s="250"/>
      <c r="F395" s="250"/>
      <c r="H395" s="250"/>
      <c r="J395" s="222"/>
      <c r="L395" s="222"/>
      <c r="N395" s="250"/>
      <c r="P395" s="222"/>
      <c r="R395" s="222"/>
      <c r="T395" s="250"/>
      <c r="V395" s="222"/>
      <c r="X395" s="222"/>
      <c r="Z395" s="250"/>
      <c r="AB395" s="222"/>
      <c r="AD395" s="222"/>
      <c r="AG395" s="250"/>
    </row>
    <row r="396" spans="1:33" s="280" customFormat="1" ht="15.5">
      <c r="A396" s="250"/>
      <c r="B396" s="250"/>
      <c r="C396" s="250"/>
      <c r="D396" s="250"/>
      <c r="E396" s="250"/>
      <c r="F396" s="250"/>
      <c r="H396" s="250"/>
      <c r="J396" s="222"/>
      <c r="L396" s="222"/>
      <c r="N396" s="250"/>
      <c r="P396" s="222"/>
      <c r="R396" s="222"/>
      <c r="T396" s="250"/>
      <c r="V396" s="222"/>
      <c r="X396" s="222"/>
      <c r="Z396" s="250"/>
      <c r="AB396" s="222"/>
      <c r="AD396" s="222"/>
      <c r="AG396" s="250"/>
    </row>
    <row r="397" spans="1:33" s="280" customFormat="1" ht="15.5">
      <c r="A397" s="250"/>
      <c r="B397" s="250"/>
      <c r="C397" s="250"/>
      <c r="D397" s="250"/>
      <c r="E397" s="250"/>
      <c r="F397" s="250"/>
      <c r="H397" s="250"/>
      <c r="J397" s="222"/>
      <c r="L397" s="222"/>
      <c r="N397" s="250"/>
      <c r="P397" s="222"/>
      <c r="R397" s="222"/>
      <c r="T397" s="250"/>
      <c r="V397" s="222"/>
      <c r="X397" s="222"/>
      <c r="Z397" s="250"/>
      <c r="AB397" s="222"/>
      <c r="AD397" s="222"/>
      <c r="AG397" s="250"/>
    </row>
    <row r="398" spans="1:33" s="280" customFormat="1" ht="15.5">
      <c r="A398" s="250"/>
      <c r="B398" s="250"/>
      <c r="C398" s="250"/>
      <c r="D398" s="250"/>
      <c r="E398" s="250"/>
      <c r="F398" s="250"/>
      <c r="H398" s="250"/>
      <c r="J398" s="222"/>
      <c r="L398" s="222"/>
      <c r="N398" s="250"/>
      <c r="P398" s="222"/>
      <c r="R398" s="222"/>
      <c r="T398" s="250"/>
      <c r="V398" s="222"/>
      <c r="X398" s="222"/>
      <c r="Z398" s="250"/>
      <c r="AB398" s="222"/>
      <c r="AD398" s="222"/>
      <c r="AG398" s="250"/>
    </row>
    <row r="399" spans="1:33" s="280" customFormat="1" ht="15.5">
      <c r="A399" s="250"/>
      <c r="B399" s="250"/>
      <c r="C399" s="250"/>
      <c r="D399" s="250"/>
      <c r="E399" s="250"/>
      <c r="F399" s="250"/>
      <c r="H399" s="250"/>
      <c r="J399" s="222"/>
      <c r="L399" s="222"/>
      <c r="N399" s="250"/>
      <c r="P399" s="222"/>
      <c r="R399" s="222"/>
      <c r="T399" s="250"/>
      <c r="V399" s="222"/>
      <c r="X399" s="222"/>
      <c r="Z399" s="250"/>
      <c r="AB399" s="222"/>
      <c r="AD399" s="222"/>
      <c r="AG399" s="250"/>
    </row>
    <row r="400" spans="1:33" s="280" customFormat="1" ht="15.5">
      <c r="A400" s="250"/>
      <c r="B400" s="250"/>
      <c r="C400" s="250"/>
      <c r="D400" s="250"/>
      <c r="E400" s="250"/>
      <c r="F400" s="250"/>
      <c r="H400" s="250"/>
      <c r="J400" s="222"/>
      <c r="L400" s="222"/>
      <c r="N400" s="250"/>
      <c r="P400" s="222"/>
      <c r="R400" s="222"/>
      <c r="T400" s="250"/>
      <c r="V400" s="222"/>
      <c r="X400" s="222"/>
      <c r="Z400" s="250"/>
      <c r="AB400" s="222"/>
      <c r="AD400" s="222"/>
      <c r="AG400" s="250"/>
    </row>
    <row r="401" spans="1:33" s="280" customFormat="1" ht="15.5">
      <c r="A401" s="250"/>
      <c r="B401" s="250"/>
      <c r="C401" s="250"/>
      <c r="D401" s="250"/>
      <c r="E401" s="250"/>
      <c r="F401" s="250"/>
      <c r="H401" s="250"/>
      <c r="J401" s="222"/>
      <c r="L401" s="222"/>
      <c r="N401" s="250"/>
      <c r="P401" s="222"/>
      <c r="R401" s="222"/>
      <c r="T401" s="250"/>
      <c r="V401" s="222"/>
      <c r="X401" s="222"/>
      <c r="Z401" s="250"/>
      <c r="AB401" s="222"/>
      <c r="AD401" s="222"/>
      <c r="AG401" s="250"/>
    </row>
    <row r="402" spans="1:33" s="280" customFormat="1" ht="15.5">
      <c r="A402" s="250"/>
      <c r="B402" s="250"/>
      <c r="C402" s="250"/>
      <c r="D402" s="250"/>
      <c r="E402" s="250"/>
      <c r="F402" s="250"/>
      <c r="H402" s="250"/>
      <c r="J402" s="222"/>
      <c r="L402" s="222"/>
      <c r="N402" s="250"/>
      <c r="P402" s="222"/>
      <c r="R402" s="222"/>
      <c r="T402" s="250"/>
      <c r="V402" s="222"/>
      <c r="X402" s="222"/>
      <c r="Z402" s="250"/>
      <c r="AB402" s="222"/>
      <c r="AD402" s="222"/>
      <c r="AG402" s="250"/>
    </row>
    <row r="403" spans="1:33" s="280" customFormat="1" ht="15.5">
      <c r="A403" s="250"/>
      <c r="B403" s="250"/>
      <c r="C403" s="250"/>
      <c r="D403" s="250"/>
      <c r="E403" s="250"/>
      <c r="F403" s="250"/>
      <c r="H403" s="250"/>
      <c r="J403" s="222"/>
      <c r="L403" s="222"/>
      <c r="N403" s="250"/>
      <c r="P403" s="222"/>
      <c r="R403" s="222"/>
      <c r="T403" s="250"/>
      <c r="V403" s="222"/>
      <c r="X403" s="222"/>
      <c r="Z403" s="250"/>
      <c r="AB403" s="222"/>
      <c r="AD403" s="222"/>
      <c r="AG403" s="250"/>
    </row>
    <row r="404" spans="1:33" s="280" customFormat="1" ht="15.5">
      <c r="A404" s="250"/>
      <c r="B404" s="250"/>
      <c r="C404" s="250"/>
      <c r="D404" s="250"/>
      <c r="E404" s="250"/>
      <c r="F404" s="250"/>
      <c r="H404" s="250"/>
      <c r="J404" s="222"/>
      <c r="L404" s="222"/>
      <c r="N404" s="250"/>
      <c r="P404" s="222"/>
      <c r="R404" s="222"/>
      <c r="T404" s="250"/>
      <c r="V404" s="222"/>
      <c r="X404" s="222"/>
      <c r="Z404" s="250"/>
      <c r="AB404" s="222"/>
      <c r="AD404" s="222"/>
      <c r="AG404" s="250"/>
    </row>
    <row r="405" spans="1:33" s="280" customFormat="1" ht="15.5">
      <c r="A405" s="250"/>
      <c r="B405" s="250"/>
      <c r="C405" s="250"/>
      <c r="D405" s="250"/>
      <c r="E405" s="250"/>
      <c r="F405" s="250"/>
      <c r="H405" s="250"/>
      <c r="J405" s="222"/>
      <c r="L405" s="222"/>
      <c r="N405" s="250"/>
      <c r="P405" s="222"/>
      <c r="R405" s="222"/>
      <c r="T405" s="250"/>
      <c r="V405" s="222"/>
      <c r="X405" s="222"/>
      <c r="Z405" s="250"/>
      <c r="AB405" s="222"/>
      <c r="AD405" s="222"/>
      <c r="AG405" s="250"/>
    </row>
    <row r="406" spans="1:33" s="280" customFormat="1" ht="15.5">
      <c r="A406" s="250"/>
      <c r="B406" s="250"/>
      <c r="C406" s="250"/>
      <c r="D406" s="250"/>
      <c r="E406" s="250"/>
      <c r="F406" s="250"/>
      <c r="H406" s="250"/>
      <c r="J406" s="222"/>
      <c r="L406" s="222"/>
      <c r="N406" s="250"/>
      <c r="P406" s="222"/>
      <c r="R406" s="222"/>
      <c r="T406" s="250"/>
      <c r="V406" s="222"/>
      <c r="X406" s="222"/>
      <c r="Z406" s="250"/>
      <c r="AB406" s="222"/>
      <c r="AD406" s="222"/>
      <c r="AG406" s="250"/>
    </row>
    <row r="407" spans="1:33" s="280" customFormat="1" ht="15.5">
      <c r="A407" s="250"/>
      <c r="B407" s="250"/>
      <c r="C407" s="250"/>
      <c r="D407" s="250"/>
      <c r="E407" s="250"/>
      <c r="F407" s="250"/>
      <c r="H407" s="250"/>
      <c r="J407" s="222"/>
      <c r="L407" s="222"/>
      <c r="N407" s="250"/>
      <c r="P407" s="222"/>
      <c r="R407" s="222"/>
      <c r="T407" s="250"/>
      <c r="V407" s="222"/>
      <c r="X407" s="222"/>
      <c r="Z407" s="250"/>
      <c r="AB407" s="222"/>
      <c r="AD407" s="222"/>
      <c r="AG407" s="250"/>
    </row>
    <row r="408" spans="1:33" s="280" customFormat="1" ht="15.5">
      <c r="A408" s="250"/>
      <c r="B408" s="250"/>
      <c r="C408" s="250"/>
      <c r="D408" s="250"/>
      <c r="E408" s="250"/>
      <c r="F408" s="250"/>
      <c r="H408" s="250"/>
      <c r="J408" s="222"/>
      <c r="L408" s="222"/>
      <c r="N408" s="250"/>
      <c r="P408" s="222"/>
      <c r="R408" s="222"/>
      <c r="T408" s="250"/>
      <c r="V408" s="222"/>
      <c r="X408" s="222"/>
      <c r="Z408" s="250"/>
      <c r="AB408" s="222"/>
      <c r="AD408" s="222"/>
      <c r="AG408" s="250"/>
    </row>
    <row r="409" spans="1:33" s="280" customFormat="1" ht="15.5">
      <c r="A409" s="250"/>
      <c r="B409" s="250"/>
      <c r="C409" s="250"/>
      <c r="D409" s="250"/>
      <c r="E409" s="250"/>
      <c r="F409" s="250"/>
      <c r="H409" s="250"/>
      <c r="J409" s="222"/>
      <c r="L409" s="222"/>
      <c r="N409" s="250"/>
      <c r="P409" s="222"/>
      <c r="R409" s="222"/>
      <c r="T409" s="250"/>
      <c r="V409" s="222"/>
      <c r="X409" s="222"/>
      <c r="Z409" s="250"/>
      <c r="AB409" s="222"/>
      <c r="AD409" s="222"/>
      <c r="AG409" s="250"/>
    </row>
    <row r="410" spans="1:33" s="280" customFormat="1" ht="15.5">
      <c r="A410" s="250"/>
      <c r="B410" s="250"/>
      <c r="C410" s="250"/>
      <c r="D410" s="250"/>
      <c r="E410" s="250"/>
      <c r="F410" s="250"/>
      <c r="H410" s="250"/>
      <c r="J410" s="222"/>
      <c r="L410" s="222"/>
      <c r="N410" s="250"/>
      <c r="P410" s="222"/>
      <c r="R410" s="222"/>
      <c r="T410" s="250"/>
      <c r="V410" s="222"/>
      <c r="X410" s="222"/>
      <c r="Z410" s="250"/>
      <c r="AB410" s="222"/>
      <c r="AD410" s="222"/>
      <c r="AG410" s="250"/>
    </row>
    <row r="411" spans="1:33" s="280" customFormat="1" ht="15.5">
      <c r="A411" s="250"/>
      <c r="B411" s="250"/>
      <c r="C411" s="250"/>
      <c r="D411" s="250"/>
      <c r="E411" s="250"/>
      <c r="F411" s="250"/>
      <c r="H411" s="250"/>
      <c r="J411" s="222"/>
      <c r="L411" s="222"/>
      <c r="N411" s="250"/>
      <c r="P411" s="222"/>
      <c r="R411" s="222"/>
      <c r="T411" s="250"/>
      <c r="V411" s="222"/>
      <c r="X411" s="222"/>
      <c r="Z411" s="250"/>
      <c r="AB411" s="222"/>
      <c r="AD411" s="222"/>
      <c r="AG411" s="250"/>
    </row>
    <row r="412" spans="1:33" s="280" customFormat="1" ht="15.5">
      <c r="A412" s="250"/>
      <c r="B412" s="250"/>
      <c r="C412" s="250"/>
      <c r="D412" s="250"/>
      <c r="E412" s="250"/>
      <c r="F412" s="250"/>
      <c r="H412" s="250"/>
      <c r="J412" s="222"/>
      <c r="L412" s="222"/>
      <c r="N412" s="250"/>
      <c r="P412" s="222"/>
      <c r="R412" s="222"/>
      <c r="T412" s="250"/>
      <c r="V412" s="222"/>
      <c r="X412" s="222"/>
      <c r="Z412" s="250"/>
      <c r="AB412" s="222"/>
      <c r="AD412" s="222"/>
      <c r="AG412" s="250"/>
    </row>
    <row r="413" spans="1:33" s="280" customFormat="1" ht="15.5">
      <c r="A413" s="250"/>
      <c r="B413" s="250"/>
      <c r="C413" s="250"/>
      <c r="D413" s="250"/>
      <c r="E413" s="250"/>
      <c r="F413" s="250"/>
      <c r="H413" s="250"/>
      <c r="J413" s="222"/>
      <c r="L413" s="222"/>
      <c r="N413" s="250"/>
      <c r="P413" s="222"/>
      <c r="R413" s="222"/>
      <c r="T413" s="250"/>
      <c r="V413" s="222"/>
      <c r="X413" s="222"/>
      <c r="Z413" s="250"/>
      <c r="AB413" s="222"/>
      <c r="AD413" s="222"/>
      <c r="AG413" s="250"/>
    </row>
    <row r="414" spans="1:33" s="280" customFormat="1" ht="15.5">
      <c r="A414" s="250"/>
      <c r="B414" s="250"/>
      <c r="C414" s="250"/>
      <c r="D414" s="250"/>
      <c r="E414" s="250"/>
      <c r="F414" s="250"/>
      <c r="H414" s="250"/>
      <c r="J414" s="222"/>
      <c r="L414" s="222"/>
      <c r="N414" s="250"/>
      <c r="P414" s="222"/>
      <c r="R414" s="222"/>
      <c r="T414" s="250"/>
      <c r="V414" s="222"/>
      <c r="X414" s="222"/>
      <c r="Z414" s="250"/>
      <c r="AB414" s="222"/>
      <c r="AD414" s="222"/>
      <c r="AG414" s="250"/>
    </row>
    <row r="415" spans="1:33" s="280" customFormat="1" ht="15.5">
      <c r="A415" s="250"/>
      <c r="B415" s="250"/>
      <c r="C415" s="250"/>
      <c r="D415" s="250"/>
      <c r="E415" s="250"/>
      <c r="F415" s="250"/>
      <c r="H415" s="250"/>
      <c r="J415" s="222"/>
      <c r="L415" s="222"/>
      <c r="N415" s="250"/>
      <c r="P415" s="222"/>
      <c r="R415" s="222"/>
      <c r="T415" s="250"/>
      <c r="V415" s="222"/>
      <c r="X415" s="222"/>
      <c r="Z415" s="250"/>
      <c r="AB415" s="222"/>
      <c r="AD415" s="222"/>
      <c r="AG415" s="250"/>
    </row>
    <row r="416" spans="1:33" s="280" customFormat="1" ht="15.5">
      <c r="A416" s="250"/>
      <c r="B416" s="250"/>
      <c r="C416" s="250"/>
      <c r="D416" s="250"/>
      <c r="E416" s="250"/>
      <c r="F416" s="250"/>
      <c r="H416" s="250"/>
      <c r="J416" s="222"/>
      <c r="L416" s="222"/>
      <c r="N416" s="250"/>
      <c r="P416" s="222"/>
      <c r="R416" s="222"/>
      <c r="T416" s="250"/>
      <c r="V416" s="222"/>
      <c r="X416" s="222"/>
      <c r="Z416" s="250"/>
      <c r="AB416" s="222"/>
      <c r="AD416" s="222"/>
      <c r="AG416" s="250"/>
    </row>
    <row r="417" spans="1:33" s="280" customFormat="1" ht="15.5">
      <c r="A417" s="250"/>
      <c r="B417" s="250"/>
      <c r="C417" s="250"/>
      <c r="D417" s="250"/>
      <c r="E417" s="250"/>
      <c r="F417" s="250"/>
      <c r="H417" s="250"/>
      <c r="J417" s="222"/>
      <c r="L417" s="222"/>
      <c r="N417" s="250"/>
      <c r="P417" s="222"/>
      <c r="R417" s="222"/>
      <c r="T417" s="250"/>
      <c r="V417" s="222"/>
      <c r="X417" s="222"/>
      <c r="Z417" s="250"/>
      <c r="AB417" s="222"/>
      <c r="AD417" s="222"/>
      <c r="AG417" s="250"/>
    </row>
    <row r="418" spans="1:33" s="280" customFormat="1" ht="15.5">
      <c r="A418" s="250"/>
      <c r="B418" s="250"/>
      <c r="C418" s="250"/>
      <c r="D418" s="250"/>
      <c r="E418" s="250"/>
      <c r="F418" s="250"/>
      <c r="H418" s="250"/>
      <c r="J418" s="222"/>
      <c r="L418" s="222"/>
      <c r="N418" s="250"/>
      <c r="P418" s="222"/>
      <c r="R418" s="222"/>
      <c r="T418" s="250"/>
      <c r="V418" s="222"/>
      <c r="X418" s="222"/>
      <c r="Z418" s="250"/>
      <c r="AB418" s="222"/>
      <c r="AD418" s="222"/>
      <c r="AG418" s="250"/>
    </row>
    <row r="419" spans="1:33" s="280" customFormat="1" ht="15.5">
      <c r="A419" s="250"/>
      <c r="B419" s="250"/>
      <c r="C419" s="250"/>
      <c r="D419" s="250"/>
      <c r="E419" s="250"/>
      <c r="F419" s="250"/>
      <c r="H419" s="250"/>
      <c r="J419" s="222"/>
      <c r="L419" s="222"/>
      <c r="N419" s="250"/>
      <c r="P419" s="222"/>
      <c r="R419" s="222"/>
      <c r="T419" s="250"/>
      <c r="V419" s="222"/>
      <c r="X419" s="222"/>
      <c r="Z419" s="250"/>
      <c r="AB419" s="222"/>
      <c r="AD419" s="222"/>
      <c r="AG419" s="250"/>
    </row>
    <row r="420" spans="1:33" s="280" customFormat="1" ht="15.5">
      <c r="A420" s="250"/>
      <c r="B420" s="250"/>
      <c r="C420" s="250"/>
      <c r="D420" s="250"/>
      <c r="E420" s="250"/>
      <c r="F420" s="250"/>
      <c r="H420" s="250"/>
      <c r="J420" s="222"/>
      <c r="L420" s="222"/>
      <c r="N420" s="250"/>
      <c r="P420" s="222"/>
      <c r="R420" s="222"/>
      <c r="T420" s="250"/>
      <c r="V420" s="222"/>
      <c r="X420" s="222"/>
      <c r="Z420" s="250"/>
      <c r="AB420" s="222"/>
      <c r="AD420" s="222"/>
      <c r="AG420" s="250"/>
    </row>
    <row r="421" spans="1:33" s="280" customFormat="1" ht="15.5">
      <c r="A421" s="250"/>
      <c r="B421" s="250"/>
      <c r="C421" s="250"/>
      <c r="D421" s="250"/>
      <c r="E421" s="250"/>
      <c r="F421" s="250"/>
      <c r="H421" s="250"/>
      <c r="J421" s="222"/>
      <c r="L421" s="222"/>
      <c r="N421" s="250"/>
      <c r="P421" s="222"/>
      <c r="R421" s="222"/>
      <c r="T421" s="250"/>
      <c r="V421" s="222"/>
      <c r="X421" s="222"/>
      <c r="Z421" s="250"/>
      <c r="AB421" s="222"/>
      <c r="AD421" s="222"/>
      <c r="AG421" s="250"/>
    </row>
    <row r="422" spans="1:33" s="280" customFormat="1" ht="15.5">
      <c r="A422" s="250"/>
      <c r="B422" s="250"/>
      <c r="C422" s="250"/>
      <c r="D422" s="250"/>
      <c r="E422" s="250"/>
      <c r="F422" s="250"/>
      <c r="H422" s="250"/>
      <c r="J422" s="222"/>
      <c r="L422" s="222"/>
      <c r="N422" s="250"/>
      <c r="P422" s="222"/>
      <c r="R422" s="222"/>
      <c r="T422" s="250"/>
      <c r="V422" s="222"/>
      <c r="X422" s="222"/>
      <c r="Z422" s="250"/>
      <c r="AB422" s="222"/>
      <c r="AD422" s="222"/>
      <c r="AG422" s="250"/>
    </row>
    <row r="423" spans="1:33" s="280" customFormat="1" ht="15.5">
      <c r="A423" s="250"/>
      <c r="B423" s="250"/>
      <c r="C423" s="250"/>
      <c r="D423" s="250"/>
      <c r="E423" s="250"/>
      <c r="F423" s="250"/>
      <c r="H423" s="250"/>
      <c r="J423" s="222"/>
      <c r="L423" s="222"/>
      <c r="N423" s="250"/>
      <c r="P423" s="222"/>
      <c r="R423" s="222"/>
      <c r="T423" s="250"/>
      <c r="V423" s="222"/>
      <c r="X423" s="222"/>
      <c r="Z423" s="250"/>
      <c r="AB423" s="222"/>
      <c r="AD423" s="222"/>
      <c r="AG423" s="250"/>
    </row>
    <row r="424" spans="1:33" s="280" customFormat="1" ht="15.5">
      <c r="A424" s="250"/>
      <c r="B424" s="250"/>
      <c r="C424" s="250"/>
      <c r="D424" s="250"/>
      <c r="E424" s="250"/>
      <c r="F424" s="250"/>
      <c r="H424" s="250"/>
      <c r="J424" s="222"/>
      <c r="L424" s="222"/>
      <c r="N424" s="250"/>
      <c r="P424" s="222"/>
      <c r="R424" s="222"/>
      <c r="T424" s="250"/>
      <c r="V424" s="222"/>
      <c r="X424" s="222"/>
      <c r="Z424" s="250"/>
      <c r="AB424" s="222"/>
      <c r="AD424" s="222"/>
      <c r="AG424" s="250"/>
    </row>
    <row r="425" spans="1:33" s="280" customFormat="1" ht="15.5">
      <c r="A425" s="250"/>
      <c r="B425" s="250"/>
      <c r="C425" s="250"/>
      <c r="D425" s="250"/>
      <c r="E425" s="250"/>
      <c r="F425" s="250"/>
      <c r="H425" s="250"/>
      <c r="J425" s="222"/>
      <c r="L425" s="222"/>
      <c r="N425" s="250"/>
      <c r="P425" s="222"/>
      <c r="R425" s="222"/>
      <c r="T425" s="250"/>
      <c r="V425" s="222"/>
      <c r="X425" s="222"/>
      <c r="Z425" s="250"/>
      <c r="AB425" s="222"/>
      <c r="AD425" s="222"/>
      <c r="AG425" s="250"/>
    </row>
    <row r="426" spans="1:33" s="280" customFormat="1" ht="15.5">
      <c r="A426" s="250"/>
      <c r="B426" s="250"/>
      <c r="C426" s="250"/>
      <c r="D426" s="250"/>
      <c r="E426" s="250"/>
      <c r="F426" s="250"/>
      <c r="H426" s="250"/>
      <c r="J426" s="222"/>
      <c r="L426" s="222"/>
      <c r="N426" s="250"/>
      <c r="P426" s="222"/>
      <c r="R426" s="222"/>
      <c r="T426" s="250"/>
      <c r="V426" s="222"/>
      <c r="X426" s="222"/>
      <c r="Z426" s="250"/>
      <c r="AB426" s="222"/>
      <c r="AD426" s="222"/>
      <c r="AG426" s="250"/>
    </row>
    <row r="427" spans="1:33" s="280" customFormat="1" ht="15.5">
      <c r="A427" s="250"/>
      <c r="B427" s="250"/>
      <c r="C427" s="250"/>
      <c r="D427" s="250"/>
      <c r="E427" s="250"/>
      <c r="F427" s="250"/>
      <c r="H427" s="250"/>
      <c r="J427" s="222"/>
      <c r="L427" s="222"/>
      <c r="N427" s="250"/>
      <c r="P427" s="222"/>
      <c r="R427" s="222"/>
      <c r="T427" s="250"/>
      <c r="V427" s="222"/>
      <c r="X427" s="222"/>
      <c r="Z427" s="250"/>
      <c r="AB427" s="222"/>
      <c r="AD427" s="222"/>
      <c r="AG427" s="250"/>
    </row>
    <row r="428" spans="1:33" s="280" customFormat="1" ht="15.5">
      <c r="A428" s="250"/>
      <c r="B428" s="250"/>
      <c r="C428" s="250"/>
      <c r="D428" s="250"/>
      <c r="E428" s="250"/>
      <c r="F428" s="250"/>
      <c r="H428" s="250"/>
      <c r="J428" s="222"/>
      <c r="L428" s="222"/>
      <c r="N428" s="250"/>
      <c r="P428" s="222"/>
      <c r="R428" s="222"/>
      <c r="T428" s="250"/>
      <c r="V428" s="222"/>
      <c r="X428" s="222"/>
      <c r="Z428" s="250"/>
      <c r="AB428" s="222"/>
      <c r="AD428" s="222"/>
      <c r="AG428" s="250"/>
    </row>
    <row r="429" spans="1:33" s="280" customFormat="1" ht="15.5">
      <c r="A429" s="250"/>
      <c r="B429" s="250"/>
      <c r="C429" s="250"/>
      <c r="D429" s="250"/>
      <c r="E429" s="250"/>
      <c r="F429" s="250"/>
      <c r="H429" s="250"/>
      <c r="J429" s="222"/>
      <c r="L429" s="222"/>
      <c r="N429" s="250"/>
      <c r="P429" s="222"/>
      <c r="R429" s="222"/>
      <c r="T429" s="250"/>
      <c r="V429" s="222"/>
      <c r="X429" s="222"/>
      <c r="Z429" s="250"/>
      <c r="AB429" s="222"/>
      <c r="AD429" s="222"/>
      <c r="AG429" s="250"/>
    </row>
    <row r="430" spans="1:33" s="280" customFormat="1" ht="15.5">
      <c r="A430" s="250"/>
      <c r="B430" s="250"/>
      <c r="C430" s="250"/>
      <c r="D430" s="250"/>
      <c r="E430" s="250"/>
      <c r="F430" s="250"/>
      <c r="H430" s="250"/>
      <c r="J430" s="222"/>
      <c r="L430" s="222"/>
      <c r="N430" s="250"/>
      <c r="P430" s="222"/>
      <c r="R430" s="222"/>
      <c r="T430" s="250"/>
      <c r="V430" s="222"/>
      <c r="X430" s="222"/>
      <c r="Z430" s="250"/>
      <c r="AB430" s="222"/>
      <c r="AD430" s="222"/>
      <c r="AG430" s="250"/>
    </row>
    <row r="431" spans="1:33" s="280" customFormat="1" ht="15.5">
      <c r="A431" s="250"/>
      <c r="B431" s="250"/>
      <c r="C431" s="250"/>
      <c r="D431" s="250"/>
      <c r="E431" s="250"/>
      <c r="F431" s="250"/>
      <c r="H431" s="250"/>
      <c r="J431" s="222"/>
      <c r="L431" s="222"/>
      <c r="N431" s="250"/>
      <c r="P431" s="222"/>
      <c r="R431" s="222"/>
      <c r="T431" s="250"/>
      <c r="V431" s="222"/>
      <c r="X431" s="222"/>
      <c r="Z431" s="250"/>
      <c r="AB431" s="222"/>
      <c r="AD431" s="222"/>
      <c r="AG431" s="250"/>
    </row>
    <row r="432" spans="1:33" s="280" customFormat="1" ht="15.5">
      <c r="A432" s="250"/>
      <c r="B432" s="250"/>
      <c r="C432" s="250"/>
      <c r="D432" s="250"/>
      <c r="E432" s="250"/>
      <c r="F432" s="250"/>
      <c r="H432" s="250"/>
      <c r="J432" s="222"/>
      <c r="L432" s="222"/>
      <c r="N432" s="250"/>
      <c r="P432" s="222"/>
      <c r="R432" s="222"/>
      <c r="T432" s="250"/>
      <c r="V432" s="222"/>
      <c r="X432" s="222"/>
      <c r="Z432" s="250"/>
      <c r="AB432" s="222"/>
      <c r="AD432" s="222"/>
      <c r="AG432" s="250"/>
    </row>
    <row r="433" spans="1:33" s="280" customFormat="1" ht="15.5">
      <c r="A433" s="250"/>
      <c r="B433" s="250"/>
      <c r="C433" s="250"/>
      <c r="D433" s="250"/>
      <c r="E433" s="250"/>
      <c r="F433" s="250"/>
      <c r="H433" s="250"/>
      <c r="J433" s="222"/>
      <c r="L433" s="222"/>
      <c r="N433" s="250"/>
      <c r="P433" s="222"/>
      <c r="R433" s="222"/>
      <c r="T433" s="250"/>
      <c r="V433" s="222"/>
      <c r="X433" s="222"/>
      <c r="Z433" s="250"/>
      <c r="AB433" s="222"/>
      <c r="AD433" s="222"/>
      <c r="AG433" s="250"/>
    </row>
    <row r="434" spans="1:33" s="280" customFormat="1" ht="15.5">
      <c r="A434" s="250"/>
      <c r="B434" s="250"/>
      <c r="C434" s="250"/>
      <c r="D434" s="250"/>
      <c r="E434" s="250"/>
      <c r="F434" s="250"/>
      <c r="H434" s="250"/>
      <c r="J434" s="222"/>
      <c r="L434" s="222"/>
      <c r="N434" s="250"/>
      <c r="P434" s="222"/>
      <c r="R434" s="222"/>
      <c r="T434" s="250"/>
      <c r="V434" s="222"/>
      <c r="X434" s="222"/>
      <c r="Z434" s="250"/>
      <c r="AB434" s="222"/>
      <c r="AD434" s="222"/>
      <c r="AG434" s="250"/>
    </row>
    <row r="435" spans="1:33" s="280" customFormat="1" ht="15.5">
      <c r="A435" s="250"/>
      <c r="B435" s="250"/>
      <c r="C435" s="250"/>
      <c r="D435" s="250"/>
      <c r="E435" s="250"/>
      <c r="F435" s="250"/>
      <c r="H435" s="250"/>
      <c r="J435" s="222"/>
      <c r="L435" s="222"/>
      <c r="N435" s="250"/>
      <c r="P435" s="222"/>
      <c r="R435" s="222"/>
      <c r="T435" s="250"/>
      <c r="V435" s="222"/>
      <c r="X435" s="222"/>
      <c r="Z435" s="250"/>
      <c r="AB435" s="222"/>
      <c r="AD435" s="222"/>
      <c r="AG435" s="250"/>
    </row>
    <row r="436" spans="1:33" s="280" customFormat="1" ht="15.5">
      <c r="A436" s="250"/>
      <c r="B436" s="250"/>
      <c r="C436" s="250"/>
      <c r="D436" s="250"/>
      <c r="E436" s="250"/>
      <c r="F436" s="250"/>
      <c r="H436" s="250"/>
      <c r="J436" s="222"/>
      <c r="L436" s="222"/>
      <c r="N436" s="250"/>
      <c r="P436" s="222"/>
      <c r="R436" s="222"/>
      <c r="T436" s="250"/>
      <c r="V436" s="222"/>
      <c r="X436" s="222"/>
      <c r="Z436" s="250"/>
      <c r="AB436" s="222"/>
      <c r="AD436" s="222"/>
      <c r="AG436" s="250"/>
    </row>
    <row r="437" spans="1:33" s="280" customFormat="1" ht="15.5">
      <c r="A437" s="250"/>
      <c r="B437" s="250"/>
      <c r="C437" s="250"/>
      <c r="D437" s="250"/>
      <c r="E437" s="250"/>
      <c r="F437" s="250"/>
      <c r="H437" s="250"/>
      <c r="J437" s="222"/>
      <c r="L437" s="222"/>
      <c r="N437" s="250"/>
      <c r="P437" s="222"/>
      <c r="R437" s="222"/>
      <c r="T437" s="250"/>
      <c r="V437" s="222"/>
      <c r="X437" s="222"/>
      <c r="Z437" s="250"/>
      <c r="AB437" s="222"/>
      <c r="AD437" s="222"/>
      <c r="AG437" s="250"/>
    </row>
    <row r="438" spans="1:33" s="280" customFormat="1" ht="15.5">
      <c r="A438" s="250"/>
      <c r="B438" s="250"/>
      <c r="C438" s="250"/>
      <c r="D438" s="250"/>
      <c r="E438" s="250"/>
      <c r="F438" s="250"/>
      <c r="H438" s="250"/>
      <c r="J438" s="222"/>
      <c r="L438" s="222"/>
      <c r="N438" s="250"/>
      <c r="P438" s="222"/>
      <c r="R438" s="222"/>
      <c r="T438" s="250"/>
      <c r="V438" s="222"/>
      <c r="X438" s="222"/>
      <c r="Z438" s="250"/>
      <c r="AB438" s="222"/>
      <c r="AD438" s="222"/>
      <c r="AG438" s="250"/>
    </row>
    <row r="439" spans="1:33" s="280" customFormat="1" ht="15.5">
      <c r="A439" s="250"/>
      <c r="B439" s="250"/>
      <c r="C439" s="250"/>
      <c r="D439" s="250"/>
      <c r="E439" s="250"/>
      <c r="F439" s="250"/>
      <c r="H439" s="250"/>
      <c r="J439" s="222"/>
      <c r="L439" s="222"/>
      <c r="N439" s="250"/>
      <c r="P439" s="222"/>
      <c r="R439" s="222"/>
      <c r="T439" s="250"/>
      <c r="V439" s="222"/>
      <c r="X439" s="222"/>
      <c r="Z439" s="250"/>
      <c r="AB439" s="222"/>
      <c r="AD439" s="222"/>
      <c r="AG439" s="250"/>
    </row>
    <row r="440" spans="1:33" s="280" customFormat="1" ht="15.5">
      <c r="A440" s="250"/>
      <c r="B440" s="250"/>
      <c r="C440" s="250"/>
      <c r="D440" s="250"/>
      <c r="E440" s="250"/>
      <c r="F440" s="250"/>
      <c r="H440" s="250"/>
      <c r="J440" s="222"/>
      <c r="L440" s="222"/>
      <c r="N440" s="250"/>
      <c r="P440" s="222"/>
      <c r="R440" s="222"/>
      <c r="T440" s="250"/>
      <c r="V440" s="222"/>
      <c r="X440" s="222"/>
      <c r="Z440" s="250"/>
      <c r="AB440" s="222"/>
      <c r="AD440" s="222"/>
      <c r="AG440" s="250"/>
    </row>
    <row r="441" spans="1:33" s="280" customFormat="1" ht="15.5">
      <c r="A441" s="250"/>
      <c r="B441" s="250"/>
      <c r="C441" s="250"/>
      <c r="D441" s="250"/>
      <c r="E441" s="250"/>
      <c r="F441" s="250"/>
      <c r="H441" s="250"/>
      <c r="J441" s="222"/>
      <c r="L441" s="222"/>
      <c r="N441" s="250"/>
      <c r="P441" s="222"/>
      <c r="R441" s="222"/>
      <c r="T441" s="250"/>
      <c r="V441" s="222"/>
      <c r="X441" s="222"/>
      <c r="Z441" s="250"/>
      <c r="AB441" s="222"/>
      <c r="AD441" s="222"/>
      <c r="AG441" s="250"/>
    </row>
    <row r="442" spans="1:33" s="280" customFormat="1" ht="15.5">
      <c r="A442" s="250"/>
      <c r="B442" s="250"/>
      <c r="C442" s="250"/>
      <c r="D442" s="250"/>
      <c r="E442" s="250"/>
      <c r="F442" s="250"/>
      <c r="H442" s="250"/>
      <c r="J442" s="222"/>
      <c r="L442" s="222"/>
      <c r="N442" s="250"/>
      <c r="P442" s="222"/>
      <c r="R442" s="222"/>
      <c r="T442" s="250"/>
      <c r="V442" s="222"/>
      <c r="X442" s="222"/>
      <c r="Z442" s="250"/>
      <c r="AB442" s="222"/>
      <c r="AD442" s="222"/>
      <c r="AG442" s="250"/>
    </row>
    <row r="443" spans="1:33" s="280" customFormat="1" ht="15.5">
      <c r="A443" s="250"/>
      <c r="B443" s="250"/>
      <c r="C443" s="250"/>
      <c r="D443" s="250"/>
      <c r="E443" s="250"/>
      <c r="F443" s="250"/>
      <c r="H443" s="250"/>
      <c r="J443" s="222"/>
      <c r="L443" s="222"/>
      <c r="N443" s="250"/>
      <c r="P443" s="222"/>
      <c r="R443" s="222"/>
      <c r="T443" s="250"/>
      <c r="V443" s="222"/>
      <c r="X443" s="222"/>
      <c r="Z443" s="250"/>
      <c r="AB443" s="222"/>
      <c r="AD443" s="222"/>
      <c r="AG443" s="250"/>
    </row>
    <row r="444" spans="1:33" s="280" customFormat="1" ht="15.5">
      <c r="A444" s="250"/>
      <c r="B444" s="250"/>
      <c r="C444" s="250"/>
      <c r="D444" s="250"/>
      <c r="E444" s="250"/>
      <c r="F444" s="250"/>
      <c r="H444" s="250"/>
      <c r="J444" s="222"/>
      <c r="L444" s="222"/>
      <c r="N444" s="250"/>
      <c r="P444" s="222"/>
      <c r="R444" s="222"/>
      <c r="T444" s="250"/>
      <c r="V444" s="222"/>
      <c r="X444" s="222"/>
      <c r="Z444" s="250"/>
      <c r="AB444" s="222"/>
      <c r="AD444" s="222"/>
      <c r="AG444" s="250"/>
    </row>
    <row r="445" spans="1:33" s="280" customFormat="1" ht="15.5">
      <c r="A445" s="250"/>
      <c r="B445" s="250"/>
      <c r="C445" s="250"/>
      <c r="D445" s="250"/>
      <c r="E445" s="250"/>
      <c r="F445" s="250"/>
      <c r="H445" s="250"/>
      <c r="J445" s="222"/>
      <c r="L445" s="222"/>
      <c r="N445" s="250"/>
      <c r="P445" s="222"/>
      <c r="R445" s="222"/>
      <c r="T445" s="250"/>
      <c r="V445" s="222"/>
      <c r="X445" s="222"/>
      <c r="Z445" s="250"/>
      <c r="AB445" s="222"/>
      <c r="AD445" s="222"/>
      <c r="AG445" s="250"/>
    </row>
    <row r="446" spans="1:33" s="280" customFormat="1" ht="15.5">
      <c r="A446" s="250"/>
      <c r="B446" s="250"/>
      <c r="C446" s="250"/>
      <c r="D446" s="250"/>
      <c r="E446" s="250"/>
      <c r="F446" s="250"/>
      <c r="H446" s="250"/>
      <c r="J446" s="222"/>
      <c r="L446" s="222"/>
      <c r="N446" s="250"/>
      <c r="P446" s="222"/>
      <c r="R446" s="222"/>
      <c r="T446" s="250"/>
      <c r="V446" s="222"/>
      <c r="X446" s="222"/>
      <c r="Z446" s="250"/>
      <c r="AB446" s="222"/>
      <c r="AD446" s="222"/>
      <c r="AG446" s="250"/>
    </row>
    <row r="447" spans="1:33" s="280" customFormat="1" ht="15.5">
      <c r="A447" s="250"/>
      <c r="B447" s="250"/>
      <c r="C447" s="250"/>
      <c r="D447" s="250"/>
      <c r="E447" s="250"/>
      <c r="F447" s="250"/>
      <c r="H447" s="250"/>
      <c r="J447" s="222"/>
      <c r="L447" s="222"/>
      <c r="N447" s="250"/>
      <c r="P447" s="222"/>
      <c r="R447" s="222"/>
      <c r="T447" s="250"/>
      <c r="V447" s="222"/>
      <c r="X447" s="222"/>
      <c r="Z447" s="250"/>
      <c r="AB447" s="222"/>
      <c r="AD447" s="222"/>
      <c r="AG447" s="250"/>
    </row>
    <row r="448" spans="1:33" s="280" customFormat="1" ht="15.5">
      <c r="A448" s="250"/>
      <c r="B448" s="250"/>
      <c r="C448" s="250"/>
      <c r="D448" s="250"/>
      <c r="E448" s="250"/>
      <c r="F448" s="250"/>
      <c r="H448" s="250"/>
      <c r="J448" s="222"/>
      <c r="L448" s="222"/>
      <c r="N448" s="250"/>
      <c r="P448" s="222"/>
      <c r="R448" s="222"/>
      <c r="T448" s="250"/>
      <c r="V448" s="222"/>
      <c r="X448" s="222"/>
      <c r="Z448" s="250"/>
      <c r="AB448" s="222"/>
      <c r="AD448" s="222"/>
      <c r="AG448" s="250"/>
    </row>
    <row r="449" spans="1:33" s="280" customFormat="1" ht="15.5">
      <c r="A449" s="250"/>
      <c r="B449" s="250"/>
      <c r="C449" s="250"/>
      <c r="D449" s="250"/>
      <c r="E449" s="250"/>
      <c r="F449" s="250"/>
      <c r="H449" s="250"/>
      <c r="J449" s="222"/>
      <c r="L449" s="222"/>
      <c r="N449" s="250"/>
      <c r="P449" s="222"/>
      <c r="R449" s="222"/>
      <c r="T449" s="250"/>
      <c r="V449" s="222"/>
      <c r="X449" s="222"/>
      <c r="Z449" s="250"/>
      <c r="AB449" s="222"/>
      <c r="AD449" s="222"/>
      <c r="AG449" s="250"/>
    </row>
    <row r="450" spans="1:33" s="280" customFormat="1" ht="15.5">
      <c r="A450" s="250"/>
      <c r="B450" s="250"/>
      <c r="C450" s="250"/>
      <c r="D450" s="250"/>
      <c r="E450" s="250"/>
      <c r="F450" s="250"/>
      <c r="H450" s="250"/>
      <c r="J450" s="222"/>
      <c r="L450" s="222"/>
      <c r="N450" s="250"/>
      <c r="P450" s="222"/>
      <c r="R450" s="222"/>
      <c r="T450" s="250"/>
      <c r="V450" s="222"/>
      <c r="X450" s="222"/>
      <c r="Z450" s="250"/>
      <c r="AB450" s="222"/>
      <c r="AD450" s="222"/>
      <c r="AG450" s="250"/>
    </row>
    <row r="451" spans="1:33" s="280" customFormat="1" ht="15.5">
      <c r="A451" s="250"/>
      <c r="B451" s="250"/>
      <c r="C451" s="250"/>
      <c r="D451" s="250"/>
      <c r="E451" s="250"/>
      <c r="F451" s="250"/>
      <c r="H451" s="250"/>
      <c r="J451" s="222"/>
      <c r="L451" s="222"/>
      <c r="N451" s="250"/>
      <c r="P451" s="222"/>
      <c r="R451" s="222"/>
      <c r="T451" s="250"/>
      <c r="V451" s="222"/>
      <c r="X451" s="222"/>
      <c r="Z451" s="250"/>
      <c r="AB451" s="222"/>
      <c r="AD451" s="222"/>
      <c r="AG451" s="250"/>
    </row>
    <row r="452" spans="1:33" s="280" customFormat="1" ht="15.5">
      <c r="A452" s="250"/>
      <c r="B452" s="250"/>
      <c r="C452" s="250"/>
      <c r="D452" s="250"/>
      <c r="E452" s="250"/>
      <c r="F452" s="250"/>
      <c r="H452" s="250"/>
      <c r="J452" s="222"/>
      <c r="L452" s="222"/>
      <c r="N452" s="250"/>
      <c r="P452" s="222"/>
      <c r="R452" s="222"/>
      <c r="T452" s="250"/>
      <c r="V452" s="222"/>
      <c r="X452" s="222"/>
      <c r="Z452" s="250"/>
      <c r="AB452" s="222"/>
      <c r="AD452" s="222"/>
      <c r="AG452" s="250"/>
    </row>
    <row r="453" spans="1:33" s="280" customFormat="1" ht="15.5">
      <c r="A453" s="250"/>
      <c r="B453" s="250"/>
      <c r="C453" s="250"/>
      <c r="D453" s="250"/>
      <c r="E453" s="250"/>
      <c r="F453" s="250"/>
      <c r="H453" s="250"/>
      <c r="J453" s="222"/>
      <c r="L453" s="222"/>
      <c r="N453" s="250"/>
      <c r="P453" s="222"/>
      <c r="R453" s="222"/>
      <c r="T453" s="250"/>
      <c r="V453" s="222"/>
      <c r="X453" s="222"/>
      <c r="Z453" s="250"/>
      <c r="AB453" s="222"/>
      <c r="AD453" s="222"/>
      <c r="AG453" s="250"/>
    </row>
    <row r="454" spans="1:33" s="280" customFormat="1" ht="15.5">
      <c r="A454" s="250"/>
      <c r="B454" s="250"/>
      <c r="C454" s="250"/>
      <c r="D454" s="250"/>
      <c r="E454" s="250"/>
      <c r="F454" s="250"/>
      <c r="H454" s="250"/>
      <c r="J454" s="222"/>
      <c r="L454" s="222"/>
      <c r="N454" s="250"/>
      <c r="P454" s="222"/>
      <c r="R454" s="222"/>
      <c r="T454" s="250"/>
      <c r="V454" s="222"/>
      <c r="X454" s="222"/>
      <c r="Z454" s="250"/>
      <c r="AB454" s="222"/>
      <c r="AD454" s="222"/>
      <c r="AG454" s="250"/>
    </row>
    <row r="455" spans="1:33" s="280" customFormat="1" ht="15.5">
      <c r="A455" s="250"/>
      <c r="B455" s="250"/>
      <c r="C455" s="250"/>
      <c r="D455" s="250"/>
      <c r="E455" s="250"/>
      <c r="F455" s="250"/>
      <c r="H455" s="250"/>
      <c r="J455" s="222"/>
      <c r="L455" s="222"/>
      <c r="N455" s="250"/>
      <c r="P455" s="222"/>
      <c r="R455" s="222"/>
      <c r="T455" s="250"/>
      <c r="V455" s="222"/>
      <c r="X455" s="222"/>
      <c r="Z455" s="250"/>
      <c r="AB455" s="222"/>
      <c r="AD455" s="222"/>
      <c r="AG455" s="250"/>
    </row>
    <row r="456" spans="1:33" s="280" customFormat="1" ht="15.5">
      <c r="A456" s="250"/>
      <c r="B456" s="250"/>
      <c r="C456" s="250"/>
      <c r="D456" s="250"/>
      <c r="E456" s="250"/>
      <c r="F456" s="250"/>
      <c r="H456" s="250"/>
      <c r="J456" s="222"/>
      <c r="L456" s="222"/>
      <c r="N456" s="250"/>
      <c r="P456" s="222"/>
      <c r="R456" s="222"/>
      <c r="T456" s="250"/>
      <c r="V456" s="222"/>
      <c r="X456" s="222"/>
      <c r="Z456" s="250"/>
      <c r="AB456" s="222"/>
      <c r="AD456" s="222"/>
      <c r="AG456" s="250"/>
    </row>
    <row r="457" spans="1:33" s="280" customFormat="1" ht="15.5">
      <c r="A457" s="250"/>
      <c r="B457" s="250"/>
      <c r="C457" s="250"/>
      <c r="D457" s="250"/>
      <c r="E457" s="250"/>
      <c r="F457" s="250"/>
      <c r="H457" s="250"/>
      <c r="J457" s="222"/>
      <c r="L457" s="222"/>
      <c r="N457" s="250"/>
      <c r="P457" s="222"/>
      <c r="R457" s="222"/>
      <c r="T457" s="250"/>
      <c r="V457" s="222"/>
      <c r="X457" s="222"/>
      <c r="Z457" s="250"/>
      <c r="AB457" s="222"/>
      <c r="AD457" s="222"/>
      <c r="AG457" s="250"/>
    </row>
    <row r="458" spans="1:33" s="280" customFormat="1" ht="15.5">
      <c r="A458" s="250"/>
      <c r="B458" s="250"/>
      <c r="C458" s="250"/>
      <c r="D458" s="250"/>
      <c r="E458" s="250"/>
      <c r="F458" s="250"/>
      <c r="H458" s="250"/>
      <c r="J458" s="222"/>
      <c r="L458" s="222"/>
      <c r="N458" s="250"/>
      <c r="P458" s="222"/>
      <c r="R458" s="222"/>
      <c r="T458" s="250"/>
      <c r="V458" s="222"/>
      <c r="X458" s="222"/>
      <c r="Z458" s="250"/>
      <c r="AB458" s="222"/>
      <c r="AD458" s="222"/>
      <c r="AG458" s="250"/>
    </row>
    <row r="459" spans="1:33" s="280" customFormat="1" ht="15.5">
      <c r="A459" s="250"/>
      <c r="B459" s="250"/>
      <c r="C459" s="250"/>
      <c r="D459" s="250"/>
      <c r="E459" s="250"/>
      <c r="F459" s="250"/>
      <c r="H459" s="250"/>
      <c r="J459" s="222"/>
      <c r="L459" s="222"/>
      <c r="N459" s="250"/>
      <c r="P459" s="222"/>
      <c r="R459" s="222"/>
      <c r="T459" s="250"/>
      <c r="V459" s="222"/>
      <c r="X459" s="222"/>
      <c r="Z459" s="250"/>
      <c r="AB459" s="222"/>
      <c r="AD459" s="222"/>
      <c r="AG459" s="250"/>
    </row>
    <row r="460" spans="1:33" s="280" customFormat="1" ht="15.5">
      <c r="A460" s="250"/>
      <c r="B460" s="250"/>
      <c r="C460" s="250"/>
      <c r="D460" s="250"/>
      <c r="E460" s="250"/>
      <c r="F460" s="250"/>
      <c r="H460" s="250"/>
      <c r="J460" s="222"/>
      <c r="L460" s="222"/>
      <c r="N460" s="250"/>
      <c r="P460" s="222"/>
      <c r="R460" s="222"/>
      <c r="T460" s="250"/>
      <c r="V460" s="222"/>
      <c r="X460" s="222"/>
      <c r="Z460" s="250"/>
      <c r="AB460" s="222"/>
      <c r="AD460" s="222"/>
      <c r="AG460" s="250"/>
    </row>
    <row r="461" spans="1:33" s="280" customFormat="1" ht="15.5">
      <c r="A461" s="250"/>
      <c r="B461" s="250"/>
      <c r="C461" s="250"/>
      <c r="D461" s="250"/>
      <c r="E461" s="250"/>
      <c r="F461" s="250"/>
      <c r="H461" s="250"/>
      <c r="J461" s="222"/>
      <c r="L461" s="222"/>
      <c r="N461" s="250"/>
      <c r="P461" s="222"/>
      <c r="R461" s="222"/>
      <c r="T461" s="250"/>
      <c r="V461" s="222"/>
      <c r="X461" s="222"/>
      <c r="Z461" s="250"/>
      <c r="AB461" s="222"/>
      <c r="AD461" s="222"/>
      <c r="AG461" s="250"/>
    </row>
    <row r="462" spans="1:33" s="280" customFormat="1" ht="15.5">
      <c r="A462" s="250"/>
      <c r="B462" s="250"/>
      <c r="C462" s="250"/>
      <c r="D462" s="250"/>
      <c r="E462" s="250"/>
      <c r="F462" s="250"/>
      <c r="H462" s="250"/>
      <c r="J462" s="222"/>
      <c r="L462" s="222"/>
      <c r="N462" s="250"/>
      <c r="P462" s="222"/>
      <c r="R462" s="222"/>
      <c r="T462" s="250"/>
      <c r="V462" s="222"/>
      <c r="X462" s="222"/>
      <c r="Z462" s="250"/>
      <c r="AB462" s="222"/>
      <c r="AD462" s="222"/>
      <c r="AG462" s="250"/>
    </row>
    <row r="463" spans="1:33" s="280" customFormat="1" ht="15.5">
      <c r="A463" s="250"/>
      <c r="B463" s="250"/>
      <c r="C463" s="250"/>
      <c r="D463" s="250"/>
      <c r="E463" s="250"/>
      <c r="F463" s="250"/>
      <c r="H463" s="250"/>
      <c r="J463" s="222"/>
      <c r="L463" s="222"/>
      <c r="N463" s="250"/>
      <c r="P463" s="222"/>
      <c r="R463" s="222"/>
      <c r="T463" s="250"/>
      <c r="V463" s="222"/>
      <c r="X463" s="222"/>
      <c r="Z463" s="250"/>
      <c r="AB463" s="222"/>
      <c r="AD463" s="222"/>
      <c r="AG463" s="250"/>
    </row>
    <row r="464" spans="1:33" s="280" customFormat="1" ht="15.5">
      <c r="A464" s="250"/>
      <c r="B464" s="250"/>
      <c r="C464" s="250"/>
      <c r="D464" s="250"/>
      <c r="E464" s="250"/>
      <c r="F464" s="250"/>
      <c r="H464" s="250"/>
      <c r="J464" s="222"/>
      <c r="L464" s="222"/>
      <c r="N464" s="250"/>
      <c r="P464" s="222"/>
      <c r="R464" s="222"/>
      <c r="T464" s="250"/>
      <c r="V464" s="222"/>
      <c r="X464" s="222"/>
      <c r="Z464" s="250"/>
      <c r="AB464" s="222"/>
      <c r="AD464" s="222"/>
      <c r="AG464" s="250"/>
    </row>
    <row r="465" spans="1:33" s="280" customFormat="1" ht="15.5">
      <c r="A465" s="250"/>
      <c r="B465" s="250"/>
      <c r="C465" s="250"/>
      <c r="D465" s="250"/>
      <c r="E465" s="250"/>
      <c r="F465" s="250"/>
      <c r="H465" s="250"/>
      <c r="J465" s="222"/>
      <c r="L465" s="222"/>
      <c r="N465" s="250"/>
      <c r="P465" s="222"/>
      <c r="R465" s="222"/>
      <c r="T465" s="250"/>
      <c r="V465" s="222"/>
      <c r="X465" s="222"/>
      <c r="Z465" s="250"/>
      <c r="AB465" s="222"/>
      <c r="AD465" s="222"/>
      <c r="AG465" s="250"/>
    </row>
    <row r="466" spans="1:33" s="280" customFormat="1" ht="15.5">
      <c r="A466" s="250"/>
      <c r="B466" s="250"/>
      <c r="C466" s="250"/>
      <c r="D466" s="250"/>
      <c r="E466" s="250"/>
      <c r="F466" s="250"/>
      <c r="H466" s="250"/>
      <c r="J466" s="222"/>
      <c r="L466" s="222"/>
      <c r="N466" s="250"/>
      <c r="P466" s="222"/>
      <c r="R466" s="222"/>
      <c r="T466" s="250"/>
      <c r="V466" s="222"/>
      <c r="X466" s="222"/>
      <c r="Z466" s="250"/>
      <c r="AB466" s="222"/>
      <c r="AD466" s="222"/>
      <c r="AG466" s="250"/>
    </row>
    <row r="467" spans="1:33" s="280" customFormat="1" ht="15.5">
      <c r="A467" s="250"/>
      <c r="B467" s="250"/>
      <c r="C467" s="250"/>
      <c r="D467" s="250"/>
      <c r="E467" s="250"/>
      <c r="F467" s="250"/>
      <c r="H467" s="250"/>
      <c r="J467" s="222"/>
      <c r="L467" s="222"/>
      <c r="N467" s="250"/>
      <c r="P467" s="222"/>
      <c r="R467" s="222"/>
      <c r="T467" s="250"/>
      <c r="V467" s="222"/>
      <c r="X467" s="222"/>
      <c r="Z467" s="250"/>
      <c r="AB467" s="222"/>
      <c r="AD467" s="222"/>
      <c r="AG467" s="250"/>
    </row>
    <row r="468" spans="1:33" s="280" customFormat="1" ht="15.5">
      <c r="A468" s="250"/>
      <c r="B468" s="250"/>
      <c r="C468" s="250"/>
      <c r="D468" s="250"/>
      <c r="E468" s="250"/>
      <c r="F468" s="250"/>
      <c r="H468" s="250"/>
      <c r="J468" s="222"/>
      <c r="L468" s="222"/>
      <c r="N468" s="250"/>
      <c r="P468" s="222"/>
      <c r="R468" s="222"/>
      <c r="T468" s="250"/>
      <c r="V468" s="222"/>
      <c r="X468" s="222"/>
      <c r="Z468" s="250"/>
      <c r="AB468" s="222"/>
      <c r="AD468" s="222"/>
      <c r="AG468" s="250"/>
    </row>
    <row r="469" spans="1:33" s="280" customFormat="1" ht="15.5">
      <c r="A469" s="250"/>
      <c r="B469" s="250"/>
      <c r="C469" s="250"/>
      <c r="D469" s="250"/>
      <c r="E469" s="250"/>
      <c r="F469" s="250"/>
      <c r="H469" s="250"/>
      <c r="J469" s="222"/>
      <c r="L469" s="222"/>
      <c r="N469" s="250"/>
      <c r="P469" s="222"/>
      <c r="R469" s="222"/>
      <c r="T469" s="250"/>
      <c r="V469" s="222"/>
      <c r="X469" s="222"/>
      <c r="Z469" s="250"/>
      <c r="AB469" s="222"/>
      <c r="AD469" s="222"/>
      <c r="AG469" s="250"/>
    </row>
    <row r="470" spans="1:33" s="280" customFormat="1" ht="15.5">
      <c r="A470" s="250"/>
      <c r="B470" s="250"/>
      <c r="C470" s="250"/>
      <c r="D470" s="250"/>
      <c r="E470" s="250"/>
      <c r="F470" s="250"/>
      <c r="H470" s="250"/>
      <c r="J470" s="222"/>
      <c r="L470" s="222"/>
      <c r="N470" s="250"/>
      <c r="P470" s="222"/>
      <c r="R470" s="222"/>
      <c r="T470" s="250"/>
      <c r="V470" s="222"/>
      <c r="X470" s="222"/>
      <c r="Z470" s="250"/>
      <c r="AB470" s="222"/>
      <c r="AD470" s="222"/>
      <c r="AG470" s="250"/>
    </row>
    <row r="471" spans="1:33" s="280" customFormat="1" ht="15.5">
      <c r="A471" s="250"/>
      <c r="B471" s="250"/>
      <c r="C471" s="250"/>
      <c r="D471" s="250"/>
      <c r="E471" s="250"/>
      <c r="F471" s="250"/>
      <c r="H471" s="250"/>
      <c r="J471" s="222"/>
      <c r="L471" s="222"/>
      <c r="N471" s="250"/>
      <c r="P471" s="222"/>
      <c r="R471" s="222"/>
      <c r="T471" s="250"/>
      <c r="V471" s="222"/>
      <c r="X471" s="222"/>
      <c r="Z471" s="250"/>
      <c r="AB471" s="222"/>
      <c r="AD471" s="222"/>
      <c r="AG471" s="250"/>
    </row>
    <row r="472" spans="1:33" s="280" customFormat="1" ht="15.5">
      <c r="A472" s="250"/>
      <c r="B472" s="250"/>
      <c r="C472" s="250"/>
      <c r="D472" s="250"/>
      <c r="E472" s="250"/>
      <c r="F472" s="250"/>
      <c r="H472" s="250"/>
      <c r="J472" s="222"/>
      <c r="L472" s="222"/>
      <c r="N472" s="250"/>
      <c r="P472" s="222"/>
      <c r="R472" s="222"/>
      <c r="T472" s="250"/>
      <c r="V472" s="222"/>
      <c r="X472" s="222"/>
      <c r="Z472" s="250"/>
      <c r="AB472" s="222"/>
      <c r="AD472" s="222"/>
      <c r="AG472" s="250"/>
    </row>
    <row r="473" spans="1:33" s="280" customFormat="1" ht="15.5">
      <c r="A473" s="250"/>
      <c r="B473" s="250"/>
      <c r="C473" s="250"/>
      <c r="D473" s="250"/>
      <c r="E473" s="250"/>
      <c r="F473" s="250"/>
      <c r="H473" s="250"/>
      <c r="J473" s="222"/>
      <c r="L473" s="222"/>
      <c r="N473" s="250"/>
      <c r="P473" s="222"/>
      <c r="R473" s="222"/>
      <c r="T473" s="250"/>
      <c r="V473" s="222"/>
      <c r="X473" s="222"/>
      <c r="Z473" s="250"/>
      <c r="AB473" s="222"/>
      <c r="AD473" s="222"/>
      <c r="AG473" s="250"/>
    </row>
    <row r="474" spans="1:33" s="280" customFormat="1" ht="15.5">
      <c r="A474" s="250"/>
      <c r="B474" s="250"/>
      <c r="C474" s="250"/>
      <c r="D474" s="250"/>
      <c r="E474" s="250"/>
      <c r="F474" s="250"/>
      <c r="H474" s="250"/>
      <c r="J474" s="222"/>
      <c r="L474" s="222"/>
      <c r="N474" s="250"/>
      <c r="P474" s="222"/>
      <c r="R474" s="222"/>
      <c r="T474" s="250"/>
      <c r="V474" s="222"/>
      <c r="X474" s="222"/>
      <c r="Z474" s="250"/>
      <c r="AB474" s="222"/>
      <c r="AD474" s="222"/>
      <c r="AG474" s="250"/>
    </row>
    <row r="475" spans="1:33" s="280" customFormat="1" ht="15.5">
      <c r="A475" s="250"/>
      <c r="B475" s="250"/>
      <c r="C475" s="250"/>
      <c r="D475" s="250"/>
      <c r="E475" s="250"/>
      <c r="F475" s="250"/>
      <c r="H475" s="250"/>
      <c r="J475" s="222"/>
      <c r="L475" s="222"/>
      <c r="N475" s="250"/>
      <c r="P475" s="222"/>
      <c r="R475" s="222"/>
      <c r="T475" s="250"/>
      <c r="V475" s="222"/>
      <c r="X475" s="222"/>
      <c r="Z475" s="250"/>
      <c r="AB475" s="222"/>
      <c r="AD475" s="222"/>
      <c r="AG475" s="250"/>
    </row>
    <row r="476" spans="1:33" s="280" customFormat="1" ht="15.5">
      <c r="A476" s="250"/>
      <c r="B476" s="250"/>
      <c r="C476" s="250"/>
      <c r="D476" s="250"/>
      <c r="E476" s="250"/>
      <c r="F476" s="250"/>
      <c r="H476" s="250"/>
      <c r="J476" s="222"/>
      <c r="L476" s="222"/>
      <c r="N476" s="250"/>
      <c r="P476" s="222"/>
      <c r="R476" s="222"/>
      <c r="T476" s="250"/>
      <c r="V476" s="222"/>
      <c r="X476" s="222"/>
      <c r="Z476" s="250"/>
      <c r="AB476" s="222"/>
      <c r="AD476" s="222"/>
      <c r="AG476" s="250"/>
    </row>
    <row r="477" spans="1:33" s="280" customFormat="1" ht="15.5">
      <c r="A477" s="250"/>
      <c r="B477" s="250"/>
      <c r="C477" s="250"/>
      <c r="D477" s="250"/>
      <c r="E477" s="250"/>
      <c r="F477" s="250"/>
      <c r="H477" s="250"/>
      <c r="J477" s="222"/>
      <c r="L477" s="222"/>
      <c r="N477" s="250"/>
      <c r="P477" s="222"/>
      <c r="R477" s="222"/>
      <c r="T477" s="250"/>
      <c r="V477" s="222"/>
      <c r="X477" s="222"/>
      <c r="Z477" s="250"/>
      <c r="AB477" s="222"/>
      <c r="AD477" s="222"/>
      <c r="AG477" s="250"/>
    </row>
    <row r="478" spans="1:33" s="280" customFormat="1" ht="15.5">
      <c r="A478" s="250"/>
      <c r="B478" s="250"/>
      <c r="C478" s="250"/>
      <c r="D478" s="250"/>
      <c r="E478" s="250"/>
      <c r="F478" s="250"/>
      <c r="H478" s="250"/>
      <c r="J478" s="222"/>
      <c r="L478" s="222"/>
      <c r="N478" s="250"/>
      <c r="P478" s="222"/>
      <c r="R478" s="222"/>
      <c r="T478" s="250"/>
      <c r="V478" s="222"/>
      <c r="X478" s="222"/>
      <c r="Z478" s="250"/>
      <c r="AB478" s="222"/>
      <c r="AD478" s="222"/>
      <c r="AG478" s="250"/>
    </row>
    <row r="479" spans="1:33" s="280" customFormat="1" ht="15.5">
      <c r="A479" s="250"/>
      <c r="B479" s="250"/>
      <c r="C479" s="250"/>
      <c r="D479" s="250"/>
      <c r="E479" s="250"/>
      <c r="F479" s="250"/>
      <c r="H479" s="250"/>
      <c r="J479" s="222"/>
      <c r="L479" s="222"/>
      <c r="N479" s="250"/>
      <c r="P479" s="222"/>
      <c r="R479" s="222"/>
      <c r="T479" s="250"/>
      <c r="V479" s="222"/>
      <c r="X479" s="222"/>
      <c r="Z479" s="250"/>
      <c r="AB479" s="222"/>
      <c r="AD479" s="222"/>
      <c r="AG479" s="250"/>
    </row>
    <row r="480" spans="1:33" s="280" customFormat="1" ht="15.5">
      <c r="A480" s="250"/>
      <c r="B480" s="250"/>
      <c r="C480" s="250"/>
      <c r="D480" s="250"/>
      <c r="E480" s="250"/>
      <c r="F480" s="250"/>
      <c r="H480" s="250"/>
      <c r="J480" s="222"/>
      <c r="L480" s="222"/>
      <c r="N480" s="250"/>
      <c r="P480" s="222"/>
      <c r="R480" s="222"/>
      <c r="T480" s="250"/>
      <c r="V480" s="222"/>
      <c r="X480" s="222"/>
      <c r="Z480" s="250"/>
      <c r="AB480" s="222"/>
      <c r="AD480" s="222"/>
      <c r="AG480" s="250"/>
    </row>
    <row r="481" spans="1:33" s="280" customFormat="1" ht="15.5">
      <c r="A481" s="250"/>
      <c r="B481" s="250"/>
      <c r="C481" s="250"/>
      <c r="D481" s="250"/>
      <c r="E481" s="250"/>
      <c r="F481" s="250"/>
      <c r="H481" s="250"/>
      <c r="J481" s="222"/>
      <c r="L481" s="222"/>
      <c r="N481" s="250"/>
      <c r="P481" s="222"/>
      <c r="R481" s="222"/>
      <c r="T481" s="250"/>
      <c r="V481" s="222"/>
      <c r="X481" s="222"/>
      <c r="Z481" s="250"/>
      <c r="AB481" s="222"/>
      <c r="AD481" s="222"/>
      <c r="AG481" s="250"/>
    </row>
    <row r="482" spans="1:33" s="280" customFormat="1" ht="15.5">
      <c r="A482" s="250"/>
      <c r="B482" s="250"/>
      <c r="C482" s="250"/>
      <c r="D482" s="250"/>
      <c r="E482" s="250"/>
      <c r="F482" s="250"/>
      <c r="H482" s="250"/>
      <c r="J482" s="222"/>
      <c r="L482" s="222"/>
      <c r="N482" s="250"/>
      <c r="P482" s="222"/>
      <c r="R482" s="222"/>
      <c r="T482" s="250"/>
      <c r="V482" s="222"/>
      <c r="X482" s="222"/>
      <c r="Z482" s="250"/>
      <c r="AB482" s="222"/>
      <c r="AD482" s="222"/>
      <c r="AG482" s="250"/>
    </row>
    <row r="483" spans="1:33" s="280" customFormat="1" ht="15.5">
      <c r="A483" s="250"/>
      <c r="B483" s="250"/>
      <c r="C483" s="250"/>
      <c r="D483" s="250"/>
      <c r="E483" s="250"/>
      <c r="F483" s="250"/>
      <c r="H483" s="250"/>
      <c r="J483" s="222"/>
      <c r="L483" s="222"/>
      <c r="N483" s="250"/>
      <c r="P483" s="222"/>
      <c r="R483" s="222"/>
      <c r="T483" s="250"/>
      <c r="V483" s="222"/>
      <c r="X483" s="222"/>
      <c r="Z483" s="250"/>
      <c r="AB483" s="222"/>
      <c r="AD483" s="222"/>
      <c r="AG483" s="250"/>
    </row>
    <row r="484" spans="1:33" s="280" customFormat="1" ht="15.5">
      <c r="A484" s="250"/>
      <c r="B484" s="250"/>
      <c r="C484" s="250"/>
      <c r="D484" s="250"/>
      <c r="E484" s="250"/>
      <c r="F484" s="250"/>
      <c r="H484" s="250"/>
      <c r="J484" s="222"/>
      <c r="L484" s="222"/>
      <c r="N484" s="250"/>
      <c r="P484" s="222"/>
      <c r="R484" s="222"/>
      <c r="T484" s="250"/>
      <c r="V484" s="222"/>
      <c r="X484" s="222"/>
      <c r="Z484" s="250"/>
      <c r="AB484" s="222"/>
      <c r="AD484" s="222"/>
      <c r="AG484" s="250"/>
    </row>
    <row r="485" spans="1:33" s="280" customFormat="1" ht="15.5">
      <c r="A485" s="250"/>
      <c r="B485" s="250"/>
      <c r="C485" s="250"/>
      <c r="D485" s="250"/>
      <c r="E485" s="250"/>
      <c r="F485" s="250"/>
      <c r="H485" s="250"/>
      <c r="J485" s="222"/>
      <c r="L485" s="222"/>
      <c r="N485" s="250"/>
      <c r="P485" s="222"/>
      <c r="R485" s="222"/>
      <c r="T485" s="250"/>
      <c r="V485" s="222"/>
      <c r="X485" s="222"/>
      <c r="Z485" s="250"/>
      <c r="AB485" s="222"/>
      <c r="AD485" s="222"/>
      <c r="AG485" s="250"/>
    </row>
    <row r="486" spans="1:33" s="280" customFormat="1" ht="15.5">
      <c r="A486" s="250"/>
      <c r="B486" s="250"/>
      <c r="C486" s="250"/>
      <c r="D486" s="250"/>
      <c r="E486" s="250"/>
      <c r="F486" s="250"/>
      <c r="H486" s="250"/>
      <c r="J486" s="222"/>
      <c r="L486" s="222"/>
      <c r="N486" s="250"/>
      <c r="P486" s="222"/>
      <c r="R486" s="222"/>
      <c r="T486" s="250"/>
      <c r="V486" s="222"/>
      <c r="X486" s="222"/>
      <c r="Z486" s="250"/>
      <c r="AB486" s="222"/>
      <c r="AD486" s="222"/>
      <c r="AG486" s="250"/>
    </row>
    <row r="487" spans="1:33" s="280" customFormat="1" ht="15.5">
      <c r="A487" s="250"/>
      <c r="B487" s="250"/>
      <c r="C487" s="250"/>
      <c r="D487" s="250"/>
      <c r="E487" s="250"/>
      <c r="F487" s="250"/>
      <c r="H487" s="250"/>
      <c r="J487" s="222"/>
      <c r="L487" s="222"/>
      <c r="N487" s="250"/>
      <c r="P487" s="222"/>
      <c r="R487" s="222"/>
      <c r="T487" s="250"/>
      <c r="V487" s="222"/>
      <c r="X487" s="222"/>
      <c r="Z487" s="250"/>
      <c r="AB487" s="222"/>
      <c r="AD487" s="222"/>
      <c r="AG487" s="250"/>
    </row>
    <row r="488" spans="1:33" s="280" customFormat="1" ht="15.5">
      <c r="A488" s="250"/>
      <c r="B488" s="250"/>
      <c r="C488" s="250"/>
      <c r="D488" s="250"/>
      <c r="E488" s="250"/>
      <c r="F488" s="250"/>
      <c r="H488" s="250"/>
      <c r="J488" s="222"/>
      <c r="L488" s="222"/>
      <c r="N488" s="250"/>
      <c r="P488" s="222"/>
      <c r="R488" s="222"/>
      <c r="T488" s="250"/>
      <c r="V488" s="222"/>
      <c r="X488" s="222"/>
      <c r="Z488" s="250"/>
      <c r="AB488" s="222"/>
      <c r="AD488" s="222"/>
      <c r="AG488" s="250"/>
    </row>
    <row r="489" spans="1:33" s="280" customFormat="1" ht="15.5">
      <c r="A489" s="250"/>
      <c r="B489" s="250"/>
      <c r="C489" s="250"/>
      <c r="D489" s="250"/>
      <c r="E489" s="250"/>
      <c r="F489" s="250"/>
      <c r="H489" s="250"/>
      <c r="J489" s="222"/>
      <c r="L489" s="222"/>
      <c r="N489" s="250"/>
      <c r="P489" s="222"/>
      <c r="R489" s="222"/>
      <c r="T489" s="250"/>
      <c r="V489" s="222"/>
      <c r="X489" s="222"/>
      <c r="Z489" s="250"/>
      <c r="AB489" s="222"/>
      <c r="AD489" s="222"/>
      <c r="AG489" s="250"/>
    </row>
    <row r="490" spans="1:33" s="280" customFormat="1" ht="15.5">
      <c r="A490" s="250"/>
      <c r="B490" s="250"/>
      <c r="C490" s="250"/>
      <c r="D490" s="250"/>
      <c r="E490" s="250"/>
      <c r="F490" s="250"/>
      <c r="H490" s="250"/>
      <c r="J490" s="222"/>
      <c r="L490" s="222"/>
      <c r="N490" s="250"/>
      <c r="P490" s="222"/>
      <c r="R490" s="222"/>
      <c r="T490" s="250"/>
      <c r="V490" s="222"/>
      <c r="X490" s="222"/>
      <c r="Z490" s="250"/>
      <c r="AB490" s="222"/>
      <c r="AD490" s="222"/>
      <c r="AG490" s="250"/>
    </row>
    <row r="491" spans="1:33" s="280" customFormat="1" ht="15.5">
      <c r="A491" s="250"/>
      <c r="B491" s="250"/>
      <c r="C491" s="250"/>
      <c r="D491" s="250"/>
      <c r="E491" s="250"/>
      <c r="F491" s="250"/>
      <c r="H491" s="250"/>
      <c r="J491" s="222"/>
      <c r="L491" s="222"/>
      <c r="N491" s="250"/>
      <c r="P491" s="222"/>
      <c r="R491" s="222"/>
      <c r="T491" s="250"/>
      <c r="V491" s="222"/>
      <c r="X491" s="222"/>
      <c r="Z491" s="250"/>
      <c r="AB491" s="222"/>
      <c r="AD491" s="222"/>
      <c r="AG491" s="250"/>
    </row>
    <row r="492" spans="1:33" s="280" customFormat="1" ht="15.5">
      <c r="A492" s="250"/>
      <c r="B492" s="250"/>
      <c r="C492" s="250"/>
      <c r="D492" s="250"/>
      <c r="E492" s="250"/>
      <c r="F492" s="250"/>
      <c r="H492" s="250"/>
      <c r="J492" s="222"/>
      <c r="L492" s="222"/>
      <c r="N492" s="250"/>
      <c r="P492" s="222"/>
      <c r="R492" s="222"/>
      <c r="T492" s="250"/>
      <c r="V492" s="222"/>
      <c r="X492" s="222"/>
      <c r="Z492" s="250"/>
      <c r="AB492" s="222"/>
      <c r="AD492" s="222"/>
      <c r="AG492" s="250"/>
    </row>
    <row r="493" spans="1:33" s="280" customFormat="1" ht="15.5">
      <c r="A493" s="250"/>
      <c r="B493" s="250"/>
      <c r="C493" s="250"/>
      <c r="D493" s="250"/>
      <c r="E493" s="250"/>
      <c r="F493" s="250"/>
      <c r="H493" s="250"/>
      <c r="J493" s="222"/>
      <c r="L493" s="222"/>
      <c r="N493" s="250"/>
      <c r="P493" s="222"/>
      <c r="R493" s="222"/>
      <c r="T493" s="250"/>
      <c r="V493" s="222"/>
      <c r="X493" s="222"/>
      <c r="Z493" s="250"/>
      <c r="AB493" s="222"/>
      <c r="AD493" s="222"/>
      <c r="AG493" s="250"/>
    </row>
    <row r="494" spans="1:33" s="280" customFormat="1" ht="15.5">
      <c r="A494" s="250"/>
      <c r="B494" s="250"/>
      <c r="C494" s="250"/>
      <c r="D494" s="250"/>
      <c r="E494" s="250"/>
      <c r="F494" s="250"/>
      <c r="H494" s="250"/>
      <c r="J494" s="222"/>
      <c r="L494" s="222"/>
      <c r="N494" s="250"/>
      <c r="P494" s="222"/>
      <c r="R494" s="222"/>
      <c r="T494" s="250"/>
      <c r="V494" s="222"/>
      <c r="X494" s="222"/>
      <c r="Z494" s="250"/>
      <c r="AB494" s="222"/>
      <c r="AD494" s="222"/>
      <c r="AG494" s="250"/>
    </row>
    <row r="495" spans="1:33" s="280" customFormat="1" ht="15.5">
      <c r="A495" s="250"/>
      <c r="B495" s="250"/>
      <c r="C495" s="250"/>
      <c r="D495" s="250"/>
      <c r="E495" s="250"/>
      <c r="F495" s="250"/>
      <c r="H495" s="250"/>
      <c r="J495" s="222"/>
      <c r="L495" s="222"/>
      <c r="N495" s="250"/>
      <c r="P495" s="222"/>
      <c r="R495" s="222"/>
      <c r="T495" s="250"/>
      <c r="V495" s="222"/>
      <c r="X495" s="222"/>
      <c r="Z495" s="250"/>
      <c r="AB495" s="222"/>
      <c r="AD495" s="222"/>
      <c r="AG495" s="250"/>
    </row>
    <row r="496" spans="1:33" s="280" customFormat="1" ht="15.5">
      <c r="A496" s="250"/>
      <c r="B496" s="250"/>
      <c r="C496" s="250"/>
      <c r="D496" s="250"/>
      <c r="E496" s="250"/>
      <c r="F496" s="250"/>
      <c r="H496" s="250"/>
      <c r="J496" s="222"/>
      <c r="L496" s="222"/>
      <c r="N496" s="250"/>
      <c r="P496" s="222"/>
      <c r="R496" s="222"/>
      <c r="T496" s="250"/>
      <c r="V496" s="222"/>
      <c r="X496" s="222"/>
      <c r="Z496" s="250"/>
      <c r="AB496" s="222"/>
      <c r="AD496" s="222"/>
      <c r="AG496" s="250"/>
    </row>
    <row r="497" spans="1:33" s="280" customFormat="1" ht="15.5">
      <c r="A497" s="250"/>
      <c r="B497" s="250"/>
      <c r="C497" s="250"/>
      <c r="D497" s="250"/>
      <c r="E497" s="250"/>
      <c r="F497" s="250"/>
      <c r="H497" s="250"/>
      <c r="J497" s="222"/>
      <c r="L497" s="222"/>
      <c r="N497" s="250"/>
      <c r="P497" s="222"/>
      <c r="R497" s="222"/>
      <c r="T497" s="250"/>
      <c r="V497" s="222"/>
      <c r="X497" s="222"/>
      <c r="Z497" s="250"/>
      <c r="AB497" s="222"/>
      <c r="AD497" s="222"/>
      <c r="AG497" s="250"/>
    </row>
    <row r="498" spans="1:33" s="280" customFormat="1" ht="15.5">
      <c r="A498" s="250"/>
      <c r="B498" s="250"/>
      <c r="C498" s="250"/>
      <c r="D498" s="250"/>
      <c r="E498" s="250"/>
      <c r="F498" s="250"/>
      <c r="H498" s="250"/>
      <c r="J498" s="222"/>
      <c r="L498" s="222"/>
      <c r="N498" s="250"/>
      <c r="P498" s="222"/>
      <c r="R498" s="222"/>
      <c r="T498" s="250"/>
      <c r="V498" s="222"/>
      <c r="X498" s="222"/>
      <c r="Z498" s="250"/>
      <c r="AB498" s="222"/>
      <c r="AD498" s="222"/>
      <c r="AG498" s="250"/>
    </row>
    <row r="499" spans="1:33" s="280" customFormat="1" ht="15.5">
      <c r="A499" s="250"/>
      <c r="B499" s="250"/>
      <c r="C499" s="250"/>
      <c r="D499" s="250"/>
      <c r="E499" s="250"/>
      <c r="F499" s="250"/>
      <c r="H499" s="250"/>
      <c r="J499" s="222"/>
      <c r="L499" s="222"/>
      <c r="N499" s="250"/>
      <c r="P499" s="222"/>
      <c r="R499" s="222"/>
      <c r="T499" s="250"/>
      <c r="V499" s="222"/>
      <c r="X499" s="222"/>
      <c r="Z499" s="250"/>
      <c r="AB499" s="222"/>
      <c r="AD499" s="222"/>
      <c r="AG499" s="250"/>
    </row>
    <row r="500" spans="1:33" s="280" customFormat="1" ht="15.5">
      <c r="A500" s="250"/>
      <c r="B500" s="250"/>
      <c r="C500" s="250"/>
      <c r="D500" s="250"/>
      <c r="E500" s="250"/>
      <c r="F500" s="250"/>
      <c r="H500" s="250"/>
      <c r="J500" s="222"/>
      <c r="L500" s="222"/>
      <c r="N500" s="250"/>
      <c r="P500" s="222"/>
      <c r="R500" s="222"/>
      <c r="T500" s="250"/>
      <c r="V500" s="222"/>
      <c r="X500" s="222"/>
      <c r="Z500" s="250"/>
      <c r="AB500" s="222"/>
      <c r="AD500" s="222"/>
      <c r="AG500" s="250"/>
    </row>
    <row r="501" spans="1:33" s="280" customFormat="1" ht="15.5">
      <c r="A501" s="250"/>
      <c r="B501" s="250"/>
      <c r="C501" s="250"/>
      <c r="D501" s="250"/>
      <c r="E501" s="250"/>
      <c r="F501" s="250"/>
      <c r="H501" s="250"/>
      <c r="J501" s="222"/>
      <c r="L501" s="222"/>
      <c r="N501" s="250"/>
      <c r="P501" s="222"/>
      <c r="R501" s="222"/>
      <c r="T501" s="250"/>
      <c r="V501" s="222"/>
      <c r="X501" s="222"/>
      <c r="Z501" s="250"/>
      <c r="AB501" s="222"/>
      <c r="AD501" s="222"/>
      <c r="AG501" s="250"/>
    </row>
    <row r="502" spans="1:33" s="280" customFormat="1" ht="15.5">
      <c r="A502" s="250"/>
      <c r="B502" s="250"/>
      <c r="C502" s="250"/>
      <c r="D502" s="250"/>
      <c r="E502" s="250"/>
      <c r="F502" s="250"/>
      <c r="H502" s="250"/>
      <c r="J502" s="222"/>
      <c r="L502" s="222"/>
      <c r="N502" s="250"/>
      <c r="P502" s="222"/>
      <c r="R502" s="222"/>
      <c r="T502" s="250"/>
      <c r="V502" s="222"/>
      <c r="X502" s="222"/>
      <c r="Z502" s="250"/>
      <c r="AB502" s="222"/>
      <c r="AD502" s="222"/>
      <c r="AG502" s="250"/>
    </row>
    <row r="503" spans="1:33" s="280" customFormat="1" ht="15.5">
      <c r="A503" s="250"/>
      <c r="B503" s="250"/>
      <c r="C503" s="250"/>
      <c r="D503" s="250"/>
      <c r="E503" s="250"/>
      <c r="F503" s="250"/>
      <c r="H503" s="250"/>
      <c r="J503" s="222"/>
      <c r="L503" s="222"/>
      <c r="N503" s="250"/>
      <c r="P503" s="222"/>
      <c r="R503" s="222"/>
      <c r="T503" s="250"/>
      <c r="V503" s="222"/>
      <c r="X503" s="222"/>
      <c r="Z503" s="250"/>
      <c r="AB503" s="222"/>
      <c r="AD503" s="222"/>
      <c r="AG503" s="250"/>
    </row>
    <row r="504" spans="1:33" s="280" customFormat="1" ht="15.5">
      <c r="A504" s="250"/>
      <c r="B504" s="250"/>
      <c r="C504" s="250"/>
      <c r="D504" s="250"/>
      <c r="E504" s="250"/>
      <c r="F504" s="250"/>
      <c r="H504" s="250"/>
      <c r="J504" s="222"/>
      <c r="L504" s="222"/>
      <c r="N504" s="250"/>
      <c r="P504" s="222"/>
      <c r="R504" s="222"/>
      <c r="T504" s="250"/>
      <c r="V504" s="222"/>
      <c r="X504" s="222"/>
      <c r="Z504" s="250"/>
      <c r="AB504" s="222"/>
      <c r="AD504" s="222"/>
      <c r="AG504" s="250"/>
    </row>
    <row r="505" spans="1:33" s="280" customFormat="1" ht="15.5">
      <c r="A505" s="250"/>
      <c r="B505" s="250"/>
      <c r="C505" s="250"/>
      <c r="D505" s="250"/>
      <c r="E505" s="250"/>
      <c r="F505" s="250"/>
      <c r="H505" s="250"/>
      <c r="J505" s="222"/>
      <c r="L505" s="222"/>
      <c r="N505" s="250"/>
      <c r="P505" s="222"/>
      <c r="R505" s="222"/>
      <c r="T505" s="250"/>
      <c r="V505" s="222"/>
      <c r="X505" s="222"/>
      <c r="Z505" s="250"/>
      <c r="AB505" s="222"/>
      <c r="AD505" s="222"/>
      <c r="AG505" s="250"/>
    </row>
    <row r="506" spans="1:33" s="280" customFormat="1" ht="15.5">
      <c r="A506" s="250"/>
      <c r="B506" s="250"/>
      <c r="C506" s="250"/>
      <c r="D506" s="250"/>
      <c r="E506" s="250"/>
      <c r="F506" s="250"/>
      <c r="H506" s="250"/>
      <c r="J506" s="222"/>
      <c r="L506" s="222"/>
      <c r="N506" s="250"/>
      <c r="P506" s="222"/>
      <c r="R506" s="222"/>
      <c r="T506" s="250"/>
      <c r="V506" s="222"/>
      <c r="X506" s="222"/>
      <c r="Z506" s="250"/>
      <c r="AB506" s="222"/>
      <c r="AD506" s="222"/>
      <c r="AG506" s="250"/>
    </row>
    <row r="507" spans="1:33" s="280" customFormat="1" ht="15.5">
      <c r="A507" s="250"/>
      <c r="B507" s="250"/>
      <c r="C507" s="250"/>
      <c r="D507" s="250"/>
      <c r="E507" s="250"/>
      <c r="F507" s="250"/>
      <c r="H507" s="250"/>
      <c r="J507" s="222"/>
      <c r="L507" s="222"/>
      <c r="N507" s="250"/>
      <c r="P507" s="222"/>
      <c r="R507" s="222"/>
      <c r="T507" s="250"/>
      <c r="V507" s="222"/>
      <c r="X507" s="222"/>
      <c r="Z507" s="250"/>
      <c r="AB507" s="222"/>
      <c r="AD507" s="222"/>
      <c r="AG507" s="250"/>
    </row>
    <row r="508" spans="1:33" s="280" customFormat="1">
      <c r="A508" s="250"/>
      <c r="B508" s="250"/>
      <c r="C508" s="250"/>
      <c r="D508" s="250"/>
      <c r="E508" s="250"/>
      <c r="F508" s="250"/>
      <c r="H508" s="250"/>
      <c r="J508" s="250"/>
      <c r="L508" s="250"/>
      <c r="N508" s="250"/>
      <c r="P508" s="250"/>
      <c r="R508" s="250"/>
      <c r="T508" s="250"/>
      <c r="V508" s="250"/>
      <c r="X508" s="250"/>
      <c r="Z508" s="250"/>
      <c r="AB508" s="250"/>
      <c r="AD508" s="250"/>
      <c r="AF508" s="250"/>
      <c r="AG508" s="250"/>
    </row>
    <row r="509" spans="1:33" s="280" customFormat="1">
      <c r="A509" s="250"/>
      <c r="B509" s="250"/>
      <c r="C509" s="250"/>
      <c r="D509" s="250"/>
      <c r="E509" s="250"/>
      <c r="F509" s="250"/>
      <c r="H509" s="250"/>
      <c r="J509" s="250"/>
      <c r="L509" s="250"/>
      <c r="N509" s="250"/>
      <c r="P509" s="250"/>
      <c r="R509" s="250"/>
      <c r="T509" s="250"/>
      <c r="V509" s="250"/>
      <c r="X509" s="250"/>
      <c r="Z509" s="250"/>
      <c r="AB509" s="250"/>
      <c r="AD509" s="250"/>
      <c r="AF509" s="250"/>
      <c r="AG509" s="250"/>
    </row>
    <row r="510" spans="1:33" s="280" customFormat="1">
      <c r="A510" s="250"/>
      <c r="B510" s="250"/>
      <c r="C510" s="250"/>
      <c r="D510" s="250"/>
      <c r="E510" s="250"/>
      <c r="F510" s="250"/>
      <c r="H510" s="250"/>
      <c r="J510" s="250"/>
      <c r="L510" s="250"/>
      <c r="N510" s="250"/>
      <c r="P510" s="250"/>
      <c r="R510" s="250"/>
      <c r="T510" s="250"/>
      <c r="V510" s="250"/>
      <c r="X510" s="250"/>
      <c r="Z510" s="250"/>
      <c r="AB510" s="250"/>
      <c r="AD510" s="250"/>
      <c r="AF510" s="250"/>
      <c r="AG510" s="250"/>
    </row>
    <row r="511" spans="1:33" s="280" customFormat="1">
      <c r="A511" s="250"/>
      <c r="B511" s="250"/>
      <c r="C511" s="250"/>
      <c r="D511" s="250"/>
      <c r="E511" s="250"/>
      <c r="F511" s="250"/>
      <c r="H511" s="250"/>
      <c r="J511" s="250"/>
      <c r="L511" s="250"/>
      <c r="N511" s="250"/>
      <c r="P511" s="250"/>
      <c r="R511" s="250"/>
      <c r="T511" s="250"/>
      <c r="V511" s="250"/>
      <c r="X511" s="250"/>
      <c r="Z511" s="250"/>
      <c r="AB511" s="250"/>
      <c r="AD511" s="250"/>
      <c r="AF511" s="250"/>
      <c r="AG511" s="250"/>
    </row>
    <row r="512" spans="1:33" s="280" customFormat="1">
      <c r="A512" s="250"/>
      <c r="B512" s="250"/>
      <c r="C512" s="250"/>
      <c r="D512" s="250"/>
      <c r="E512" s="250"/>
      <c r="F512" s="250"/>
      <c r="H512" s="250"/>
      <c r="J512" s="250"/>
      <c r="L512" s="250"/>
      <c r="N512" s="250"/>
      <c r="P512" s="250"/>
      <c r="R512" s="250"/>
      <c r="T512" s="250"/>
      <c r="V512" s="250"/>
      <c r="X512" s="250"/>
      <c r="Z512" s="250"/>
      <c r="AB512" s="250"/>
      <c r="AD512" s="250"/>
      <c r="AF512" s="250"/>
      <c r="AG512" s="250"/>
    </row>
    <row r="513" spans="1:33" s="280" customFormat="1">
      <c r="A513" s="250"/>
      <c r="B513" s="250"/>
      <c r="C513" s="250"/>
      <c r="D513" s="250"/>
      <c r="E513" s="250"/>
      <c r="F513" s="250"/>
      <c r="H513" s="250"/>
      <c r="J513" s="250"/>
      <c r="L513" s="250"/>
      <c r="N513" s="250"/>
      <c r="P513" s="250"/>
      <c r="R513" s="250"/>
      <c r="T513" s="250"/>
      <c r="V513" s="250"/>
      <c r="X513" s="250"/>
      <c r="Z513" s="250"/>
      <c r="AB513" s="250"/>
      <c r="AD513" s="250"/>
      <c r="AF513" s="250"/>
      <c r="AG513" s="250"/>
    </row>
    <row r="514" spans="1:33" s="280" customFormat="1">
      <c r="A514" s="250"/>
      <c r="B514" s="250"/>
      <c r="C514" s="250"/>
      <c r="D514" s="250"/>
      <c r="E514" s="250"/>
      <c r="F514" s="250"/>
      <c r="H514" s="250"/>
      <c r="J514" s="250"/>
      <c r="L514" s="250"/>
      <c r="N514" s="250"/>
      <c r="P514" s="250"/>
      <c r="R514" s="250"/>
      <c r="T514" s="250"/>
      <c r="V514" s="250"/>
      <c r="X514" s="250"/>
      <c r="Z514" s="250"/>
      <c r="AB514" s="250"/>
      <c r="AD514" s="250"/>
      <c r="AF514" s="250"/>
      <c r="AG514" s="250"/>
    </row>
    <row r="515" spans="1:33" s="280" customFormat="1">
      <c r="A515" s="250"/>
      <c r="B515" s="250"/>
      <c r="C515" s="250"/>
      <c r="D515" s="250"/>
      <c r="E515" s="250"/>
      <c r="F515" s="250"/>
      <c r="H515" s="250"/>
      <c r="J515" s="250"/>
      <c r="L515" s="250"/>
      <c r="N515" s="250"/>
      <c r="P515" s="250"/>
      <c r="R515" s="250"/>
      <c r="T515" s="250"/>
      <c r="V515" s="250"/>
      <c r="X515" s="250"/>
      <c r="Z515" s="250"/>
      <c r="AB515" s="250"/>
      <c r="AD515" s="250"/>
      <c r="AF515" s="250"/>
      <c r="AG515" s="250"/>
    </row>
    <row r="516" spans="1:33" s="280" customFormat="1">
      <c r="A516" s="250"/>
      <c r="B516" s="250"/>
      <c r="C516" s="250"/>
      <c r="D516" s="250"/>
      <c r="E516" s="250"/>
      <c r="F516" s="250"/>
      <c r="H516" s="250"/>
      <c r="J516" s="250"/>
      <c r="L516" s="250"/>
      <c r="N516" s="250"/>
      <c r="P516" s="250"/>
      <c r="R516" s="250"/>
      <c r="T516" s="250"/>
      <c r="V516" s="250"/>
      <c r="X516" s="250"/>
      <c r="Z516" s="250"/>
      <c r="AB516" s="250"/>
      <c r="AD516" s="250"/>
      <c r="AF516" s="250"/>
      <c r="AG516" s="250"/>
    </row>
    <row r="517" spans="1:33" s="280" customFormat="1">
      <c r="A517" s="250"/>
      <c r="B517" s="250"/>
      <c r="C517" s="250"/>
      <c r="D517" s="250"/>
      <c r="E517" s="250"/>
      <c r="F517" s="250"/>
      <c r="H517" s="250"/>
      <c r="J517" s="250"/>
      <c r="L517" s="250"/>
      <c r="N517" s="250"/>
      <c r="P517" s="250"/>
      <c r="R517" s="250"/>
      <c r="T517" s="250"/>
      <c r="V517" s="250"/>
      <c r="X517" s="250"/>
      <c r="Z517" s="250"/>
      <c r="AB517" s="250"/>
      <c r="AD517" s="250"/>
      <c r="AF517" s="250"/>
      <c r="AG517" s="250"/>
    </row>
    <row r="518" spans="1:33" s="280" customFormat="1">
      <c r="A518" s="250"/>
      <c r="B518" s="250"/>
      <c r="C518" s="250"/>
      <c r="D518" s="250"/>
      <c r="E518" s="250"/>
      <c r="F518" s="250"/>
      <c r="H518" s="250"/>
      <c r="J518" s="250"/>
      <c r="L518" s="250"/>
      <c r="N518" s="250"/>
      <c r="P518" s="250"/>
      <c r="R518" s="250"/>
      <c r="T518" s="250"/>
      <c r="V518" s="250"/>
      <c r="X518" s="250"/>
      <c r="Z518" s="250"/>
      <c r="AB518" s="250"/>
      <c r="AD518" s="250"/>
      <c r="AF518" s="250"/>
      <c r="AG518" s="250"/>
    </row>
    <row r="519" spans="1:33" s="280" customFormat="1">
      <c r="A519" s="250"/>
      <c r="B519" s="250"/>
      <c r="C519" s="250"/>
      <c r="D519" s="250"/>
      <c r="E519" s="250"/>
      <c r="F519" s="250"/>
      <c r="H519" s="250"/>
      <c r="J519" s="250"/>
      <c r="L519" s="250"/>
      <c r="N519" s="250"/>
      <c r="P519" s="250"/>
      <c r="R519" s="250"/>
      <c r="T519" s="250"/>
      <c r="V519" s="250"/>
      <c r="X519" s="250"/>
      <c r="Z519" s="250"/>
      <c r="AB519" s="250"/>
      <c r="AD519" s="250"/>
      <c r="AF519" s="250"/>
      <c r="AG519" s="250"/>
    </row>
    <row r="520" spans="1:33" s="280" customFormat="1">
      <c r="A520" s="250"/>
      <c r="B520" s="250"/>
      <c r="C520" s="250"/>
      <c r="D520" s="250"/>
      <c r="E520" s="250"/>
      <c r="F520" s="250"/>
      <c r="H520" s="250"/>
      <c r="J520" s="250"/>
      <c r="L520" s="250"/>
      <c r="N520" s="250"/>
      <c r="P520" s="250"/>
      <c r="R520" s="250"/>
      <c r="T520" s="250"/>
      <c r="V520" s="250"/>
      <c r="X520" s="250"/>
      <c r="Z520" s="250"/>
      <c r="AB520" s="250"/>
      <c r="AD520" s="250"/>
      <c r="AF520" s="250"/>
      <c r="AG520" s="250"/>
    </row>
    <row r="521" spans="1:33" s="280" customFormat="1">
      <c r="A521" s="250"/>
      <c r="B521" s="250"/>
      <c r="C521" s="250"/>
      <c r="D521" s="250"/>
      <c r="E521" s="250"/>
      <c r="F521" s="250"/>
      <c r="H521" s="250"/>
      <c r="J521" s="250"/>
      <c r="L521" s="250"/>
      <c r="N521" s="250"/>
      <c r="P521" s="250"/>
      <c r="R521" s="250"/>
      <c r="T521" s="250"/>
      <c r="V521" s="250"/>
      <c r="X521" s="250"/>
      <c r="Z521" s="250"/>
      <c r="AB521" s="250"/>
      <c r="AD521" s="250"/>
      <c r="AF521" s="250"/>
      <c r="AG521" s="250"/>
    </row>
    <row r="522" spans="1:33" s="280" customFormat="1">
      <c r="A522" s="250"/>
      <c r="B522" s="250"/>
      <c r="C522" s="250"/>
      <c r="D522" s="250"/>
      <c r="E522" s="250"/>
      <c r="F522" s="250"/>
      <c r="H522" s="250"/>
      <c r="J522" s="250"/>
      <c r="L522" s="250"/>
      <c r="N522" s="250"/>
      <c r="P522" s="250"/>
      <c r="R522" s="250"/>
      <c r="T522" s="250"/>
      <c r="V522" s="250"/>
      <c r="X522" s="250"/>
      <c r="Z522" s="250"/>
      <c r="AB522" s="250"/>
      <c r="AD522" s="250"/>
      <c r="AF522" s="250"/>
      <c r="AG522" s="250"/>
    </row>
  </sheetData>
  <pageMargins left="0.25" right="0.25" top="0.27" bottom="0.4" header="0.18" footer="0.25"/>
  <pageSetup scale="48" fitToHeight="5" orientation="landscape" errors="blank" horizontalDpi="4294967292" r:id="rId1"/>
  <headerFooter alignWithMargins="0">
    <oddFooter>&amp;L&amp;F - &amp;A&amp;CPrinted &amp;D - &amp;T&amp;RPage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AF145"/>
  <sheetViews>
    <sheetView tabSelected="1" zoomScale="80" zoomScaleNormal="80" workbookViewId="0">
      <pane xSplit="3" ySplit="2" topLeftCell="K3" activePane="bottomRight" state="frozen"/>
      <selection pane="topRight" activeCell="D1" sqref="D1"/>
      <selection pane="bottomLeft" activeCell="A3" sqref="A3"/>
      <selection pane="bottomRight" activeCell="C5" sqref="C5"/>
    </sheetView>
  </sheetViews>
  <sheetFormatPr defaultColWidth="8.81640625" defaultRowHeight="14.5"/>
  <cols>
    <col min="1" max="1" width="4.54296875" style="64" customWidth="1"/>
    <col min="2" max="2" width="11" style="68" bestFit="1" customWidth="1"/>
    <col min="3" max="3" width="33.1796875" style="64" customWidth="1"/>
    <col min="4" max="4" width="18.81640625" style="65" bestFit="1" customWidth="1"/>
    <col min="5" max="5" width="11.453125" style="64" bestFit="1" customWidth="1"/>
    <col min="6" max="6" width="15.453125" style="64" bestFit="1" customWidth="1"/>
    <col min="7" max="7" width="15.1796875" style="64" customWidth="1"/>
    <col min="8" max="8" width="21.453125" style="64" customWidth="1"/>
    <col min="9" max="9" width="16.26953125" style="63" customWidth="1"/>
    <col min="10" max="10" width="15.1796875" style="64" customWidth="1"/>
    <col min="11" max="11" width="13.54296875" style="64" customWidth="1"/>
    <col min="12" max="12" width="10.7265625" style="64" customWidth="1"/>
    <col min="13" max="13" width="16.54296875" style="64" customWidth="1"/>
    <col min="14" max="14" width="20.1796875" style="64" customWidth="1"/>
    <col min="15" max="15" width="18.1796875" style="64" customWidth="1"/>
    <col min="16" max="16" width="21.26953125" style="64" customWidth="1"/>
    <col min="17" max="17" width="22" style="64" bestFit="1" customWidth="1"/>
    <col min="18" max="18" width="16.7265625" style="138" bestFit="1" customWidth="1"/>
    <col min="19" max="19" width="3.7265625" style="210" customWidth="1"/>
    <col min="20" max="20" width="13.81640625" style="64" customWidth="1"/>
    <col min="21" max="21" width="14.26953125" style="64" customWidth="1"/>
    <col min="22" max="22" width="3.26953125" style="64" customWidth="1"/>
    <col min="23" max="23" width="13.26953125" style="64" customWidth="1"/>
    <col min="24" max="24" width="12.54296875" style="64" customWidth="1"/>
    <col min="25" max="25" width="5.26953125" style="64" customWidth="1"/>
    <col min="26" max="26" width="12.54296875" style="138" customWidth="1"/>
    <col min="27" max="27" width="18.7265625" style="66" customWidth="1"/>
    <col min="28" max="28" width="8.81640625" style="64"/>
    <col min="29" max="29" width="14.26953125" style="64" customWidth="1"/>
    <col min="30" max="16384" width="8.81640625" style="64"/>
  </cols>
  <sheetData>
    <row r="2" spans="1:32" ht="29">
      <c r="A2" s="52"/>
      <c r="B2" s="90" t="s">
        <v>16</v>
      </c>
      <c r="C2" s="91" t="s">
        <v>18</v>
      </c>
      <c r="D2" s="90" t="s">
        <v>881</v>
      </c>
      <c r="E2" s="90" t="s">
        <v>0</v>
      </c>
      <c r="F2" s="52" t="s">
        <v>1</v>
      </c>
      <c r="G2" s="90" t="s">
        <v>11</v>
      </c>
      <c r="H2" s="90" t="s">
        <v>35</v>
      </c>
      <c r="I2" s="133" t="s">
        <v>36</v>
      </c>
      <c r="J2" s="90" t="s">
        <v>10</v>
      </c>
      <c r="K2" s="90" t="s">
        <v>2</v>
      </c>
      <c r="L2" s="90" t="s">
        <v>40</v>
      </c>
      <c r="M2" s="90" t="s">
        <v>38</v>
      </c>
      <c r="N2" s="90" t="s">
        <v>702</v>
      </c>
      <c r="O2" s="90" t="s">
        <v>37</v>
      </c>
      <c r="P2" s="90" t="s">
        <v>39</v>
      </c>
      <c r="Q2" s="90" t="s">
        <v>703</v>
      </c>
      <c r="R2" s="140" t="s">
        <v>41</v>
      </c>
      <c r="T2" s="90" t="s">
        <v>267</v>
      </c>
      <c r="U2" s="136" t="s">
        <v>265</v>
      </c>
      <c r="W2" s="90" t="s">
        <v>268</v>
      </c>
      <c r="X2" s="136" t="s">
        <v>265</v>
      </c>
      <c r="Z2" s="333" t="s">
        <v>266</v>
      </c>
    </row>
    <row r="3" spans="1:32" s="66" customFormat="1">
      <c r="A3" s="435"/>
      <c r="B3" s="54">
        <v>22</v>
      </c>
      <c r="C3" s="132" t="s">
        <v>165</v>
      </c>
      <c r="D3" s="160">
        <f>'Consolidated Cust Cnt'!D12</f>
        <v>162957.2834811096</v>
      </c>
      <c r="E3" s="75">
        <f>References!$C$10</f>
        <v>1</v>
      </c>
      <c r="F3" s="76">
        <f>D3*E3</f>
        <v>162957.2834811096</v>
      </c>
      <c r="G3" s="76">
        <f>References!C14</f>
        <v>34</v>
      </c>
      <c r="H3" s="76">
        <f>F3*G3</f>
        <v>5540547.6383577259</v>
      </c>
      <c r="I3" s="131">
        <f t="shared" ref="I3:I18" si="0">$D$137*H3</f>
        <v>4409265.6858590506</v>
      </c>
      <c r="J3" s="79">
        <f>(References!$D$57*I3)</f>
        <v>1918.0305733487082</v>
      </c>
      <c r="K3" s="79">
        <f>J3/References!$H$60</f>
        <v>1955.7272154260454</v>
      </c>
      <c r="L3" s="79">
        <f>K3/F3</f>
        <v>1.200147163506661E-2</v>
      </c>
      <c r="M3" s="30">
        <f>'Proposed Rates'!C28</f>
        <v>4.1399999999999997</v>
      </c>
      <c r="N3" s="79">
        <f>L3+M3</f>
        <v>4.1520014716350664</v>
      </c>
      <c r="O3" s="79">
        <f>'Proposed Rates'!E28</f>
        <v>4.1499999999999995</v>
      </c>
      <c r="P3" s="73">
        <f>D3*M3</f>
        <v>674643.15361179365</v>
      </c>
      <c r="Q3" s="78">
        <f>D3*N3</f>
        <v>676598.88082721969</v>
      </c>
      <c r="R3" s="212">
        <f t="shared" ref="R3:R18" si="1">Q3-P3</f>
        <v>1955.7272154260427</v>
      </c>
      <c r="S3" s="208"/>
      <c r="T3" s="137">
        <f>'Consolidated Cust Cnt'!B12</f>
        <v>109702.44284798634</v>
      </c>
      <c r="U3" s="137">
        <f t="shared" ref="U3:U16" si="2">T3*L3</f>
        <v>1316.5907561376239</v>
      </c>
      <c r="V3" s="137"/>
      <c r="W3" s="137">
        <f>'Consolidated Cust Cnt'!C12</f>
        <v>53254.84063312324</v>
      </c>
      <c r="X3" s="137">
        <f t="shared" ref="X3:X16" si="3">W3*L3</f>
        <v>639.13645928842129</v>
      </c>
      <c r="Y3" s="137"/>
      <c r="Z3" s="137">
        <f>U3+X3</f>
        <v>1955.7272154260452</v>
      </c>
      <c r="AA3" s="137"/>
      <c r="AC3" s="332"/>
    </row>
    <row r="4" spans="1:32" s="66" customFormat="1">
      <c r="A4" s="436"/>
      <c r="B4" s="50">
        <v>21</v>
      </c>
      <c r="C4" s="121" t="s">
        <v>167</v>
      </c>
      <c r="D4" s="120">
        <f>'Consolidated Cust Cnt'!D32</f>
        <v>16699.771548436307</v>
      </c>
      <c r="E4" s="75">
        <f>References!C7</f>
        <v>4.333333333333333</v>
      </c>
      <c r="F4" s="74">
        <f t="shared" ref="F4:F67" si="4">D4*E4</f>
        <v>72365.676709890657</v>
      </c>
      <c r="G4" s="74">
        <f>References!C13</f>
        <v>20</v>
      </c>
      <c r="H4" s="74">
        <f>F4*G4</f>
        <v>1447313.5341978131</v>
      </c>
      <c r="I4" s="49">
        <f t="shared" si="0"/>
        <v>1151797.6776947945</v>
      </c>
      <c r="J4" s="73">
        <f>(References!$D$57*I4)</f>
        <v>501.03198979724118</v>
      </c>
      <c r="K4" s="73">
        <f>J4/References!$H$60</f>
        <v>510.87918610950186</v>
      </c>
      <c r="L4" s="73">
        <f>K4/F4*E4</f>
        <v>3.0591986520758025E-2</v>
      </c>
      <c r="M4" s="98">
        <f>'Proposed Rates'!C11</f>
        <v>13.3</v>
      </c>
      <c r="N4" s="73">
        <f>L4+M4</f>
        <v>13.330591986520758</v>
      </c>
      <c r="O4" s="73">
        <f>'Proposed Rates'!E11</f>
        <v>13.33</v>
      </c>
      <c r="P4" s="73">
        <f>D4*M4</f>
        <v>222106.9615942029</v>
      </c>
      <c r="Q4" s="78">
        <f t="shared" ref="Q4:Q16" si="5">D4*N4</f>
        <v>222617.8407803124</v>
      </c>
      <c r="R4" s="213">
        <f t="shared" si="1"/>
        <v>510.87918610949419</v>
      </c>
      <c r="S4" s="208"/>
      <c r="T4" s="137">
        <f>'Consolidated Cust Cnt'!B32</f>
        <v>10328.246284188732</v>
      </c>
      <c r="U4" s="137">
        <f t="shared" si="2"/>
        <v>315.96157110897082</v>
      </c>
      <c r="V4" s="137"/>
      <c r="W4" s="137">
        <f>'Consolidated Cust Cnt'!C32</f>
        <v>6371.5252642475753</v>
      </c>
      <c r="X4" s="137">
        <f t="shared" si="3"/>
        <v>194.91761500053104</v>
      </c>
      <c r="Y4" s="137"/>
      <c r="Z4" s="137">
        <f t="shared" ref="Z4:Z70" si="6">U4+X4</f>
        <v>510.87918610950186</v>
      </c>
      <c r="AA4" s="137"/>
      <c r="AC4" s="332"/>
    </row>
    <row r="5" spans="1:32" s="66" customFormat="1">
      <c r="A5" s="436"/>
      <c r="B5" s="50">
        <v>21</v>
      </c>
      <c r="C5" s="121" t="s">
        <v>168</v>
      </c>
      <c r="D5" s="120">
        <f>'Consolidated Cust Cnt'!D33</f>
        <v>210.31198376393272</v>
      </c>
      <c r="E5" s="75">
        <f>References!C7</f>
        <v>4.333333333333333</v>
      </c>
      <c r="F5" s="74">
        <f t="shared" si="4"/>
        <v>911.35192964370833</v>
      </c>
      <c r="G5" s="74">
        <f>References!C13</f>
        <v>20</v>
      </c>
      <c r="H5" s="74">
        <f>F5*G5</f>
        <v>18227.038592874167</v>
      </c>
      <c r="I5" s="49">
        <f t="shared" si="0"/>
        <v>14505.399297714644</v>
      </c>
      <c r="J5" s="73">
        <f>(References!$D$57*I5)</f>
        <v>6.3098486945059404</v>
      </c>
      <c r="K5" s="73">
        <f>J5/References!$H$60</f>
        <v>6.4338613724601093</v>
      </c>
      <c r="L5" s="73">
        <f t="shared" ref="L5:L16" si="7">K5/F5*E5</f>
        <v>3.0591986520758022E-2</v>
      </c>
      <c r="M5" s="98">
        <f>'Proposed Rates'!C12</f>
        <v>14.3</v>
      </c>
      <c r="N5" s="73">
        <f t="shared" ref="N5:N81" si="8">L5+M5</f>
        <v>14.330591986520758</v>
      </c>
      <c r="O5" s="73">
        <f>'Proposed Rates'!E12</f>
        <v>14.33</v>
      </c>
      <c r="P5" s="73">
        <f t="shared" ref="P5:P16" si="9">D5*M5</f>
        <v>3007.4613678242381</v>
      </c>
      <c r="Q5" s="78">
        <f t="shared" si="5"/>
        <v>3013.895229196698</v>
      </c>
      <c r="R5" s="213">
        <f t="shared" si="1"/>
        <v>6.4338613724598872</v>
      </c>
      <c r="S5" s="208"/>
      <c r="T5" s="137">
        <f>'Consolidated Cust Cnt'!B33</f>
        <v>144.60717489455971</v>
      </c>
      <c r="U5" s="137">
        <f t="shared" si="2"/>
        <v>4.4238207451792686</v>
      </c>
      <c r="V5" s="137"/>
      <c r="W5" s="137">
        <f>'Consolidated Cust Cnt'!C33</f>
        <v>65.704808869373011</v>
      </c>
      <c r="X5" s="137">
        <f t="shared" si="3"/>
        <v>2.0100406272808411</v>
      </c>
      <c r="Y5" s="137"/>
      <c r="Z5" s="137">
        <f t="shared" si="6"/>
        <v>6.4338613724601093</v>
      </c>
      <c r="AA5" s="137"/>
      <c r="AC5" s="332"/>
    </row>
    <row r="6" spans="1:32" s="66" customFormat="1">
      <c r="A6" s="436"/>
      <c r="B6" s="50">
        <v>21</v>
      </c>
      <c r="C6" s="121" t="s">
        <v>169</v>
      </c>
      <c r="D6" s="120">
        <f>'Consolidated Cust Cnt'!D34</f>
        <v>8732.318419554138</v>
      </c>
      <c r="E6" s="75">
        <f>References!C9</f>
        <v>1</v>
      </c>
      <c r="F6" s="74">
        <f t="shared" si="4"/>
        <v>8732.318419554138</v>
      </c>
      <c r="G6" s="74">
        <f>References!$C$14</f>
        <v>34</v>
      </c>
      <c r="H6" s="74">
        <f t="shared" ref="H6:H18" si="10">F6*G6</f>
        <v>296898.82626484067</v>
      </c>
      <c r="I6" s="49">
        <f t="shared" si="0"/>
        <v>236277.33073863108</v>
      </c>
      <c r="J6" s="73">
        <f>(References!$D$57*I6)</f>
        <v>102.78063887130565</v>
      </c>
      <c r="K6" s="73">
        <f>J6/References!$H$60</f>
        <v>104.80067182064866</v>
      </c>
      <c r="L6" s="73">
        <f t="shared" si="7"/>
        <v>1.2001471635066608E-2</v>
      </c>
      <c r="M6" s="98">
        <f>'Proposed Rates'!C25</f>
        <v>10.3</v>
      </c>
      <c r="N6" s="73">
        <f t="shared" si="8"/>
        <v>10.312001471635067</v>
      </c>
      <c r="O6" s="73">
        <f>'Proposed Rates'!E25</f>
        <v>10.31</v>
      </c>
      <c r="P6" s="73">
        <f t="shared" si="9"/>
        <v>89942.879721407633</v>
      </c>
      <c r="Q6" s="78">
        <f t="shared" si="5"/>
        <v>90047.680393228278</v>
      </c>
      <c r="R6" s="213">
        <f t="shared" si="1"/>
        <v>104.80067182064522</v>
      </c>
      <c r="S6" s="208"/>
      <c r="T6" s="137">
        <f>'Consolidated Cust Cnt'!B34</f>
        <v>5449.462982945648</v>
      </c>
      <c r="U6" s="137">
        <f t="shared" si="2"/>
        <v>65.40157541616766</v>
      </c>
      <c r="V6" s="137"/>
      <c r="W6" s="137">
        <f>'Consolidated Cust Cnt'!C34</f>
        <v>3282.85543660849</v>
      </c>
      <c r="X6" s="137">
        <f t="shared" si="3"/>
        <v>39.399096404481</v>
      </c>
      <c r="Y6" s="137"/>
      <c r="Z6" s="137">
        <f t="shared" si="6"/>
        <v>104.80067182064866</v>
      </c>
      <c r="AA6" s="137"/>
      <c r="AC6" s="332"/>
    </row>
    <row r="7" spans="1:32" s="66" customFormat="1">
      <c r="A7" s="436"/>
      <c r="B7" s="50">
        <v>21</v>
      </c>
      <c r="C7" s="121" t="s">
        <v>170</v>
      </c>
      <c r="D7" s="120">
        <f>'Consolidated Cust Cnt'!D35</f>
        <v>427796.02418477263</v>
      </c>
      <c r="E7" s="75">
        <f>References!C7</f>
        <v>4.333333333333333</v>
      </c>
      <c r="F7" s="74">
        <f>D7*E7</f>
        <v>1853782.7714673479</v>
      </c>
      <c r="G7" s="74">
        <f>References!$C$14</f>
        <v>34</v>
      </c>
      <c r="H7" s="74">
        <f t="shared" si="10"/>
        <v>63028614.229889825</v>
      </c>
      <c r="I7" s="49">
        <f t="shared" si="0"/>
        <v>50159284.621452317</v>
      </c>
      <c r="J7" s="73">
        <f>(References!$D$57*I7)</f>
        <v>21819.288810332</v>
      </c>
      <c r="K7" s="73">
        <f>J7/References!$H$60</f>
        <v>22248.121349340541</v>
      </c>
      <c r="L7" s="73">
        <f t="shared" si="7"/>
        <v>5.200637708528863E-2</v>
      </c>
      <c r="M7" s="98">
        <f>'Proposed Rates'!C13</f>
        <v>16.62</v>
      </c>
      <c r="N7" s="73">
        <f t="shared" si="8"/>
        <v>16.672006377085289</v>
      </c>
      <c r="O7" s="73">
        <f>'Proposed Rates'!E13</f>
        <v>16.670000000000002</v>
      </c>
      <c r="P7" s="73">
        <f t="shared" si="9"/>
        <v>7109969.9219509214</v>
      </c>
      <c r="Q7" s="78">
        <f t="shared" si="5"/>
        <v>7132218.0433002617</v>
      </c>
      <c r="R7" s="213">
        <f t="shared" si="1"/>
        <v>22248.121349340305</v>
      </c>
      <c r="S7" s="208"/>
      <c r="T7" s="137">
        <f>'Consolidated Cust Cnt'!B35</f>
        <v>277734.7579097547</v>
      </c>
      <c r="U7" s="137">
        <f t="shared" si="2"/>
        <v>14443.978549546051</v>
      </c>
      <c r="V7" s="137"/>
      <c r="W7" s="137">
        <f>'Consolidated Cust Cnt'!C35</f>
        <v>150061.2662750179</v>
      </c>
      <c r="X7" s="137">
        <f t="shared" si="3"/>
        <v>7804.1427997944866</v>
      </c>
      <c r="Y7" s="137"/>
      <c r="Z7" s="137">
        <f t="shared" si="6"/>
        <v>22248.121349340538</v>
      </c>
      <c r="AA7" s="137"/>
      <c r="AC7" s="332"/>
    </row>
    <row r="8" spans="1:32" s="66" customFormat="1">
      <c r="A8" s="436"/>
      <c r="B8" s="50">
        <v>21</v>
      </c>
      <c r="C8" s="121" t="s">
        <v>171</v>
      </c>
      <c r="D8" s="120">
        <f>'Consolidated Cust Cnt'!D36</f>
        <v>6930.2264393457244</v>
      </c>
      <c r="E8" s="75">
        <f>References!C7</f>
        <v>4.333333333333333</v>
      </c>
      <c r="F8" s="74">
        <f t="shared" si="4"/>
        <v>30030.981237164804</v>
      </c>
      <c r="G8" s="74">
        <f>References!$C$14</f>
        <v>34</v>
      </c>
      <c r="H8" s="74">
        <f t="shared" si="10"/>
        <v>1021053.3620636034</v>
      </c>
      <c r="I8" s="49">
        <f t="shared" si="0"/>
        <v>812572.30271059088</v>
      </c>
      <c r="J8" s="73">
        <f>(References!$D$57*I8)</f>
        <v>353.46895167911094</v>
      </c>
      <c r="K8" s="73">
        <f>J8/References!$H$60</f>
        <v>360.41596949105099</v>
      </c>
      <c r="L8" s="73">
        <f t="shared" si="7"/>
        <v>5.2006377085288637E-2</v>
      </c>
      <c r="M8" s="98">
        <f>'Proposed Rates'!C14</f>
        <v>17.62</v>
      </c>
      <c r="N8" s="73">
        <f t="shared" si="8"/>
        <v>17.672006377085289</v>
      </c>
      <c r="O8" s="73">
        <f>'Proposed Rates'!E14</f>
        <v>17.670000000000002</v>
      </c>
      <c r="P8" s="73">
        <f t="shared" si="9"/>
        <v>122110.58986127167</v>
      </c>
      <c r="Q8" s="78">
        <f t="shared" si="5"/>
        <v>122471.00583076272</v>
      </c>
      <c r="R8" s="213">
        <f t="shared" si="1"/>
        <v>360.4159694910486</v>
      </c>
      <c r="S8" s="208"/>
      <c r="T8" s="137">
        <f>'Consolidated Cust Cnt'!B36</f>
        <v>4464.3257530525607</v>
      </c>
      <c r="U8" s="137">
        <f t="shared" si="2"/>
        <v>232.17340854481662</v>
      </c>
      <c r="V8" s="137"/>
      <c r="W8" s="137">
        <f>'Consolidated Cust Cnt'!C36</f>
        <v>2465.9006862931637</v>
      </c>
      <c r="X8" s="137">
        <f t="shared" si="3"/>
        <v>128.24256094623431</v>
      </c>
      <c r="Y8" s="137"/>
      <c r="Z8" s="137">
        <f t="shared" si="6"/>
        <v>360.41596949105093</v>
      </c>
      <c r="AA8" s="137"/>
      <c r="AC8" s="332"/>
    </row>
    <row r="9" spans="1:32" s="66" customFormat="1">
      <c r="A9" s="436"/>
      <c r="B9" s="50">
        <v>21</v>
      </c>
      <c r="C9" s="121" t="s">
        <v>172</v>
      </c>
      <c r="D9" s="120">
        <f>'Consolidated Cust Cnt'!D37</f>
        <v>134972.46129411401</v>
      </c>
      <c r="E9" s="75">
        <f>References!$C$7</f>
        <v>4.333333333333333</v>
      </c>
      <c r="F9" s="74">
        <f t="shared" si="4"/>
        <v>584880.66560782737</v>
      </c>
      <c r="G9" s="74">
        <f>References!$C$15</f>
        <v>51</v>
      </c>
      <c r="H9" s="74">
        <f t="shared" si="10"/>
        <v>29828913.945999194</v>
      </c>
      <c r="I9" s="49">
        <f t="shared" si="0"/>
        <v>23738376.653958641</v>
      </c>
      <c r="J9" s="73">
        <f>(References!$D$57*I9)</f>
        <v>10326.193844472124</v>
      </c>
      <c r="K9" s="73">
        <f>J9/References!$H$60</f>
        <v>10529.143077286828</v>
      </c>
      <c r="L9" s="73">
        <f t="shared" si="7"/>
        <v>7.8009565627932959E-2</v>
      </c>
      <c r="M9" s="98">
        <f>'Proposed Rates'!C15</f>
        <v>24.43</v>
      </c>
      <c r="N9" s="73">
        <f t="shared" si="8"/>
        <v>24.508009565627933</v>
      </c>
      <c r="O9" s="73">
        <f>'Proposed Rates'!E15</f>
        <v>24.509999999999998</v>
      </c>
      <c r="P9" s="73">
        <f t="shared" si="9"/>
        <v>3297377.2294152053</v>
      </c>
      <c r="Q9" s="78">
        <f t="shared" si="5"/>
        <v>3307906.3724924922</v>
      </c>
      <c r="R9" s="213">
        <f t="shared" si="1"/>
        <v>10529.143077286892</v>
      </c>
      <c r="S9" s="208"/>
      <c r="T9" s="137">
        <f>'Consolidated Cust Cnt'!B37</f>
        <v>89485.74259909564</v>
      </c>
      <c r="U9" s="137">
        <f t="shared" si="2"/>
        <v>6980.7439100484671</v>
      </c>
      <c r="V9" s="137"/>
      <c r="W9" s="137">
        <f>'Consolidated Cust Cnt'!C37</f>
        <v>45486.718695018353</v>
      </c>
      <c r="X9" s="137">
        <f t="shared" si="3"/>
        <v>3548.399167238359</v>
      </c>
      <c r="Y9" s="137"/>
      <c r="Z9" s="137">
        <f t="shared" si="6"/>
        <v>10529.143077286826</v>
      </c>
      <c r="AA9" s="137"/>
      <c r="AC9" s="332"/>
    </row>
    <row r="10" spans="1:32" s="66" customFormat="1">
      <c r="A10" s="436"/>
      <c r="B10" s="50">
        <v>21</v>
      </c>
      <c r="C10" s="121" t="s">
        <v>173</v>
      </c>
      <c r="D10" s="120">
        <f>'Consolidated Cust Cnt'!D38</f>
        <v>2301.0949678395764</v>
      </c>
      <c r="E10" s="75">
        <f>References!$C$7</f>
        <v>4.333333333333333</v>
      </c>
      <c r="F10" s="74">
        <f t="shared" si="4"/>
        <v>9971.4115273048301</v>
      </c>
      <c r="G10" s="74">
        <f>References!$C$15</f>
        <v>51</v>
      </c>
      <c r="H10" s="74">
        <f t="shared" si="10"/>
        <v>508541.98789254634</v>
      </c>
      <c r="I10" s="49">
        <f t="shared" si="0"/>
        <v>404706.69749494159</v>
      </c>
      <c r="J10" s="73">
        <f>(References!$D$57*I10)</f>
        <v>176.04741341030154</v>
      </c>
      <c r="K10" s="73">
        <f>J10/References!$H$60</f>
        <v>179.5074189097877</v>
      </c>
      <c r="L10" s="73">
        <f t="shared" si="7"/>
        <v>7.8009565627932959E-2</v>
      </c>
      <c r="M10" s="98">
        <f>'Proposed Rates'!C16</f>
        <v>26.43</v>
      </c>
      <c r="N10" s="73">
        <f t="shared" si="8"/>
        <v>26.508009565627933</v>
      </c>
      <c r="O10" s="73">
        <f>'Proposed Rates'!E16</f>
        <v>26.509999999999998</v>
      </c>
      <c r="P10" s="73">
        <f t="shared" si="9"/>
        <v>60817.94</v>
      </c>
      <c r="Q10" s="78">
        <f t="shared" si="5"/>
        <v>60997.447418909789</v>
      </c>
      <c r="R10" s="213">
        <f t="shared" si="1"/>
        <v>179.50741890978679</v>
      </c>
      <c r="S10" s="208"/>
      <c r="T10" s="137">
        <f>'Consolidated Cust Cnt'!B38</f>
        <v>1640.1721073486328</v>
      </c>
      <c r="U10" s="137">
        <f t="shared" si="2"/>
        <v>127.94911364931828</v>
      </c>
      <c r="V10" s="137"/>
      <c r="W10" s="137">
        <f>'Consolidated Cust Cnt'!C38</f>
        <v>660.92286049094332</v>
      </c>
      <c r="X10" s="137">
        <f t="shared" si="3"/>
        <v>51.558305260469425</v>
      </c>
      <c r="Y10" s="137"/>
      <c r="Z10" s="137">
        <f t="shared" si="6"/>
        <v>179.5074189097877</v>
      </c>
      <c r="AA10" s="137"/>
      <c r="AC10" s="332"/>
    </row>
    <row r="11" spans="1:32" s="66" customFormat="1">
      <c r="A11" s="436"/>
      <c r="B11" s="50">
        <v>21</v>
      </c>
      <c r="C11" s="121" t="s">
        <v>174</v>
      </c>
      <c r="D11" s="120">
        <f>'Consolidated Cust Cnt'!D39</f>
        <v>7755.8176267920626</v>
      </c>
      <c r="E11" s="75">
        <f>References!$C$7</f>
        <v>4.333333333333333</v>
      </c>
      <c r="F11" s="74">
        <f t="shared" si="4"/>
        <v>33608.543049432272</v>
      </c>
      <c r="G11" s="74">
        <f>References!$C$16</f>
        <v>77</v>
      </c>
      <c r="H11" s="74">
        <f t="shared" si="10"/>
        <v>2587857.8148062848</v>
      </c>
      <c r="I11" s="49">
        <f t="shared" si="0"/>
        <v>2059462.9642223848</v>
      </c>
      <c r="J11" s="73">
        <f>(References!$D$57*I11)</f>
        <v>895.86638943674734</v>
      </c>
      <c r="K11" s="73">
        <f>J11/References!$H$60</f>
        <v>913.47359294067894</v>
      </c>
      <c r="L11" s="73">
        <f t="shared" si="7"/>
        <v>0.11777914810491837</v>
      </c>
      <c r="M11" s="98">
        <f>'Proposed Rates'!C17</f>
        <v>33.9</v>
      </c>
      <c r="N11" s="73">
        <f t="shared" si="8"/>
        <v>34.017779148104914</v>
      </c>
      <c r="O11" s="73">
        <f>'Proposed Rates'!E17</f>
        <v>34.019999999999996</v>
      </c>
      <c r="P11" s="73">
        <f t="shared" si="9"/>
        <v>262922.21754825092</v>
      </c>
      <c r="Q11" s="78">
        <f t="shared" si="5"/>
        <v>263835.69114119158</v>
      </c>
      <c r="R11" s="213">
        <f t="shared" si="1"/>
        <v>913.47359294065973</v>
      </c>
      <c r="S11" s="208"/>
      <c r="T11" s="137">
        <f>'Consolidated Cust Cnt'!B39</f>
        <v>4569.9710863748123</v>
      </c>
      <c r="U11" s="137">
        <f t="shared" si="2"/>
        <v>538.24730141733369</v>
      </c>
      <c r="V11" s="137"/>
      <c r="W11" s="137">
        <f>'Consolidated Cust Cnt'!C39</f>
        <v>3185.8465404172498</v>
      </c>
      <c r="X11" s="137">
        <f t="shared" si="3"/>
        <v>375.22629152334508</v>
      </c>
      <c r="Y11" s="137"/>
      <c r="Z11" s="137">
        <f t="shared" si="6"/>
        <v>913.47359294067883</v>
      </c>
      <c r="AA11" s="137"/>
      <c r="AC11" s="332"/>
    </row>
    <row r="12" spans="1:32" s="66" customFormat="1">
      <c r="A12" s="436"/>
      <c r="B12" s="50">
        <v>21</v>
      </c>
      <c r="C12" s="121" t="s">
        <v>175</v>
      </c>
      <c r="D12" s="120">
        <f>'Consolidated Cust Cnt'!D40</f>
        <v>121.89004065040652</v>
      </c>
      <c r="E12" s="75">
        <f>References!$C$7</f>
        <v>4.333333333333333</v>
      </c>
      <c r="F12" s="74">
        <f t="shared" si="4"/>
        <v>528.19017615176153</v>
      </c>
      <c r="G12" s="74">
        <f>References!$C$16</f>
        <v>77</v>
      </c>
      <c r="H12" s="129">
        <f>F12*G12</f>
        <v>40670.64356368564</v>
      </c>
      <c r="I12" s="49">
        <f t="shared" si="0"/>
        <v>32366.416605763156</v>
      </c>
      <c r="J12" s="73">
        <f>(References!$D$57*I12)</f>
        <v>14.079391223507129</v>
      </c>
      <c r="K12" s="73">
        <f>J12/References!$H$60</f>
        <v>14.356105150278752</v>
      </c>
      <c r="L12" s="73">
        <f t="shared" si="7"/>
        <v>0.11777914810491838</v>
      </c>
      <c r="M12" s="98">
        <f>'Proposed Rates'!C18</f>
        <v>36.9</v>
      </c>
      <c r="N12" s="73">
        <f t="shared" si="8"/>
        <v>37.017779148104914</v>
      </c>
      <c r="O12" s="73">
        <f>'Proposed Rates'!E18</f>
        <v>37.019999999999996</v>
      </c>
      <c r="P12" s="73">
        <f t="shared" si="9"/>
        <v>4497.7425000000003</v>
      </c>
      <c r="Q12" s="78">
        <f t="shared" si="5"/>
        <v>4512.0986051502787</v>
      </c>
      <c r="R12" s="213">
        <f t="shared" si="1"/>
        <v>14.356105150278381</v>
      </c>
      <c r="S12" s="208"/>
      <c r="T12" s="137">
        <f>'Consolidated Cust Cnt'!B40</f>
        <v>68.64505420054202</v>
      </c>
      <c r="U12" s="137">
        <f t="shared" si="2"/>
        <v>8.0849560053557887</v>
      </c>
      <c r="V12" s="137"/>
      <c r="W12" s="137">
        <f>'Consolidated Cust Cnt'!C40</f>
        <v>53.244986449864491</v>
      </c>
      <c r="X12" s="137">
        <f t="shared" si="3"/>
        <v>6.2711491449229619</v>
      </c>
      <c r="Y12" s="137"/>
      <c r="Z12" s="137">
        <f t="shared" si="6"/>
        <v>14.356105150278751</v>
      </c>
      <c r="AA12" s="137"/>
      <c r="AC12" s="332"/>
    </row>
    <row r="13" spans="1:32" s="66" customFormat="1">
      <c r="A13" s="436"/>
      <c r="B13" s="50">
        <v>21</v>
      </c>
      <c r="C13" s="121" t="s">
        <v>176</v>
      </c>
      <c r="D13" s="120">
        <f>'Consolidated Cust Cnt'!D41</f>
        <v>832.50482387256011</v>
      </c>
      <c r="E13" s="75">
        <f>References!$C$7</f>
        <v>4.333333333333333</v>
      </c>
      <c r="F13" s="74">
        <f t="shared" si="4"/>
        <v>3607.5209034477602</v>
      </c>
      <c r="G13" s="74">
        <f>References!$C$17</f>
        <v>97</v>
      </c>
      <c r="H13" s="74">
        <f t="shared" si="10"/>
        <v>349929.52763443277</v>
      </c>
      <c r="I13" s="49">
        <f t="shared" si="0"/>
        <v>278480.09969005722</v>
      </c>
      <c r="J13" s="73">
        <f>(References!$D$57*I13)</f>
        <v>121.13884336517623</v>
      </c>
      <c r="K13" s="73">
        <f>J13/References!$H$60</f>
        <v>123.51968529932064</v>
      </c>
      <c r="L13" s="73">
        <f t="shared" si="7"/>
        <v>0.14837113462567642</v>
      </c>
      <c r="M13" s="98">
        <f>'Proposed Rates'!C19</f>
        <v>44.57</v>
      </c>
      <c r="N13" s="73">
        <f t="shared" si="8"/>
        <v>44.718371134625677</v>
      </c>
      <c r="O13" s="73">
        <f>'Proposed Rates'!E19</f>
        <v>44.72</v>
      </c>
      <c r="P13" s="73">
        <f t="shared" si="9"/>
        <v>37104.740000000005</v>
      </c>
      <c r="Q13" s="78">
        <f t="shared" si="5"/>
        <v>37228.259685299323</v>
      </c>
      <c r="R13" s="213">
        <f t="shared" si="1"/>
        <v>123.51968529931764</v>
      </c>
      <c r="S13" s="208"/>
      <c r="T13" s="137">
        <f>'Consolidated Cust Cnt'!B41</f>
        <v>522.7403242091093</v>
      </c>
      <c r="U13" s="137">
        <f t="shared" si="2"/>
        <v>77.559575017499498</v>
      </c>
      <c r="V13" s="137"/>
      <c r="W13" s="137">
        <f>'Consolidated Cust Cnt'!C41</f>
        <v>309.76449966345075</v>
      </c>
      <c r="X13" s="137">
        <f t="shared" si="3"/>
        <v>45.960110281821144</v>
      </c>
      <c r="Y13" s="137"/>
      <c r="Z13" s="137">
        <f t="shared" si="6"/>
        <v>123.51968529932064</v>
      </c>
      <c r="AA13" s="137"/>
      <c r="AC13" s="332"/>
    </row>
    <row r="14" spans="1:32" s="66" customFormat="1">
      <c r="A14" s="436"/>
      <c r="B14" s="50">
        <v>21</v>
      </c>
      <c r="C14" s="121" t="s">
        <v>177</v>
      </c>
      <c r="D14" s="120">
        <f>'Consolidated Cust Cnt'!D42</f>
        <v>25.773934527486102</v>
      </c>
      <c r="E14" s="75">
        <f>References!$C$7</f>
        <v>4.333333333333333</v>
      </c>
      <c r="F14" s="74">
        <f t="shared" si="4"/>
        <v>111.68704961910643</v>
      </c>
      <c r="G14" s="74">
        <f>References!$C$17</f>
        <v>97</v>
      </c>
      <c r="H14" s="74">
        <f t="shared" si="10"/>
        <v>10833.643813053324</v>
      </c>
      <c r="I14" s="49">
        <f t="shared" si="0"/>
        <v>8621.6051256395767</v>
      </c>
      <c r="J14" s="73">
        <f>(References!$D$57*I14)</f>
        <v>3.7503982296532574</v>
      </c>
      <c r="K14" s="73">
        <f>J14/References!$H$60</f>
        <v>3.8241079096110098</v>
      </c>
      <c r="L14" s="73">
        <f t="shared" si="7"/>
        <v>0.14837113462567642</v>
      </c>
      <c r="M14" s="98">
        <f>'Proposed Rates'!C20</f>
        <v>48.57</v>
      </c>
      <c r="N14" s="73">
        <f t="shared" si="8"/>
        <v>48.718371134625677</v>
      </c>
      <c r="O14" s="73">
        <f>'Proposed Rates'!E20</f>
        <v>48.72</v>
      </c>
      <c r="P14" s="73">
        <f t="shared" si="9"/>
        <v>1251.8399999999999</v>
      </c>
      <c r="Q14" s="78">
        <f t="shared" si="5"/>
        <v>1255.6641079096109</v>
      </c>
      <c r="R14" s="213">
        <f t="shared" si="1"/>
        <v>3.8241079096110298</v>
      </c>
      <c r="S14" s="208"/>
      <c r="T14" s="137">
        <f>'Consolidated Cust Cnt'!B42</f>
        <v>12</v>
      </c>
      <c r="U14" s="137">
        <f t="shared" si="2"/>
        <v>1.780453615508117</v>
      </c>
      <c r="V14" s="137"/>
      <c r="W14" s="137">
        <f>'Consolidated Cust Cnt'!C42</f>
        <v>13.773934527486102</v>
      </c>
      <c r="X14" s="137">
        <f t="shared" si="3"/>
        <v>2.0436542941028932</v>
      </c>
      <c r="Y14" s="137"/>
      <c r="Z14" s="137">
        <f t="shared" si="6"/>
        <v>3.8241079096110102</v>
      </c>
      <c r="AA14" s="137"/>
      <c r="AC14" s="332"/>
    </row>
    <row r="15" spans="1:32" s="66" customFormat="1">
      <c r="A15" s="436"/>
      <c r="B15" s="50">
        <v>21</v>
      </c>
      <c r="C15" s="121" t="s">
        <v>178</v>
      </c>
      <c r="D15" s="120">
        <f>'Consolidated Cust Cnt'!D43</f>
        <v>88.835920177383599</v>
      </c>
      <c r="E15" s="75">
        <f>References!$C$7</f>
        <v>4.333333333333333</v>
      </c>
      <c r="F15" s="74">
        <f t="shared" si="4"/>
        <v>384.95565410199555</v>
      </c>
      <c r="G15" s="74">
        <f>References!$C$18</f>
        <v>117</v>
      </c>
      <c r="H15" s="74">
        <f t="shared" si="10"/>
        <v>45039.811529933482</v>
      </c>
      <c r="I15" s="49">
        <f t="shared" si="0"/>
        <v>35843.47765582236</v>
      </c>
      <c r="J15" s="73">
        <f>(References!$D$57*I15)</f>
        <v>15.5919127802829</v>
      </c>
      <c r="K15" s="73">
        <f>J15/References!$H$60</f>
        <v>15.898353544860079</v>
      </c>
      <c r="L15" s="73">
        <f t="shared" si="7"/>
        <v>0.17896312114643442</v>
      </c>
      <c r="M15" s="98">
        <f>'Proposed Rates'!C21</f>
        <v>54.12</v>
      </c>
      <c r="N15" s="73">
        <f t="shared" si="8"/>
        <v>54.298963121146429</v>
      </c>
      <c r="O15" s="73">
        <f>'Proposed Rates'!E21</f>
        <v>54.3</v>
      </c>
      <c r="P15" s="73">
        <f t="shared" si="9"/>
        <v>4807.8</v>
      </c>
      <c r="Q15" s="78">
        <f t="shared" si="5"/>
        <v>4823.6983535448599</v>
      </c>
      <c r="R15" s="213">
        <f t="shared" si="1"/>
        <v>15.898353544859674</v>
      </c>
      <c r="S15" s="208"/>
      <c r="T15" s="137">
        <f>'Consolidated Cust Cnt'!B43</f>
        <v>60.335920177383599</v>
      </c>
      <c r="U15" s="137">
        <f t="shared" si="2"/>
        <v>10.797904592186699</v>
      </c>
      <c r="V15" s="137"/>
      <c r="W15" s="137">
        <f>'Consolidated Cust Cnt'!C43</f>
        <v>28.500000000000004</v>
      </c>
      <c r="X15" s="137">
        <f t="shared" si="3"/>
        <v>5.1004489526733821</v>
      </c>
      <c r="Y15" s="137"/>
      <c r="Z15" s="137">
        <f t="shared" si="6"/>
        <v>15.898353544860081</v>
      </c>
      <c r="AA15" s="137"/>
      <c r="AC15" s="332"/>
    </row>
    <row r="16" spans="1:32" s="66" customFormat="1">
      <c r="A16" s="436"/>
      <c r="B16" s="50">
        <v>21</v>
      </c>
      <c r="C16" s="121" t="s">
        <v>180</v>
      </c>
      <c r="D16" s="120">
        <f>'Consolidated Cust Cnt'!D45</f>
        <v>67.537881327522626</v>
      </c>
      <c r="E16" s="75">
        <f>References!$C$7</f>
        <v>4.333333333333333</v>
      </c>
      <c r="F16" s="74">
        <f t="shared" si="4"/>
        <v>292.66415241926467</v>
      </c>
      <c r="G16" s="129">
        <f>References!$C$19</f>
        <v>137</v>
      </c>
      <c r="H16" s="129">
        <f t="shared" si="10"/>
        <v>40094.988881439262</v>
      </c>
      <c r="I16" s="49">
        <f t="shared" si="0"/>
        <v>31908.300440537761</v>
      </c>
      <c r="J16" s="73">
        <f>(References!$D$57*I16)</f>
        <v>13.88011069163408</v>
      </c>
      <c r="K16" s="73">
        <f>J16/References!$H$60</f>
        <v>14.152907993203069</v>
      </c>
      <c r="L16" s="73">
        <f t="shared" si="7"/>
        <v>0.20955510766719246</v>
      </c>
      <c r="M16" s="98">
        <f>'Proposed Rates'!C23</f>
        <v>59.66</v>
      </c>
      <c r="N16" s="73">
        <f t="shared" si="8"/>
        <v>59.869555107667189</v>
      </c>
      <c r="O16" s="73">
        <f>'Proposed Rates'!E23</f>
        <v>59.87</v>
      </c>
      <c r="P16" s="73">
        <f t="shared" si="9"/>
        <v>4029.3099999999995</v>
      </c>
      <c r="Q16" s="78">
        <f t="shared" si="5"/>
        <v>4043.4629079932029</v>
      </c>
      <c r="R16" s="213">
        <f t="shared" si="1"/>
        <v>14.152907993203371</v>
      </c>
      <c r="S16" s="208"/>
      <c r="T16" s="137">
        <f>'Consolidated Cust Cnt'!B45</f>
        <v>47.575595038551789</v>
      </c>
      <c r="U16" s="137">
        <f t="shared" si="2"/>
        <v>9.969708940634467</v>
      </c>
      <c r="V16" s="137"/>
      <c r="W16" s="137">
        <f>'Consolidated Cust Cnt'!C45</f>
        <v>19.962286288970837</v>
      </c>
      <c r="X16" s="137">
        <f t="shared" si="3"/>
        <v>4.1831990525686038</v>
      </c>
      <c r="Y16" s="137"/>
      <c r="Z16" s="137">
        <f t="shared" si="6"/>
        <v>14.152907993203071</v>
      </c>
      <c r="AA16" s="137"/>
      <c r="AC16" s="137"/>
      <c r="AE16" s="335"/>
      <c r="AF16" s="335"/>
    </row>
    <row r="17" spans="1:32" s="66" customFormat="1">
      <c r="A17" s="436"/>
      <c r="B17" s="50">
        <v>16</v>
      </c>
      <c r="C17" s="121" t="s">
        <v>182</v>
      </c>
      <c r="D17" s="120">
        <f>'Consolidated Cust Cnt'!D47</f>
        <v>2116.0709543315611</v>
      </c>
      <c r="E17" s="75">
        <f>References!$C$7</f>
        <v>4.333333333333333</v>
      </c>
      <c r="F17" s="74">
        <f t="shared" si="4"/>
        <v>9169.6408021034313</v>
      </c>
      <c r="G17" s="129">
        <f>References!C20</f>
        <v>40</v>
      </c>
      <c r="H17" s="129">
        <f t="shared" si="10"/>
        <v>366785.63208413724</v>
      </c>
      <c r="I17" s="49">
        <f t="shared" si="0"/>
        <v>291894.48537871958</v>
      </c>
      <c r="J17" s="73">
        <f>(References!$D$57*I17)</f>
        <v>126.97410113974442</v>
      </c>
      <c r="K17" s="73">
        <f>J17/References!$H$60</f>
        <v>129.46962822375735</v>
      </c>
      <c r="L17" s="73">
        <f t="shared" ref="L17:L18" si="11">K17/F17</f>
        <v>1.4119378394196009E-2</v>
      </c>
      <c r="M17" s="98">
        <f>'Proposed Rates'!C8</f>
        <v>7.57</v>
      </c>
      <c r="N17" s="73">
        <f t="shared" ref="N17" si="12">L17+M17</f>
        <v>7.5841193783941963</v>
      </c>
      <c r="O17" s="73">
        <f>'Proposed Rates'!$E$8</f>
        <v>7.58</v>
      </c>
      <c r="P17" s="73">
        <f>F17*M17</f>
        <v>69414.180871922974</v>
      </c>
      <c r="Q17" s="78">
        <f>F17*N17</f>
        <v>69543.65050014673</v>
      </c>
      <c r="R17" s="213">
        <f t="shared" si="1"/>
        <v>129.46962822375644</v>
      </c>
      <c r="S17" s="208"/>
      <c r="T17" s="137">
        <f>'Consolidated Cust Cnt'!B47</f>
        <v>1437.4892706736705</v>
      </c>
      <c r="U17" s="137">
        <f>T17*L17*E17</f>
        <v>87.9513047843664</v>
      </c>
      <c r="V17" s="137"/>
      <c r="W17" s="137">
        <f>'Consolidated Cust Cnt'!C47</f>
        <v>678.58168365789049</v>
      </c>
      <c r="X17" s="137">
        <f>W17*L17*E17</f>
        <v>41.518323439390933</v>
      </c>
      <c r="Y17" s="137"/>
      <c r="Z17" s="137">
        <f t="shared" si="6"/>
        <v>129.46962822375733</v>
      </c>
      <c r="AA17" s="137"/>
      <c r="AC17" s="137"/>
      <c r="AE17" s="335"/>
      <c r="AF17" s="335"/>
    </row>
    <row r="18" spans="1:32" s="66" customFormat="1">
      <c r="A18" s="437"/>
      <c r="B18" s="128">
        <v>16</v>
      </c>
      <c r="C18" s="130" t="s">
        <v>183</v>
      </c>
      <c r="D18" s="120">
        <f>'Consolidated Cust Cnt'!D48</f>
        <v>111.50066986473766</v>
      </c>
      <c r="E18" s="75">
        <f>References!$C$6</f>
        <v>8.6666666666666661</v>
      </c>
      <c r="F18" s="74">
        <f t="shared" si="4"/>
        <v>966.33913882772629</v>
      </c>
      <c r="G18" s="134">
        <f>References!C20</f>
        <v>40</v>
      </c>
      <c r="H18" s="134">
        <f t="shared" si="10"/>
        <v>38653.565553109052</v>
      </c>
      <c r="I18" s="104">
        <f t="shared" si="0"/>
        <v>30761.190292724466</v>
      </c>
      <c r="J18" s="97">
        <f>(References!$D$57*I18)</f>
        <v>13.381117777335291</v>
      </c>
      <c r="K18" s="97">
        <f>J18/References!$H$60</f>
        <v>13.644107958230178</v>
      </c>
      <c r="L18" s="73">
        <f t="shared" si="11"/>
        <v>1.4119378394196011E-2</v>
      </c>
      <c r="M18" s="97">
        <f>'Proposed Rates'!C8</f>
        <v>7.57</v>
      </c>
      <c r="N18" s="97">
        <f t="shared" si="8"/>
        <v>7.5841193783941963</v>
      </c>
      <c r="O18" s="97">
        <f>'Proposed Rates'!$E$8</f>
        <v>7.58</v>
      </c>
      <c r="P18" s="97">
        <f>F18*M18</f>
        <v>7315.1872809258884</v>
      </c>
      <c r="Q18" s="78">
        <f>F18*N18</f>
        <v>7328.8313888841185</v>
      </c>
      <c r="R18" s="214">
        <f t="shared" si="1"/>
        <v>13.644107958230052</v>
      </c>
      <c r="S18" s="208"/>
      <c r="T18" s="137">
        <f>'Consolidated Cust Cnt'!B48</f>
        <v>67.748160432616444</v>
      </c>
      <c r="U18" s="137">
        <f>T18*L18*E18</f>
        <v>8.2902032430430168</v>
      </c>
      <c r="V18" s="137"/>
      <c r="W18" s="137">
        <f>'Consolidated Cust Cnt'!C48</f>
        <v>43.752509432121215</v>
      </c>
      <c r="X18" s="137">
        <f>W18*L18*E18</f>
        <v>5.3539047151871619</v>
      </c>
      <c r="Y18" s="137"/>
      <c r="Z18" s="137">
        <f t="shared" si="6"/>
        <v>13.64410795823018</v>
      </c>
      <c r="AA18" s="137"/>
      <c r="AC18" s="137"/>
      <c r="AE18" s="335"/>
    </row>
    <row r="19" spans="1:32" s="66" customFormat="1">
      <c r="A19" s="53"/>
      <c r="B19" s="92"/>
      <c r="C19" s="55" t="s">
        <v>17</v>
      </c>
      <c r="D19" s="327">
        <f>SUM(D3:D18)</f>
        <v>771719.42417047964</v>
      </c>
      <c r="E19" s="328"/>
      <c r="F19" s="329">
        <f>SUM(F3:F18)</f>
        <v>2772302.0013059457</v>
      </c>
      <c r="G19" s="59"/>
      <c r="H19" s="93">
        <f>SUM(H3:H18)</f>
        <v>105169976.1911245</v>
      </c>
      <c r="I19" s="60">
        <f>SUM(I3:I18)</f>
        <v>83696124.908618331</v>
      </c>
      <c r="J19" s="82"/>
      <c r="K19" s="82"/>
      <c r="L19" s="184"/>
      <c r="M19" s="82"/>
      <c r="N19" s="82"/>
      <c r="O19" s="82"/>
      <c r="P19" s="81">
        <f>SUM(P3:P18)</f>
        <v>11971319.155723726</v>
      </c>
      <c r="Q19" s="209">
        <f>SUM(Q3:Q18)</f>
        <v>12008442.522962501</v>
      </c>
      <c r="R19" s="215">
        <f>SUM(R3:R18)</f>
        <v>37123.367238776584</v>
      </c>
      <c r="S19" s="211"/>
      <c r="T19" s="139">
        <f>SUM(T3:T18)</f>
        <v>505736.26307037345</v>
      </c>
      <c r="U19" s="139">
        <f>SUM(U3:U18)</f>
        <v>24229.904112812521</v>
      </c>
      <c r="V19" s="139"/>
      <c r="W19" s="139">
        <f>SUM(W3:W18)</f>
        <v>265983.16110010608</v>
      </c>
      <c r="X19" s="139">
        <f>SUM(X3:X18)</f>
        <v>12893.463125964276</v>
      </c>
      <c r="Y19" s="137"/>
      <c r="Z19" s="139">
        <f>SUM(Z3:Z18)</f>
        <v>37123.367238776787</v>
      </c>
      <c r="AA19" s="137"/>
      <c r="AC19" s="335"/>
      <c r="AE19" s="335"/>
    </row>
    <row r="20" spans="1:32" s="66" customFormat="1">
      <c r="A20" s="436" t="s">
        <v>257</v>
      </c>
      <c r="B20" s="50">
        <v>26</v>
      </c>
      <c r="C20" s="121" t="s">
        <v>185</v>
      </c>
      <c r="D20" s="120">
        <f>'Consolidated Cust Cnt'!D58</f>
        <v>6279.3692922171185</v>
      </c>
      <c r="E20" s="75">
        <f>References!$C$10</f>
        <v>1</v>
      </c>
      <c r="F20" s="74">
        <f t="shared" si="4"/>
        <v>6279.3692922171185</v>
      </c>
      <c r="G20" s="74">
        <f>References!C14</f>
        <v>34</v>
      </c>
      <c r="H20" s="74">
        <f t="shared" ref="H20:H32" si="13">F20*G20</f>
        <v>213498.55593538203</v>
      </c>
      <c r="I20" s="49">
        <f t="shared" ref="I20:I52" si="14">$D$137*H20</f>
        <v>169905.9223223954</v>
      </c>
      <c r="J20" s="73">
        <f>(References!$D$57*I20)</f>
        <v>73.909076210242816</v>
      </c>
      <c r="K20" s="73">
        <f>J20/References!$H$60</f>
        <v>75.361672446652037</v>
      </c>
      <c r="L20" s="73">
        <f>K20/F20</f>
        <v>1.2001471635066608E-2</v>
      </c>
      <c r="M20" s="98">
        <f>'Proposed Rates'!C46</f>
        <v>4.1399999999999997</v>
      </c>
      <c r="N20" s="73">
        <f t="shared" ref="N20:N33" si="15">L20+M20</f>
        <v>4.1520014716350664</v>
      </c>
      <c r="O20" s="73">
        <f>'Proposed Rates'!E28</f>
        <v>4.1499999999999995</v>
      </c>
      <c r="P20" s="73">
        <f>D20*M20</f>
        <v>25996.588869778869</v>
      </c>
      <c r="Q20" s="80">
        <f>F20*N20</f>
        <v>26071.950542225521</v>
      </c>
      <c r="R20" s="213">
        <f t="shared" ref="R20:R52" si="16">Q20-P20</f>
        <v>75.361672446651937</v>
      </c>
      <c r="S20" s="208"/>
      <c r="T20" s="137">
        <f>'Consolidated Cust Cnt'!B58</f>
        <v>5522.7063466628688</v>
      </c>
      <c r="U20" s="137">
        <f t="shared" ref="U20:U29" si="17">L20*T20</f>
        <v>66.28060356827676</v>
      </c>
      <c r="V20" s="137"/>
      <c r="W20" s="137">
        <f>'Consolidated Cust Cnt'!C58</f>
        <v>756.66294555424997</v>
      </c>
      <c r="X20" s="137">
        <f t="shared" ref="X20:X29" si="18">W20*L20</f>
        <v>9.0810688783752802</v>
      </c>
      <c r="Y20" s="137"/>
      <c r="Z20" s="137">
        <f t="shared" si="6"/>
        <v>75.361672446652037</v>
      </c>
      <c r="AA20" s="137"/>
      <c r="AB20" s="137"/>
      <c r="AC20" s="332"/>
    </row>
    <row r="21" spans="1:32" s="66" customFormat="1">
      <c r="A21" s="436"/>
      <c r="B21" s="50">
        <v>32</v>
      </c>
      <c r="C21" s="121" t="s">
        <v>186</v>
      </c>
      <c r="D21" s="120">
        <f>'Consolidated Cust Cnt'!D60</f>
        <v>186.66816749212066</v>
      </c>
      <c r="E21" s="75">
        <f>References!$C$10</f>
        <v>1</v>
      </c>
      <c r="F21" s="74">
        <f t="shared" si="4"/>
        <v>186.66816749212066</v>
      </c>
      <c r="G21" s="74">
        <f>References!C27</f>
        <v>125</v>
      </c>
      <c r="H21" s="74">
        <f t="shared" si="13"/>
        <v>23333.520936515084</v>
      </c>
      <c r="I21" s="49">
        <f t="shared" si="14"/>
        <v>18569.228154158685</v>
      </c>
      <c r="J21" s="73">
        <f>(References!$D$57*I21)</f>
        <v>8.0776142470591186</v>
      </c>
      <c r="K21" s="73">
        <f>J21/References!$H$60</f>
        <v>8.2363702842887854</v>
      </c>
      <c r="L21" s="73">
        <f>K21/F21</f>
        <v>4.4123057481862543E-2</v>
      </c>
      <c r="M21" s="73">
        <f>'Proposed Rates'!C80</f>
        <v>22.49</v>
      </c>
      <c r="N21" s="73">
        <f t="shared" si="15"/>
        <v>22.53412305748186</v>
      </c>
      <c r="O21" s="73">
        <f>'Proposed Rates'!E80</f>
        <v>22.529999999999998</v>
      </c>
      <c r="P21" s="73">
        <f>D21*M21</f>
        <v>4198.1670868977935</v>
      </c>
      <c r="Q21" s="78">
        <f>F21*N21</f>
        <v>4206.4034571820821</v>
      </c>
      <c r="R21" s="213">
        <f t="shared" si="16"/>
        <v>8.2363702842885687</v>
      </c>
      <c r="S21" s="208"/>
      <c r="T21" s="137">
        <f>'Consolidated Cust Cnt'!B60</f>
        <v>128</v>
      </c>
      <c r="U21" s="137">
        <f t="shared" si="17"/>
        <v>5.6477513576784055</v>
      </c>
      <c r="V21" s="137"/>
      <c r="W21" s="137">
        <f>'Consolidated Cust Cnt'!C60</f>
        <v>58.668167492120666</v>
      </c>
      <c r="X21" s="137">
        <f t="shared" si="18"/>
        <v>2.5886189266103794</v>
      </c>
      <c r="Y21" s="137"/>
      <c r="Z21" s="137">
        <f t="shared" si="6"/>
        <v>8.2363702842887854</v>
      </c>
      <c r="AA21" s="137"/>
      <c r="AB21" s="137"/>
      <c r="AC21" s="332"/>
    </row>
    <row r="22" spans="1:32" s="66" customFormat="1">
      <c r="A22" s="436"/>
      <c r="B22" s="50">
        <v>25</v>
      </c>
      <c r="C22" s="121" t="s">
        <v>187</v>
      </c>
      <c r="D22" s="120">
        <f>'Consolidated Cust Cnt'!D76</f>
        <v>6446.2691828619618</v>
      </c>
      <c r="E22" s="75">
        <f>References!$C$7</f>
        <v>4.333333333333333</v>
      </c>
      <c r="F22" s="74">
        <f t="shared" si="4"/>
        <v>27933.833125735167</v>
      </c>
      <c r="G22" s="74">
        <f>References!C14</f>
        <v>34</v>
      </c>
      <c r="H22" s="74">
        <f t="shared" si="13"/>
        <v>949750.32627499569</v>
      </c>
      <c r="I22" s="49">
        <f t="shared" si="14"/>
        <v>755828.08724284382</v>
      </c>
      <c r="J22" s="73">
        <f>(References!$D$57*I22)</f>
        <v>328.78521795064069</v>
      </c>
      <c r="K22" s="73">
        <f>J22/References!$H$60</f>
        <v>335.24710591719463</v>
      </c>
      <c r="L22" s="73">
        <f t="shared" ref="L22:L32" si="19">K22/F22*E22</f>
        <v>5.200637708528863E-2</v>
      </c>
      <c r="M22" s="98">
        <f>'Proposed Rates'!C32</f>
        <v>18.11</v>
      </c>
      <c r="N22" s="73">
        <f t="shared" si="15"/>
        <v>18.162006377085287</v>
      </c>
      <c r="O22" s="73">
        <f>'Proposed Rates'!E32</f>
        <v>18.16</v>
      </c>
      <c r="P22" s="73">
        <f>D22*M22</f>
        <v>116741.93490163013</v>
      </c>
      <c r="Q22" s="78">
        <f>D22*N22</f>
        <v>117077.18200754731</v>
      </c>
      <c r="R22" s="213">
        <f t="shared" si="16"/>
        <v>335.24710591718031</v>
      </c>
      <c r="S22" s="208"/>
      <c r="T22" s="137">
        <f>'Consolidated Cust Cnt'!B76</f>
        <v>5273.5292601673182</v>
      </c>
      <c r="U22" s="137">
        <f t="shared" si="17"/>
        <v>274.25715127456471</v>
      </c>
      <c r="V22" s="137"/>
      <c r="W22" s="137">
        <f>'Consolidated Cust Cnt'!C76</f>
        <v>1172.7399226946436</v>
      </c>
      <c r="X22" s="137">
        <f t="shared" si="18"/>
        <v>60.989954642629876</v>
      </c>
      <c r="Y22" s="137"/>
      <c r="Z22" s="137">
        <f t="shared" si="6"/>
        <v>335.24710591719457</v>
      </c>
      <c r="AA22" s="137"/>
      <c r="AB22" s="137"/>
      <c r="AC22" s="332"/>
    </row>
    <row r="23" spans="1:32" s="66" customFormat="1">
      <c r="A23" s="436"/>
      <c r="B23" s="50">
        <v>25</v>
      </c>
      <c r="C23" s="121" t="s">
        <v>188</v>
      </c>
      <c r="D23" s="120">
        <f>'Consolidated Cust Cnt'!D77</f>
        <v>25</v>
      </c>
      <c r="E23" s="75">
        <f>References!$C$7</f>
        <v>4.333333333333333</v>
      </c>
      <c r="F23" s="74">
        <f t="shared" si="4"/>
        <v>108.33333333333333</v>
      </c>
      <c r="G23" s="74">
        <f>References!C14</f>
        <v>34</v>
      </c>
      <c r="H23" s="74">
        <f t="shared" si="13"/>
        <v>3683.333333333333</v>
      </c>
      <c r="I23" s="49">
        <f t="shared" si="14"/>
        <v>2931.2617337338579</v>
      </c>
      <c r="J23" s="73">
        <f>(References!$D$57*I23)</f>
        <v>1.2750988541742423</v>
      </c>
      <c r="K23" s="73">
        <f>J23/References!$H$60</f>
        <v>1.3001594271322159</v>
      </c>
      <c r="L23" s="73">
        <f t="shared" si="19"/>
        <v>5.200637708528863E-2</v>
      </c>
      <c r="M23" s="98">
        <f>'Proposed Rates'!C33</f>
        <v>18.86</v>
      </c>
      <c r="N23" s="73">
        <f t="shared" si="15"/>
        <v>18.912006377085287</v>
      </c>
      <c r="O23" s="73">
        <f>'Proposed Rates'!E33</f>
        <v>18.91</v>
      </c>
      <c r="P23" s="73">
        <f t="shared" ref="P23:P29" si="20">D23*M23</f>
        <v>471.5</v>
      </c>
      <c r="Q23" s="78">
        <f>D23*N23</f>
        <v>472.8001594271322</v>
      </c>
      <c r="R23" s="213">
        <f t="shared" si="16"/>
        <v>1.3001594271322006</v>
      </c>
      <c r="S23" s="208"/>
      <c r="T23" s="137">
        <f>'Consolidated Cust Cnt'!B77</f>
        <v>25</v>
      </c>
      <c r="U23" s="137">
        <f t="shared" si="17"/>
        <v>1.3001594271322157</v>
      </c>
      <c r="V23" s="137"/>
      <c r="W23" s="137">
        <f>'Consolidated Cust Cnt'!C77</f>
        <v>0</v>
      </c>
      <c r="X23" s="137">
        <f t="shared" si="18"/>
        <v>0</v>
      </c>
      <c r="Y23" s="137"/>
      <c r="Z23" s="137">
        <f t="shared" si="6"/>
        <v>1.3001594271322157</v>
      </c>
      <c r="AA23" s="137"/>
      <c r="AB23" s="137"/>
      <c r="AC23" s="332"/>
    </row>
    <row r="24" spans="1:32" s="66" customFormat="1">
      <c r="A24" s="436"/>
      <c r="B24" s="50">
        <v>25</v>
      </c>
      <c r="C24" s="121" t="s">
        <v>189</v>
      </c>
      <c r="D24" s="120">
        <f>'Consolidated Cust Cnt'!D78</f>
        <v>714.33399478559875</v>
      </c>
      <c r="E24" s="75">
        <f>References!$C$7</f>
        <v>4.333333333333333</v>
      </c>
      <c r="F24" s="74">
        <f t="shared" si="4"/>
        <v>3095.4473107375943</v>
      </c>
      <c r="G24" s="74">
        <f>References!C15</f>
        <v>51</v>
      </c>
      <c r="H24" s="74">
        <f t="shared" si="13"/>
        <v>157867.81284761732</v>
      </c>
      <c r="I24" s="49">
        <f t="shared" si="14"/>
        <v>125633.99424121602</v>
      </c>
      <c r="J24" s="73">
        <f>(References!$D$57*I24)</f>
        <v>54.650787494929574</v>
      </c>
      <c r="K24" s="73">
        <f>J24/References!$H$60</f>
        <v>55.724884646490686</v>
      </c>
      <c r="L24" s="73">
        <f t="shared" si="19"/>
        <v>7.8009565627932959E-2</v>
      </c>
      <c r="M24" s="98">
        <f>'Proposed Rates'!C34</f>
        <v>28.46</v>
      </c>
      <c r="N24" s="73">
        <f t="shared" si="15"/>
        <v>28.538009565627934</v>
      </c>
      <c r="O24" s="73">
        <f>'Proposed Rates'!E34</f>
        <v>28.54</v>
      </c>
      <c r="P24" s="73">
        <f t="shared" si="20"/>
        <v>20329.945491598141</v>
      </c>
      <c r="Q24" s="78">
        <f>D24*N24</f>
        <v>20385.67037624463</v>
      </c>
      <c r="R24" s="213">
        <f t="shared" si="16"/>
        <v>55.724884646489954</v>
      </c>
      <c r="S24" s="208"/>
      <c r="T24" s="137">
        <f>'Consolidated Cust Cnt'!B78</f>
        <v>670.58381910042658</v>
      </c>
      <c r="U24" s="137">
        <f t="shared" si="17"/>
        <v>52.311952445144648</v>
      </c>
      <c r="V24" s="137"/>
      <c r="W24" s="137">
        <f>'Consolidated Cust Cnt'!C78</f>
        <v>43.750175685172174</v>
      </c>
      <c r="X24" s="137">
        <f t="shared" si="18"/>
        <v>3.4129322013460355</v>
      </c>
      <c r="Y24" s="137"/>
      <c r="Z24" s="137">
        <f t="shared" si="6"/>
        <v>55.724884646490686</v>
      </c>
      <c r="AA24" s="137"/>
      <c r="AB24" s="137"/>
      <c r="AC24" s="332"/>
    </row>
    <row r="25" spans="1:32" s="66" customFormat="1">
      <c r="A25" s="436"/>
      <c r="B25" s="50">
        <v>25</v>
      </c>
      <c r="C25" s="121" t="s">
        <v>190</v>
      </c>
      <c r="D25" s="120">
        <f>'Consolidated Cust Cnt'!D79</f>
        <v>0</v>
      </c>
      <c r="E25" s="75">
        <f>References!$C$7</f>
        <v>4.333333333333333</v>
      </c>
      <c r="F25" s="74">
        <f t="shared" si="4"/>
        <v>0</v>
      </c>
      <c r="G25" s="74">
        <f>References!C15</f>
        <v>51</v>
      </c>
      <c r="H25" s="74">
        <f t="shared" si="13"/>
        <v>0</v>
      </c>
      <c r="I25" s="49">
        <f t="shared" si="14"/>
        <v>0</v>
      </c>
      <c r="J25" s="73">
        <f>(References!$D$57*I25)</f>
        <v>0</v>
      </c>
      <c r="K25" s="73">
        <f>J25/References!$H$60</f>
        <v>0</v>
      </c>
      <c r="L25" s="73">
        <f>L24</f>
        <v>7.8009565627932959E-2</v>
      </c>
      <c r="M25" s="98">
        <f>'Proposed Rates'!C35</f>
        <v>29.21</v>
      </c>
      <c r="N25" s="73">
        <f t="shared" si="15"/>
        <v>29.288009565627934</v>
      </c>
      <c r="O25" s="73">
        <f>'Proposed Rates'!E35</f>
        <v>29.29</v>
      </c>
      <c r="P25" s="73">
        <f t="shared" ref="P25" si="21">D25*M25*12</f>
        <v>0</v>
      </c>
      <c r="Q25" s="78">
        <f t="shared" ref="Q25" si="22">D25*O25</f>
        <v>0</v>
      </c>
      <c r="R25" s="213">
        <f t="shared" si="16"/>
        <v>0</v>
      </c>
      <c r="S25" s="208"/>
      <c r="T25" s="137">
        <f>'Consolidated Cust Cnt'!B79</f>
        <v>0</v>
      </c>
      <c r="U25" s="137">
        <f t="shared" si="17"/>
        <v>0</v>
      </c>
      <c r="V25" s="137"/>
      <c r="W25" s="137">
        <f>'Consolidated Cust Cnt'!C79</f>
        <v>0</v>
      </c>
      <c r="X25" s="137">
        <f t="shared" si="18"/>
        <v>0</v>
      </c>
      <c r="Y25" s="137"/>
      <c r="Z25" s="137">
        <f t="shared" si="6"/>
        <v>0</v>
      </c>
      <c r="AA25" s="137"/>
      <c r="AB25" s="137"/>
      <c r="AC25" s="332"/>
    </row>
    <row r="26" spans="1:32" s="66" customFormat="1">
      <c r="A26" s="436"/>
      <c r="B26" s="50">
        <v>25</v>
      </c>
      <c r="C26" s="121" t="s">
        <v>191</v>
      </c>
      <c r="D26" s="120">
        <f>'Consolidated Cust Cnt'!D80</f>
        <v>107.49999999999999</v>
      </c>
      <c r="E26" s="75">
        <f>References!$C$7</f>
        <v>4.333333333333333</v>
      </c>
      <c r="F26" s="74">
        <f t="shared" si="4"/>
        <v>465.83333333333326</v>
      </c>
      <c r="G26" s="74">
        <f>References!C16</f>
        <v>77</v>
      </c>
      <c r="H26" s="74">
        <f t="shared" si="13"/>
        <v>35869.166666666664</v>
      </c>
      <c r="I26" s="49">
        <f t="shared" si="14"/>
        <v>28545.316471743543</v>
      </c>
      <c r="J26" s="73">
        <f>(References!$D$57*I26)</f>
        <v>12.417212665208579</v>
      </c>
      <c r="K26" s="73">
        <f>J26/References!$H$60</f>
        <v>12.661258421278728</v>
      </c>
      <c r="L26" s="73">
        <f t="shared" si="19"/>
        <v>0.11777914810491841</v>
      </c>
      <c r="M26" s="98">
        <f>'Proposed Rates'!C36</f>
        <v>41.88</v>
      </c>
      <c r="N26" s="73">
        <f t="shared" si="15"/>
        <v>41.997779148104918</v>
      </c>
      <c r="O26" s="73">
        <f>'Proposed Rates'!E36</f>
        <v>42</v>
      </c>
      <c r="P26" s="73">
        <f t="shared" si="20"/>
        <v>4502.0999999999995</v>
      </c>
      <c r="Q26" s="78">
        <f>D26*N26</f>
        <v>4514.7612584212784</v>
      </c>
      <c r="R26" s="213">
        <f t="shared" si="16"/>
        <v>12.661258421278944</v>
      </c>
      <c r="S26" s="208"/>
      <c r="T26" s="137">
        <f>'Consolidated Cust Cnt'!B80</f>
        <v>83.499999999999986</v>
      </c>
      <c r="U26" s="137">
        <f t="shared" si="17"/>
        <v>9.8345588667606858</v>
      </c>
      <c r="V26" s="137"/>
      <c r="W26" s="137">
        <f>'Consolidated Cust Cnt'!C80</f>
        <v>24</v>
      </c>
      <c r="X26" s="137">
        <f t="shared" si="18"/>
        <v>2.8266995545180418</v>
      </c>
      <c r="Y26" s="137"/>
      <c r="Z26" s="137">
        <f>U26+X26</f>
        <v>12.661258421278728</v>
      </c>
      <c r="AA26" s="137"/>
      <c r="AB26" s="137"/>
      <c r="AC26" s="332"/>
    </row>
    <row r="27" spans="1:32" s="66" customFormat="1">
      <c r="A27" s="436"/>
      <c r="B27" s="50">
        <v>25</v>
      </c>
      <c r="C27" s="121" t="s">
        <v>192</v>
      </c>
      <c r="D27" s="120">
        <f>'Consolidated Cust Cnt'!D81</f>
        <v>12</v>
      </c>
      <c r="E27" s="75">
        <f>References!$C$7</f>
        <v>4.333333333333333</v>
      </c>
      <c r="F27" s="74">
        <f t="shared" si="4"/>
        <v>52</v>
      </c>
      <c r="G27" s="74">
        <f>References!C16</f>
        <v>77</v>
      </c>
      <c r="H27" s="74">
        <f t="shared" si="13"/>
        <v>4004</v>
      </c>
      <c r="I27" s="49">
        <f t="shared" si="14"/>
        <v>3186.4539317295116</v>
      </c>
      <c r="J27" s="73">
        <f>(References!$D$57*I27)</f>
        <v>1.3861074603023529</v>
      </c>
      <c r="K27" s="73">
        <f>J27/References!$H$60</f>
        <v>1.4133497772590207</v>
      </c>
      <c r="L27" s="73">
        <f t="shared" si="19"/>
        <v>0.11777914810491838</v>
      </c>
      <c r="M27" s="98">
        <f>'Proposed Rates'!C37</f>
        <v>42.63</v>
      </c>
      <c r="N27" s="73">
        <f t="shared" si="15"/>
        <v>42.747779148104918</v>
      </c>
      <c r="O27" s="73">
        <f>'Proposed Rates'!E37</f>
        <v>42.75</v>
      </c>
      <c r="P27" s="73">
        <f t="shared" si="20"/>
        <v>511.56000000000006</v>
      </c>
      <c r="Q27" s="78">
        <f>D27*N27</f>
        <v>512.97334977725905</v>
      </c>
      <c r="R27" s="213">
        <f t="shared" si="16"/>
        <v>1.4133497772589863</v>
      </c>
      <c r="S27" s="208"/>
      <c r="T27" s="137">
        <f>'Consolidated Cust Cnt'!B81</f>
        <v>12</v>
      </c>
      <c r="U27" s="137">
        <f t="shared" si="17"/>
        <v>1.4133497772590204</v>
      </c>
      <c r="V27" s="137"/>
      <c r="W27" s="137">
        <f>'Consolidated Cust Cnt'!C81</f>
        <v>0</v>
      </c>
      <c r="X27" s="137">
        <f t="shared" si="18"/>
        <v>0</v>
      </c>
      <c r="Y27" s="137"/>
      <c r="Z27" s="137">
        <f t="shared" si="6"/>
        <v>1.4133497772590204</v>
      </c>
      <c r="AA27" s="137"/>
      <c r="AB27" s="137"/>
      <c r="AC27" s="332"/>
    </row>
    <row r="28" spans="1:32" s="66" customFormat="1">
      <c r="A28" s="436"/>
      <c r="B28" s="50">
        <v>25</v>
      </c>
      <c r="C28" s="121" t="s">
        <v>193</v>
      </c>
      <c r="D28" s="120">
        <f>'Consolidated Cust Cnt'!D82</f>
        <v>57</v>
      </c>
      <c r="E28" s="75">
        <f>References!$C$7</f>
        <v>4.333333333333333</v>
      </c>
      <c r="F28" s="74">
        <f t="shared" si="4"/>
        <v>246.99999999999997</v>
      </c>
      <c r="G28" s="74">
        <f>References!C17</f>
        <v>97</v>
      </c>
      <c r="H28" s="74">
        <f t="shared" si="13"/>
        <v>23958.999999999996</v>
      </c>
      <c r="I28" s="49">
        <f t="shared" si="14"/>
        <v>19066.995442134707</v>
      </c>
      <c r="J28" s="73">
        <f>(References!$D$57*I28)</f>
        <v>8.2941430173286896</v>
      </c>
      <c r="K28" s="73">
        <f>J28/References!$H$60</f>
        <v>8.4571546736635543</v>
      </c>
      <c r="L28" s="73">
        <f t="shared" si="19"/>
        <v>0.14837113462567642</v>
      </c>
      <c r="M28" s="98">
        <f>'Proposed Rates'!C38</f>
        <v>55.38</v>
      </c>
      <c r="N28" s="73">
        <f t="shared" si="15"/>
        <v>55.528371134625679</v>
      </c>
      <c r="O28" s="73">
        <f>'Proposed Rates'!E38</f>
        <v>55.53</v>
      </c>
      <c r="P28" s="73">
        <f t="shared" si="20"/>
        <v>3156.6600000000003</v>
      </c>
      <c r="Q28" s="78">
        <f>D28*N28</f>
        <v>3165.1171546736637</v>
      </c>
      <c r="R28" s="213">
        <f t="shared" si="16"/>
        <v>8.4571546736633536</v>
      </c>
      <c r="S28" s="208"/>
      <c r="T28" s="137">
        <f>'Consolidated Cust Cnt'!B82</f>
        <v>45</v>
      </c>
      <c r="U28" s="137">
        <f t="shared" si="17"/>
        <v>6.6767010581554391</v>
      </c>
      <c r="V28" s="137"/>
      <c r="W28" s="137">
        <f>'Consolidated Cust Cnt'!C82</f>
        <v>12</v>
      </c>
      <c r="X28" s="137">
        <f t="shared" si="18"/>
        <v>1.780453615508117</v>
      </c>
      <c r="Y28" s="137"/>
      <c r="Z28" s="137">
        <f t="shared" si="6"/>
        <v>8.4571546736635561</v>
      </c>
      <c r="AA28" s="137"/>
      <c r="AB28" s="137"/>
      <c r="AC28" s="332"/>
    </row>
    <row r="29" spans="1:32" s="66" customFormat="1">
      <c r="A29" s="436"/>
      <c r="B29" s="50">
        <v>25</v>
      </c>
      <c r="C29" s="121" t="s">
        <v>194</v>
      </c>
      <c r="D29" s="120">
        <f>'Consolidated Cust Cnt'!D83</f>
        <v>12</v>
      </c>
      <c r="E29" s="75">
        <f>References!$C$7</f>
        <v>4.333333333333333</v>
      </c>
      <c r="F29" s="74">
        <f t="shared" si="4"/>
        <v>52</v>
      </c>
      <c r="G29" s="74">
        <f>References!C17</f>
        <v>97</v>
      </c>
      <c r="H29" s="74">
        <f t="shared" si="13"/>
        <v>5044</v>
      </c>
      <c r="I29" s="49">
        <f t="shared" si="14"/>
        <v>4014.104303607307</v>
      </c>
      <c r="J29" s="73">
        <f>(References!$D$57*I29)</f>
        <v>1.7461353720691979</v>
      </c>
      <c r="K29" s="73">
        <f>J29/References!$H$60</f>
        <v>1.780453615508117</v>
      </c>
      <c r="L29" s="73">
        <f t="shared" si="19"/>
        <v>0.14837113462567642</v>
      </c>
      <c r="M29" s="98">
        <f>'Proposed Rates'!C39</f>
        <v>56.13</v>
      </c>
      <c r="N29" s="73">
        <f t="shared" si="15"/>
        <v>56.278371134625679</v>
      </c>
      <c r="O29" s="73">
        <f>'Proposed Rates'!E39</f>
        <v>56.28</v>
      </c>
      <c r="P29" s="73">
        <f t="shared" si="20"/>
        <v>673.56000000000006</v>
      </c>
      <c r="Q29" s="78">
        <f>D29*N29</f>
        <v>675.34045361550818</v>
      </c>
      <c r="R29" s="213">
        <f t="shared" si="16"/>
        <v>1.7804536155081223</v>
      </c>
      <c r="S29" s="208"/>
      <c r="T29" s="137">
        <f>'Consolidated Cust Cnt'!B83</f>
        <v>12</v>
      </c>
      <c r="U29" s="137">
        <f t="shared" si="17"/>
        <v>1.780453615508117</v>
      </c>
      <c r="V29" s="137"/>
      <c r="W29" s="137">
        <f>'Consolidated Cust Cnt'!C83</f>
        <v>0</v>
      </c>
      <c r="X29" s="137">
        <f t="shared" si="18"/>
        <v>0</v>
      </c>
      <c r="Y29" s="137"/>
      <c r="Z29" s="137">
        <f t="shared" si="6"/>
        <v>1.780453615508117</v>
      </c>
      <c r="AA29" s="137"/>
      <c r="AB29" s="137"/>
      <c r="AC29" s="332"/>
    </row>
    <row r="30" spans="1:32" s="66" customFormat="1">
      <c r="A30" s="436"/>
      <c r="B30" s="50">
        <v>16</v>
      </c>
      <c r="C30" s="121" t="s">
        <v>196</v>
      </c>
      <c r="D30" s="120">
        <f>'Consolidated Cust Cnt'!D85</f>
        <v>11</v>
      </c>
      <c r="E30" s="75">
        <f>References!$C$7</f>
        <v>4.333333333333333</v>
      </c>
      <c r="F30" s="74">
        <f t="shared" si="4"/>
        <v>47.666666666666664</v>
      </c>
      <c r="G30" s="129">
        <v>40</v>
      </c>
      <c r="H30" s="129">
        <f t="shared" si="13"/>
        <v>1906.6666666666665</v>
      </c>
      <c r="I30" s="49">
        <f t="shared" si="14"/>
        <v>1517.3590151092912</v>
      </c>
      <c r="J30" s="73">
        <f>(References!$D$57*I30)</f>
        <v>0.660051171572549</v>
      </c>
      <c r="K30" s="73">
        <f>J30/References!$H$60</f>
        <v>0.6730237034566765</v>
      </c>
      <c r="L30" s="73">
        <f t="shared" ref="L30" si="23">K30/F30</f>
        <v>1.4119378394196011E-2</v>
      </c>
      <c r="M30" s="98">
        <f>'Proposed Rates'!C8</f>
        <v>7.57</v>
      </c>
      <c r="N30" s="73">
        <f t="shared" si="15"/>
        <v>7.5841193783941963</v>
      </c>
      <c r="O30" s="73">
        <f>'Proposed Rates'!E8</f>
        <v>7.58</v>
      </c>
      <c r="P30" s="73">
        <f>F30*M30</f>
        <v>360.83666666666664</v>
      </c>
      <c r="Q30" s="78">
        <f t="shared" ref="Q30:Q35" si="24">F30*N30</f>
        <v>361.50969037012334</v>
      </c>
      <c r="R30" s="213">
        <f t="shared" si="16"/>
        <v>0.6730237034566926</v>
      </c>
      <c r="S30" s="208"/>
      <c r="T30" s="137">
        <f>'Consolidated Cust Cnt'!B85</f>
        <v>11</v>
      </c>
      <c r="U30" s="137">
        <f>L30*T30*E30</f>
        <v>0.67302370345667639</v>
      </c>
      <c r="V30" s="137"/>
      <c r="W30" s="137">
        <f>'Consolidated Cust Cnt'!C85</f>
        <v>0</v>
      </c>
      <c r="X30" s="137">
        <f>W30*L30*E30</f>
        <v>0</v>
      </c>
      <c r="Y30" s="137"/>
      <c r="Z30" s="137">
        <f t="shared" si="6"/>
        <v>0.67302370345667639</v>
      </c>
      <c r="AA30" s="137"/>
      <c r="AB30" s="137"/>
      <c r="AC30" s="332"/>
    </row>
    <row r="31" spans="1:32" s="66" customFormat="1">
      <c r="A31" s="436"/>
      <c r="B31" s="50">
        <v>27</v>
      </c>
      <c r="C31" s="121" t="s">
        <v>197</v>
      </c>
      <c r="D31" s="120">
        <f>'Consolidated Cust Cnt'!D258</f>
        <v>13454.000000000002</v>
      </c>
      <c r="E31" s="75">
        <f>References!$C$10</f>
        <v>1</v>
      </c>
      <c r="F31" s="74">
        <f t="shared" si="4"/>
        <v>13454.000000000002</v>
      </c>
      <c r="G31" s="74">
        <f>References!C24</f>
        <v>34</v>
      </c>
      <c r="H31" s="74">
        <f t="shared" si="13"/>
        <v>457436.00000000006</v>
      </c>
      <c r="I31" s="49">
        <f t="shared" si="14"/>
        <v>364035.64952912618</v>
      </c>
      <c r="J31" s="73">
        <f>(References!$D$57*I31)</f>
        <v>158.35550754517163</v>
      </c>
      <c r="K31" s="73">
        <f>J31/References!$H$60</f>
        <v>161.46779937818619</v>
      </c>
      <c r="L31" s="73">
        <f t="shared" si="19"/>
        <v>1.200147163506661E-2</v>
      </c>
      <c r="M31" s="98">
        <f>'Proposed Rates'!C50</f>
        <v>10.98</v>
      </c>
      <c r="N31" s="73">
        <f t="shared" si="15"/>
        <v>10.992001471635067</v>
      </c>
      <c r="O31" s="73">
        <f>'Proposed Rates'!E50</f>
        <v>10.99</v>
      </c>
      <c r="P31" s="73">
        <f>F31*M31</f>
        <v>147724.92000000001</v>
      </c>
      <c r="Q31" s="78">
        <f t="shared" si="24"/>
        <v>147886.38779937822</v>
      </c>
      <c r="R31" s="213">
        <f t="shared" si="16"/>
        <v>161.46779937820975</v>
      </c>
      <c r="S31" s="208"/>
      <c r="T31" s="137">
        <f>'Consolidated Cust Cnt'!B258</f>
        <v>11824.000000000002</v>
      </c>
      <c r="U31" s="137">
        <f>L31*T31</f>
        <v>141.90540061302761</v>
      </c>
      <c r="V31" s="137"/>
      <c r="W31" s="137">
        <f>'Consolidated Cust Cnt'!C258</f>
        <v>1629.9999999999998</v>
      </c>
      <c r="X31" s="137">
        <f>W31*L31</f>
        <v>19.562398765158573</v>
      </c>
      <c r="Y31" s="137"/>
      <c r="Z31" s="137">
        <f t="shared" si="6"/>
        <v>161.46779937818619</v>
      </c>
      <c r="AA31" s="137"/>
      <c r="AB31" s="137"/>
      <c r="AC31" s="332"/>
    </row>
    <row r="32" spans="1:32" s="66" customFormat="1">
      <c r="A32" s="436"/>
      <c r="B32" s="50">
        <v>27</v>
      </c>
      <c r="C32" s="121" t="s">
        <v>198</v>
      </c>
      <c r="D32" s="120">
        <f>'Consolidated Cust Cnt'!D259</f>
        <v>46452.036649214657</v>
      </c>
      <c r="E32" s="75">
        <f>References!$C$10</f>
        <v>1</v>
      </c>
      <c r="F32" s="74">
        <f t="shared" si="4"/>
        <v>46452.036649214657</v>
      </c>
      <c r="G32" s="74">
        <f>References!C24</f>
        <v>34</v>
      </c>
      <c r="H32" s="74">
        <f t="shared" si="13"/>
        <v>1579369.2460732984</v>
      </c>
      <c r="I32" s="49">
        <f t="shared" si="14"/>
        <v>1256889.9460047295</v>
      </c>
      <c r="J32" s="73">
        <f>(References!$D$57*I32)</f>
        <v>546.74712651206335</v>
      </c>
      <c r="K32" s="73">
        <f>J32/References!$H$60</f>
        <v>557.49280023662425</v>
      </c>
      <c r="L32" s="73">
        <f t="shared" si="19"/>
        <v>1.2001471635066608E-2</v>
      </c>
      <c r="M32" s="98">
        <f>'Proposed Rates'!C51</f>
        <v>3.82</v>
      </c>
      <c r="N32" s="73">
        <f t="shared" si="15"/>
        <v>3.8320014716350665</v>
      </c>
      <c r="O32" s="73">
        <f>'Proposed Rates'!E51</f>
        <v>3.8299999999999996</v>
      </c>
      <c r="P32" s="73">
        <f>F32*M32</f>
        <v>177446.77999999997</v>
      </c>
      <c r="Q32" s="78">
        <f t="shared" si="24"/>
        <v>178004.27280023662</v>
      </c>
      <c r="R32" s="213">
        <f t="shared" si="16"/>
        <v>557.49280023665051</v>
      </c>
      <c r="S32" s="208"/>
      <c r="T32" s="137">
        <f>'Consolidated Cust Cnt'!B259</f>
        <v>41547.036649214657</v>
      </c>
      <c r="U32" s="137">
        <f>L32*T32</f>
        <v>498.62558186662255</v>
      </c>
      <c r="V32" s="137"/>
      <c r="W32" s="137">
        <f>'Consolidated Cust Cnt'!C259</f>
        <v>4905.0000000000009</v>
      </c>
      <c r="X32" s="137">
        <f>W32*L32</f>
        <v>58.867218370001723</v>
      </c>
      <c r="Y32" s="137"/>
      <c r="Z32" s="137">
        <f t="shared" si="6"/>
        <v>557.49280023662425</v>
      </c>
      <c r="AA32" s="137"/>
      <c r="AB32" s="137"/>
      <c r="AC32" s="332"/>
    </row>
    <row r="33" spans="1:29" s="66" customFormat="1">
      <c r="A33" s="436"/>
      <c r="B33" s="50">
        <v>28</v>
      </c>
      <c r="C33" s="121" t="s">
        <v>199</v>
      </c>
      <c r="D33" s="152">
        <f>'Consolidated Cust Cnt'!D88</f>
        <v>3687.8870791630015</v>
      </c>
      <c r="E33" s="75">
        <f>References!$C$7</f>
        <v>4.333333333333333</v>
      </c>
      <c r="F33" s="74">
        <f t="shared" si="4"/>
        <v>15980.844009706339</v>
      </c>
      <c r="G33" s="74">
        <f>References!$C$28</f>
        <v>175</v>
      </c>
      <c r="H33" s="74">
        <f>F33*G33</f>
        <v>2796647.7016986096</v>
      </c>
      <c r="I33" s="49">
        <f t="shared" si="14"/>
        <v>2225621.6445404189</v>
      </c>
      <c r="J33" s="73">
        <f>(References!$D$57*I33)</f>
        <v>968.14541537509297</v>
      </c>
      <c r="K33" s="73">
        <f>J33/References!$H$60</f>
        <v>987.17317838853194</v>
      </c>
      <c r="L33" s="73">
        <f>K33/F33</f>
        <v>6.1772280474607547E-2</v>
      </c>
      <c r="M33" s="73">
        <f>'Proposed Rates'!C54</f>
        <v>24.65</v>
      </c>
      <c r="N33" s="73">
        <f t="shared" si="15"/>
        <v>24.711772280474605</v>
      </c>
      <c r="O33" s="73">
        <f>'Proposed Rates'!E54</f>
        <v>24.709999999999997</v>
      </c>
      <c r="P33" s="73">
        <f>F33*M33</f>
        <v>393927.80483926123</v>
      </c>
      <c r="Q33" s="78">
        <f t="shared" si="24"/>
        <v>394914.97801764979</v>
      </c>
      <c r="R33" s="213">
        <f t="shared" si="16"/>
        <v>987.17317838856252</v>
      </c>
      <c r="S33" s="208"/>
      <c r="T33" s="137">
        <f>'Consolidated Cust Cnt'!B88</f>
        <v>3119.6526536042479</v>
      </c>
      <c r="U33" s="137">
        <f>L33*T33*E33</f>
        <v>835.06825437444627</v>
      </c>
      <c r="V33" s="137"/>
      <c r="W33" s="137">
        <f>'Consolidated Cust Cnt'!C88</f>
        <v>568.23442555875363</v>
      </c>
      <c r="X33" s="137">
        <f t="shared" ref="X33:X52" si="25">W33*L33*E33</f>
        <v>152.10492401408561</v>
      </c>
      <c r="Y33" s="137"/>
      <c r="Z33" s="137">
        <f t="shared" si="6"/>
        <v>987.17317838853182</v>
      </c>
      <c r="AA33" s="137"/>
      <c r="AB33" s="137"/>
      <c r="AC33" s="332"/>
    </row>
    <row r="34" spans="1:29" s="66" customFormat="1">
      <c r="A34" s="436"/>
      <c r="B34" s="50">
        <v>28</v>
      </c>
      <c r="C34" s="121" t="s">
        <v>200</v>
      </c>
      <c r="D34" s="152">
        <f>'Consolidated Cust Cnt'!D90</f>
        <v>666.74448442060964</v>
      </c>
      <c r="E34" s="75">
        <f>References!$C$7</f>
        <v>4.333333333333333</v>
      </c>
      <c r="F34" s="74">
        <f t="shared" si="4"/>
        <v>2889.2260991559747</v>
      </c>
      <c r="G34" s="74">
        <f>References!$C$29</f>
        <v>250</v>
      </c>
      <c r="H34" s="74">
        <f t="shared" ref="H34:H52" si="26">F34*G34</f>
        <v>722306.52478899364</v>
      </c>
      <c r="I34" s="49">
        <f t="shared" si="14"/>
        <v>574824.29216477741</v>
      </c>
      <c r="J34" s="73">
        <f>(References!$D$57*I34)</f>
        <v>250.04856709168095</v>
      </c>
      <c r="K34" s="73">
        <f>J34/References!$H$60</f>
        <v>254.96297850231304</v>
      </c>
      <c r="L34" s="73">
        <f t="shared" ref="L34:L97" si="27">K34/F34</f>
        <v>8.8246114963725059E-2</v>
      </c>
      <c r="M34" s="73">
        <f>'Proposed Rates'!C55</f>
        <v>34.57</v>
      </c>
      <c r="N34" s="73">
        <f t="shared" ref="N34:N52" si="28">L34+M34</f>
        <v>34.658246114963724</v>
      </c>
      <c r="O34" s="73">
        <f>'Proposed Rates'!E55</f>
        <v>34.660000000000004</v>
      </c>
      <c r="P34" s="73">
        <f t="shared" ref="P34:P52" si="29">F34*M34</f>
        <v>99880.546247822043</v>
      </c>
      <c r="Q34" s="78">
        <f t="shared" si="24"/>
        <v>100135.50922632436</v>
      </c>
      <c r="R34" s="213">
        <f t="shared" si="16"/>
        <v>254.96297850231349</v>
      </c>
      <c r="S34" s="208"/>
      <c r="T34" s="137">
        <f>'Consolidated Cust Cnt'!B90</f>
        <v>475.49450112179204</v>
      </c>
      <c r="U34" s="137">
        <f>L34*T34*E34</f>
        <v>181.82901711265524</v>
      </c>
      <c r="V34" s="137"/>
      <c r="W34" s="137">
        <f>'Consolidated Cust Cnt'!C90</f>
        <v>191.24998329881757</v>
      </c>
      <c r="X34" s="137">
        <f t="shared" si="25"/>
        <v>73.133961389657784</v>
      </c>
      <c r="Y34" s="137"/>
      <c r="Z34" s="137">
        <f t="shared" si="6"/>
        <v>254.96297850231304</v>
      </c>
      <c r="AA34" s="137"/>
      <c r="AB34" s="137"/>
      <c r="AC34" s="332"/>
    </row>
    <row r="35" spans="1:29" s="66" customFormat="1">
      <c r="A35" s="436"/>
      <c r="B35" s="50" t="s">
        <v>259</v>
      </c>
      <c r="C35" s="121" t="s">
        <v>201</v>
      </c>
      <c r="D35" s="152">
        <f>'Consolidated Cust Cnt'!D91</f>
        <v>24.000000000000004</v>
      </c>
      <c r="E35" s="75">
        <f>References!$C$6</f>
        <v>8.6666666666666661</v>
      </c>
      <c r="F35" s="74">
        <f t="shared" si="4"/>
        <v>208.00000000000003</v>
      </c>
      <c r="G35" s="74">
        <f>References!$C$29</f>
        <v>250</v>
      </c>
      <c r="H35" s="74">
        <f t="shared" si="26"/>
        <v>52000.000000000007</v>
      </c>
      <c r="I35" s="49">
        <f t="shared" si="14"/>
        <v>41382.51859388977</v>
      </c>
      <c r="J35" s="73">
        <f>(References!$D$57*I35)</f>
        <v>18.001395588342248</v>
      </c>
      <c r="K35" s="73">
        <f>J35/References!$H$60</f>
        <v>18.355191912454817</v>
      </c>
      <c r="L35" s="73">
        <f t="shared" si="27"/>
        <v>8.8246114963725072E-2</v>
      </c>
      <c r="M35" s="73">
        <f>M34</f>
        <v>34.57</v>
      </c>
      <c r="N35" s="73">
        <f t="shared" si="28"/>
        <v>34.658246114963724</v>
      </c>
      <c r="O35" s="73">
        <f>'Proposed Rates'!E55</f>
        <v>34.660000000000004</v>
      </c>
      <c r="P35" s="73">
        <f t="shared" si="29"/>
        <v>7190.5600000000013</v>
      </c>
      <c r="Q35" s="78">
        <f t="shared" si="24"/>
        <v>7208.9151919124552</v>
      </c>
      <c r="R35" s="213">
        <f t="shared" si="16"/>
        <v>18.355191912453847</v>
      </c>
      <c r="S35" s="208"/>
      <c r="T35" s="137">
        <f>'Consolidated Cust Cnt'!B91</f>
        <v>0</v>
      </c>
      <c r="U35" s="137">
        <f>L35*T35*References!D$7</f>
        <v>0</v>
      </c>
      <c r="V35" s="137"/>
      <c r="W35" s="137">
        <f>'Consolidated Cust Cnt'!C91</f>
        <v>24.000000000000004</v>
      </c>
      <c r="X35" s="137">
        <f t="shared" si="25"/>
        <v>18.355191912454817</v>
      </c>
      <c r="Y35" s="137"/>
      <c r="Z35" s="137">
        <f t="shared" si="6"/>
        <v>18.355191912454817</v>
      </c>
      <c r="AA35" s="137"/>
      <c r="AB35" s="137"/>
      <c r="AC35" s="332"/>
    </row>
    <row r="36" spans="1:29" s="66" customFormat="1">
      <c r="A36" s="436"/>
      <c r="B36" s="50" t="s">
        <v>259</v>
      </c>
      <c r="C36" s="118" t="s">
        <v>202</v>
      </c>
      <c r="D36" s="152">
        <f>'Consolidated Cust Cnt'!D92</f>
        <v>0</v>
      </c>
      <c r="E36" s="75">
        <f>References!$C$5</f>
        <v>13</v>
      </c>
      <c r="F36" s="74">
        <f t="shared" si="4"/>
        <v>0</v>
      </c>
      <c r="G36" s="74">
        <f>References!$C$29</f>
        <v>250</v>
      </c>
      <c r="H36" s="74">
        <f t="shared" si="26"/>
        <v>0</v>
      </c>
      <c r="I36" s="49">
        <f t="shared" si="14"/>
        <v>0</v>
      </c>
      <c r="J36" s="73">
        <f>(References!$D$57*I36)</f>
        <v>0</v>
      </c>
      <c r="K36" s="73">
        <f>J36/References!$H$60</f>
        <v>0</v>
      </c>
      <c r="L36" s="73">
        <f>L35</f>
        <v>8.8246114963725072E-2</v>
      </c>
      <c r="M36" s="73">
        <f>M34</f>
        <v>34.57</v>
      </c>
      <c r="N36" s="73">
        <f t="shared" si="28"/>
        <v>34.658246114963724</v>
      </c>
      <c r="O36" s="73">
        <f>'Proposed Rates'!E55</f>
        <v>34.660000000000004</v>
      </c>
      <c r="P36" s="73">
        <f t="shared" si="29"/>
        <v>0</v>
      </c>
      <c r="Q36" s="78"/>
      <c r="R36" s="213">
        <f t="shared" si="16"/>
        <v>0</v>
      </c>
      <c r="S36" s="208"/>
      <c r="T36" s="137">
        <f>'Consolidated Cust Cnt'!B92</f>
        <v>0</v>
      </c>
      <c r="U36" s="137">
        <f>L36*T36*References!E$7</f>
        <v>0</v>
      </c>
      <c r="V36" s="137"/>
      <c r="W36" s="137">
        <f>'Consolidated Cust Cnt'!C92</f>
        <v>0</v>
      </c>
      <c r="X36" s="137">
        <f t="shared" si="25"/>
        <v>0</v>
      </c>
      <c r="Y36" s="137"/>
      <c r="Z36" s="137">
        <f t="shared" si="6"/>
        <v>0</v>
      </c>
      <c r="AA36" s="137"/>
      <c r="AB36" s="137"/>
      <c r="AC36" s="332"/>
    </row>
    <row r="37" spans="1:29" s="66" customFormat="1">
      <c r="A37" s="436"/>
      <c r="B37" s="50">
        <v>28</v>
      </c>
      <c r="C37" s="121" t="s">
        <v>203</v>
      </c>
      <c r="D37" s="152">
        <f>'Consolidated Cust Cnt'!D93</f>
        <v>1743.7916726097046</v>
      </c>
      <c r="E37" s="75">
        <f>References!$C$7</f>
        <v>4.333333333333333</v>
      </c>
      <c r="F37" s="74">
        <f t="shared" si="4"/>
        <v>7556.4305813087194</v>
      </c>
      <c r="G37" s="74">
        <f>References!$C$30</f>
        <v>324</v>
      </c>
      <c r="H37" s="74">
        <f t="shared" si="26"/>
        <v>2448283.5083440249</v>
      </c>
      <c r="I37" s="49">
        <f t="shared" si="14"/>
        <v>1948387.2655223131</v>
      </c>
      <c r="J37" s="73">
        <f>(References!$D$57*I37)</f>
        <v>847.54846050221556</v>
      </c>
      <c r="K37" s="73">
        <f>J37/References!$H$60</f>
        <v>864.20603176447582</v>
      </c>
      <c r="L37" s="73">
        <f t="shared" si="27"/>
        <v>0.11436696499298768</v>
      </c>
      <c r="M37" s="73">
        <f>'Proposed Rates'!C56</f>
        <v>43.58</v>
      </c>
      <c r="N37" s="73">
        <f t="shared" si="28"/>
        <v>43.694366964992987</v>
      </c>
      <c r="O37" s="73">
        <f>'Proposed Rates'!$E$56</f>
        <v>43.69</v>
      </c>
      <c r="P37" s="73">
        <f t="shared" si="29"/>
        <v>329309.244733434</v>
      </c>
      <c r="Q37" s="78">
        <f t="shared" ref="Q37:Q100" si="30">F37*N37</f>
        <v>330173.45076519845</v>
      </c>
      <c r="R37" s="213">
        <f t="shared" si="16"/>
        <v>864.20603176445002</v>
      </c>
      <c r="S37" s="208"/>
      <c r="T37" s="137">
        <f>'Consolidated Cust Cnt'!B93</f>
        <v>937.74179118926463</v>
      </c>
      <c r="U37" s="137">
        <f t="shared" ref="U37:U52" si="31">L37*T37*E37</f>
        <v>464.73562462341812</v>
      </c>
      <c r="V37" s="137"/>
      <c r="W37" s="137">
        <f>'Consolidated Cust Cnt'!C93</f>
        <v>806.0498814204401</v>
      </c>
      <c r="X37" s="137">
        <f t="shared" si="25"/>
        <v>399.47040714105782</v>
      </c>
      <c r="Y37" s="137"/>
      <c r="Z37" s="137">
        <f t="shared" si="6"/>
        <v>864.20603176447594</v>
      </c>
      <c r="AA37" s="137"/>
      <c r="AB37" s="137"/>
      <c r="AC37" s="332"/>
    </row>
    <row r="38" spans="1:29" s="66" customFormat="1">
      <c r="A38" s="436"/>
      <c r="B38" s="50" t="s">
        <v>259</v>
      </c>
      <c r="C38" s="121" t="s">
        <v>204</v>
      </c>
      <c r="D38" s="152">
        <f>'Consolidated Cust Cnt'!D94</f>
        <v>122.75001346801346</v>
      </c>
      <c r="E38" s="75">
        <f>References!$C$6</f>
        <v>8.6666666666666661</v>
      </c>
      <c r="F38" s="74">
        <f t="shared" si="4"/>
        <v>1063.8334500561166</v>
      </c>
      <c r="G38" s="74">
        <f>References!$C$30</f>
        <v>324</v>
      </c>
      <c r="H38" s="74">
        <f t="shared" si="26"/>
        <v>344682.03781818179</v>
      </c>
      <c r="I38" s="49">
        <f t="shared" si="14"/>
        <v>274304.05459597544</v>
      </c>
      <c r="J38" s="73">
        <f>(References!$D$57*I38)</f>
        <v>119.32226374925064</v>
      </c>
      <c r="K38" s="73">
        <f>J38/References!$H$60</f>
        <v>121.66740294093721</v>
      </c>
      <c r="L38" s="73">
        <f t="shared" si="27"/>
        <v>0.11436696499298769</v>
      </c>
      <c r="M38" s="73">
        <f>M37</f>
        <v>43.58</v>
      </c>
      <c r="N38" s="73">
        <f t="shared" si="28"/>
        <v>43.694366964992987</v>
      </c>
      <c r="O38" s="73">
        <f>'Proposed Rates'!$E$56</f>
        <v>43.69</v>
      </c>
      <c r="P38" s="73">
        <f t="shared" si="29"/>
        <v>46361.861753445562</v>
      </c>
      <c r="Q38" s="78">
        <f t="shared" si="30"/>
        <v>46483.529156386496</v>
      </c>
      <c r="R38" s="213">
        <f t="shared" si="16"/>
        <v>121.66740294093324</v>
      </c>
      <c r="S38" s="208"/>
      <c r="T38" s="137">
        <f>'Consolidated Cust Cnt'!B94</f>
        <v>50.750013468013471</v>
      </c>
      <c r="U38" s="137">
        <f t="shared" si="31"/>
        <v>50.3024167853129</v>
      </c>
      <c r="V38" s="137"/>
      <c r="W38" s="137">
        <f>'Consolidated Cust Cnt'!C94</f>
        <v>72</v>
      </c>
      <c r="X38" s="137">
        <f t="shared" si="25"/>
        <v>71.364986155624308</v>
      </c>
      <c r="Y38" s="137"/>
      <c r="Z38" s="137">
        <f t="shared" si="6"/>
        <v>121.66740294093721</v>
      </c>
      <c r="AA38" s="137"/>
      <c r="AB38" s="137"/>
      <c r="AC38" s="332"/>
    </row>
    <row r="39" spans="1:29" s="66" customFormat="1">
      <c r="A39" s="436"/>
      <c r="B39" s="50" t="s">
        <v>259</v>
      </c>
      <c r="C39" s="121" t="s">
        <v>205</v>
      </c>
      <c r="D39" s="152">
        <f>'Consolidated Cust Cnt'!D95</f>
        <v>22.58066369774458</v>
      </c>
      <c r="E39" s="75">
        <f>References!$C$5</f>
        <v>13</v>
      </c>
      <c r="F39" s="74">
        <f t="shared" si="4"/>
        <v>293.54862807067951</v>
      </c>
      <c r="G39" s="74">
        <f>References!$C$30</f>
        <v>324</v>
      </c>
      <c r="H39" s="74">
        <f t="shared" si="26"/>
        <v>95109.755494900164</v>
      </c>
      <c r="I39" s="49">
        <f t="shared" si="14"/>
        <v>75690.023562077215</v>
      </c>
      <c r="J39" s="73">
        <f>(References!$D$57*I39)</f>
        <v>32.925160249503953</v>
      </c>
      <c r="K39" s="73">
        <f>J39/References!$H$60</f>
        <v>33.572265670298968</v>
      </c>
      <c r="L39" s="73">
        <f t="shared" si="27"/>
        <v>0.11436696499298769</v>
      </c>
      <c r="M39" s="73">
        <f>M37</f>
        <v>43.58</v>
      </c>
      <c r="N39" s="73">
        <f t="shared" si="28"/>
        <v>43.694366964992987</v>
      </c>
      <c r="O39" s="73">
        <f>'Proposed Rates'!$E$56</f>
        <v>43.69</v>
      </c>
      <c r="P39" s="73">
        <f t="shared" si="29"/>
        <v>12792.849211320212</v>
      </c>
      <c r="Q39" s="78">
        <f t="shared" si="30"/>
        <v>12826.421476990512</v>
      </c>
      <c r="R39" s="213">
        <f t="shared" si="16"/>
        <v>33.572265670300112</v>
      </c>
      <c r="S39" s="208"/>
      <c r="T39" s="137">
        <f>'Consolidated Cust Cnt'!B95</f>
        <v>22.58066369774458</v>
      </c>
      <c r="U39" s="137">
        <f t="shared" si="31"/>
        <v>33.572265670298975</v>
      </c>
      <c r="V39" s="137"/>
      <c r="W39" s="137">
        <f>'Consolidated Cust Cnt'!C95</f>
        <v>0</v>
      </c>
      <c r="X39" s="137">
        <f t="shared" si="25"/>
        <v>0</v>
      </c>
      <c r="Y39" s="137"/>
      <c r="Z39" s="137">
        <f t="shared" si="6"/>
        <v>33.572265670298975</v>
      </c>
      <c r="AA39" s="137"/>
      <c r="AB39" s="137"/>
      <c r="AC39" s="332"/>
    </row>
    <row r="40" spans="1:29" s="66" customFormat="1">
      <c r="A40" s="436"/>
      <c r="B40" s="50">
        <v>28</v>
      </c>
      <c r="C40" s="121" t="s">
        <v>206</v>
      </c>
      <c r="D40" s="152">
        <f>'Consolidated Cust Cnt'!D96</f>
        <v>271.49893765724232</v>
      </c>
      <c r="E40" s="75">
        <f>References!$C$7</f>
        <v>4.333333333333333</v>
      </c>
      <c r="F40" s="74">
        <f t="shared" si="4"/>
        <v>1176.4953965147167</v>
      </c>
      <c r="G40" s="74">
        <f>References!$C$32</f>
        <v>613</v>
      </c>
      <c r="H40" s="74">
        <f t="shared" si="26"/>
        <v>721191.67806352139</v>
      </c>
      <c r="I40" s="49">
        <f t="shared" si="14"/>
        <v>573937.07744658145</v>
      </c>
      <c r="J40" s="73">
        <f>(References!$D$57*I40)</f>
        <v>249.66262868926569</v>
      </c>
      <c r="K40" s="73">
        <f>J40/References!$H$60</f>
        <v>254.56945493310121</v>
      </c>
      <c r="L40" s="73">
        <f t="shared" si="27"/>
        <v>0.21637947389105386</v>
      </c>
      <c r="M40" s="73">
        <f>'Proposed Rates'!C57</f>
        <v>82.89</v>
      </c>
      <c r="N40" s="73">
        <f t="shared" si="28"/>
        <v>83.106379473891053</v>
      </c>
      <c r="O40" s="73">
        <f>'Proposed Rates'!$E$57</f>
        <v>83.11</v>
      </c>
      <c r="P40" s="73">
        <f t="shared" si="29"/>
        <v>97519.703417104873</v>
      </c>
      <c r="Q40" s="78">
        <f t="shared" si="30"/>
        <v>97774.272872037967</v>
      </c>
      <c r="R40" s="213">
        <f t="shared" si="16"/>
        <v>254.56945493309468</v>
      </c>
      <c r="S40" s="208"/>
      <c r="T40" s="137">
        <f>'Consolidated Cust Cnt'!B96</f>
        <v>230.49893765724232</v>
      </c>
      <c r="U40" s="137">
        <f t="shared" si="31"/>
        <v>216.1260350717906</v>
      </c>
      <c r="V40" s="137"/>
      <c r="W40" s="137">
        <f>'Consolidated Cust Cnt'!C96</f>
        <v>40.999999999999993</v>
      </c>
      <c r="X40" s="137">
        <f t="shared" si="25"/>
        <v>38.443419861310566</v>
      </c>
      <c r="Y40" s="137"/>
      <c r="Z40" s="137">
        <f t="shared" si="6"/>
        <v>254.56945493310116</v>
      </c>
      <c r="AA40" s="137"/>
      <c r="AB40" s="137"/>
      <c r="AC40" s="332"/>
    </row>
    <row r="41" spans="1:29" s="66" customFormat="1">
      <c r="A41" s="436"/>
      <c r="B41" s="50" t="s">
        <v>259</v>
      </c>
      <c r="C41" s="121" t="s">
        <v>207</v>
      </c>
      <c r="D41" s="152">
        <f>'Consolidated Cust Cnt'!D97</f>
        <v>23.999971677004559</v>
      </c>
      <c r="E41" s="75">
        <f>References!$C$6</f>
        <v>8.6666666666666661</v>
      </c>
      <c r="F41" s="74">
        <f t="shared" si="4"/>
        <v>207.99975453403951</v>
      </c>
      <c r="G41" s="74">
        <f>References!$C$32</f>
        <v>613</v>
      </c>
      <c r="H41" s="74">
        <f t="shared" si="26"/>
        <v>127503.84952936623</v>
      </c>
      <c r="I41" s="49">
        <f t="shared" si="14"/>
        <v>101469.81584502924</v>
      </c>
      <c r="J41" s="73">
        <f>(References!$D$57*I41)</f>
        <v>44.139369892588206</v>
      </c>
      <c r="K41" s="73">
        <f>J41/References!$H$60</f>
        <v>45.006877455543815</v>
      </c>
      <c r="L41" s="73">
        <f t="shared" si="27"/>
        <v>0.21637947389105386</v>
      </c>
      <c r="M41" s="73">
        <f>M40</f>
        <v>82.89</v>
      </c>
      <c r="N41" s="73">
        <f t="shared" si="28"/>
        <v>83.106379473891053</v>
      </c>
      <c r="O41" s="73">
        <f>'Proposed Rates'!$E$57</f>
        <v>83.11</v>
      </c>
      <c r="P41" s="73">
        <f t="shared" si="29"/>
        <v>17241.099653326535</v>
      </c>
      <c r="Q41" s="78">
        <f t="shared" si="30"/>
        <v>17286.106530782079</v>
      </c>
      <c r="R41" s="213">
        <f t="shared" si="16"/>
        <v>45.006877455543872</v>
      </c>
      <c r="S41" s="208"/>
      <c r="T41" s="137">
        <f>'Consolidated Cust Cnt'!B97</f>
        <v>11.999971677004559</v>
      </c>
      <c r="U41" s="137">
        <f t="shared" si="31"/>
        <v>22.503412170874213</v>
      </c>
      <c r="V41" s="137"/>
      <c r="W41" s="137">
        <f>'Consolidated Cust Cnt'!C97</f>
        <v>12</v>
      </c>
      <c r="X41" s="137">
        <f t="shared" si="25"/>
        <v>22.503465284669602</v>
      </c>
      <c r="Y41" s="137"/>
      <c r="Z41" s="137">
        <f t="shared" si="6"/>
        <v>45.006877455543815</v>
      </c>
      <c r="AA41" s="137"/>
      <c r="AB41" s="137"/>
      <c r="AC41" s="332"/>
    </row>
    <row r="42" spans="1:29" s="66" customFormat="1">
      <c r="A42" s="436"/>
      <c r="B42" s="50">
        <v>28</v>
      </c>
      <c r="C42" s="121" t="s">
        <v>209</v>
      </c>
      <c r="D42" s="152">
        <f>'Consolidated Cust Cnt'!D99</f>
        <v>350.99915505263021</v>
      </c>
      <c r="E42" s="75">
        <f>References!$C$7</f>
        <v>4.333333333333333</v>
      </c>
      <c r="F42" s="74">
        <f t="shared" si="4"/>
        <v>1520.9963385613976</v>
      </c>
      <c r="G42" s="74">
        <f>References!$C$33</f>
        <v>840</v>
      </c>
      <c r="H42" s="74">
        <f t="shared" si="26"/>
        <v>1277636.924391574</v>
      </c>
      <c r="I42" s="49">
        <f t="shared" si="14"/>
        <v>1016766.0342283547</v>
      </c>
      <c r="J42" s="73">
        <f>(References!$D$57*I42)</f>
        <v>442.29322488933917</v>
      </c>
      <c r="K42" s="73">
        <f>J42/References!$H$60</f>
        <v>450.98597964703583</v>
      </c>
      <c r="L42" s="73">
        <f t="shared" si="27"/>
        <v>0.29650694627811625</v>
      </c>
      <c r="M42" s="73">
        <f>'Proposed Rates'!C58</f>
        <v>116.69</v>
      </c>
      <c r="N42" s="73">
        <f t="shared" si="28"/>
        <v>116.98650694627811</v>
      </c>
      <c r="O42" s="73">
        <f>'Proposed Rates'!$E$58</f>
        <v>116.99</v>
      </c>
      <c r="P42" s="73">
        <f t="shared" si="29"/>
        <v>177485.06274672947</v>
      </c>
      <c r="Q42" s="78">
        <f t="shared" si="30"/>
        <v>177936.04872637652</v>
      </c>
      <c r="R42" s="213">
        <f t="shared" si="16"/>
        <v>450.9859796470555</v>
      </c>
      <c r="S42" s="208"/>
      <c r="T42" s="137">
        <f>'Consolidated Cust Cnt'!B99</f>
        <v>266.99915505263021</v>
      </c>
      <c r="U42" s="137">
        <f t="shared" si="31"/>
        <v>343.05745120180154</v>
      </c>
      <c r="V42" s="137"/>
      <c r="W42" s="137">
        <f>'Consolidated Cust Cnt'!C99</f>
        <v>84</v>
      </c>
      <c r="X42" s="137">
        <f t="shared" si="25"/>
        <v>107.92852844523431</v>
      </c>
      <c r="Y42" s="137"/>
      <c r="Z42" s="137">
        <f t="shared" si="6"/>
        <v>450.98597964703583</v>
      </c>
      <c r="AA42" s="137"/>
      <c r="AB42" s="137"/>
      <c r="AC42" s="332"/>
    </row>
    <row r="43" spans="1:29" s="66" customFormat="1">
      <c r="A43" s="436"/>
      <c r="B43" s="50" t="s">
        <v>259</v>
      </c>
      <c r="C43" s="121" t="s">
        <v>210</v>
      </c>
      <c r="D43" s="152">
        <f>'Consolidated Cust Cnt'!D100</f>
        <v>222.67744400898127</v>
      </c>
      <c r="E43" s="75">
        <f>References!$C$6</f>
        <v>8.6666666666666661</v>
      </c>
      <c r="F43" s="74">
        <f t="shared" si="4"/>
        <v>1929.8711814111709</v>
      </c>
      <c r="G43" s="74">
        <f>References!$C$33</f>
        <v>840</v>
      </c>
      <c r="H43" s="74">
        <f t="shared" si="26"/>
        <v>1621091.7923853835</v>
      </c>
      <c r="I43" s="49">
        <f t="shared" si="14"/>
        <v>1290093.4853998118</v>
      </c>
      <c r="J43" s="73">
        <f>(References!$D$57*I43)</f>
        <v>561.19066614892438</v>
      </c>
      <c r="K43" s="73">
        <f>J43/References!$H$60</f>
        <v>572.2202107103667</v>
      </c>
      <c r="L43" s="73">
        <f t="shared" si="27"/>
        <v>0.29650694627811619</v>
      </c>
      <c r="M43" s="73">
        <f>M42</f>
        <v>116.69</v>
      </c>
      <c r="N43" s="73">
        <f t="shared" si="28"/>
        <v>116.98650694627811</v>
      </c>
      <c r="O43" s="73">
        <f>'Proposed Rates'!$E$58</f>
        <v>116.99</v>
      </c>
      <c r="P43" s="73">
        <f t="shared" si="29"/>
        <v>225196.66815886952</v>
      </c>
      <c r="Q43" s="78">
        <f t="shared" si="30"/>
        <v>225768.88836957989</v>
      </c>
      <c r="R43" s="213">
        <f t="shared" si="16"/>
        <v>572.22021071036579</v>
      </c>
      <c r="S43" s="208"/>
      <c r="T43" s="137">
        <f>'Consolidated Cust Cnt'!B100</f>
        <v>174.67744400898127</v>
      </c>
      <c r="U43" s="137">
        <f t="shared" si="31"/>
        <v>448.87332105867034</v>
      </c>
      <c r="V43" s="137"/>
      <c r="W43" s="137">
        <f>'Consolidated Cust Cnt'!C100</f>
        <v>48.000000000000007</v>
      </c>
      <c r="X43" s="137">
        <f t="shared" si="25"/>
        <v>123.34688965169634</v>
      </c>
      <c r="Y43" s="137"/>
      <c r="Z43" s="137">
        <f t="shared" si="6"/>
        <v>572.2202107103667</v>
      </c>
      <c r="AA43" s="137"/>
      <c r="AB43" s="137"/>
      <c r="AC43" s="332"/>
    </row>
    <row r="44" spans="1:29" s="66" customFormat="1">
      <c r="A44" s="436"/>
      <c r="B44" s="50" t="s">
        <v>259</v>
      </c>
      <c r="C44" s="121" t="s">
        <v>211</v>
      </c>
      <c r="D44" s="152">
        <f>'Consolidated Cust Cnt'!D101</f>
        <v>23.999999999999996</v>
      </c>
      <c r="E44" s="75">
        <f>References!$C$5</f>
        <v>13</v>
      </c>
      <c r="F44" s="74">
        <f t="shared" si="4"/>
        <v>311.99999999999994</v>
      </c>
      <c r="G44" s="74">
        <f>References!$C$33</f>
        <v>840</v>
      </c>
      <c r="H44" s="74">
        <f t="shared" si="26"/>
        <v>262079.99999999994</v>
      </c>
      <c r="I44" s="49">
        <f t="shared" si="14"/>
        <v>208567.89371320436</v>
      </c>
      <c r="J44" s="73">
        <f>(References!$D$57*I44)</f>
        <v>90.727033765244911</v>
      </c>
      <c r="K44" s="73">
        <f>J44/References!$H$60</f>
        <v>92.510167238772254</v>
      </c>
      <c r="L44" s="73">
        <f t="shared" si="27"/>
        <v>0.29650694627811625</v>
      </c>
      <c r="M44" s="73">
        <f>M42</f>
        <v>116.69</v>
      </c>
      <c r="N44" s="73">
        <f t="shared" si="28"/>
        <v>116.98650694627811</v>
      </c>
      <c r="O44" s="73">
        <f>'Proposed Rates'!$E$58</f>
        <v>116.99</v>
      </c>
      <c r="P44" s="73">
        <f t="shared" si="29"/>
        <v>36407.279999999992</v>
      </c>
      <c r="Q44" s="78">
        <f t="shared" si="30"/>
        <v>36499.790167238767</v>
      </c>
      <c r="R44" s="213">
        <f t="shared" si="16"/>
        <v>92.510167238775466</v>
      </c>
      <c r="S44" s="208"/>
      <c r="T44" s="137">
        <f>'Consolidated Cust Cnt'!B101</f>
        <v>23.999999999999996</v>
      </c>
      <c r="U44" s="137">
        <f t="shared" si="31"/>
        <v>92.510167238772254</v>
      </c>
      <c r="V44" s="137"/>
      <c r="W44" s="137">
        <f>'Consolidated Cust Cnt'!C101</f>
        <v>0</v>
      </c>
      <c r="X44" s="137">
        <f t="shared" si="25"/>
        <v>0</v>
      </c>
      <c r="Y44" s="137"/>
      <c r="Z44" s="137">
        <f t="shared" si="6"/>
        <v>92.510167238772254</v>
      </c>
      <c r="AA44" s="137"/>
      <c r="AB44" s="137"/>
      <c r="AC44" s="332"/>
    </row>
    <row r="45" spans="1:29" s="66" customFormat="1">
      <c r="A45" s="436"/>
      <c r="B45" s="50">
        <v>28</v>
      </c>
      <c r="C45" s="121" t="s">
        <v>213</v>
      </c>
      <c r="D45" s="152">
        <f>'Consolidated Cust Cnt'!D103</f>
        <v>146.6281425891182</v>
      </c>
      <c r="E45" s="75">
        <f>References!$C$10</f>
        <v>1</v>
      </c>
      <c r="F45" s="74">
        <f t="shared" si="4"/>
        <v>146.6281425891182</v>
      </c>
      <c r="G45" s="74">
        <f>References!$C$28</f>
        <v>175</v>
      </c>
      <c r="H45" s="74">
        <f t="shared" si="26"/>
        <v>25659.924953095684</v>
      </c>
      <c r="I45" s="49">
        <f t="shared" si="14"/>
        <v>20420.621567101887</v>
      </c>
      <c r="J45" s="73">
        <f>(References!$D$57*I45)</f>
        <v>8.8829703816894199</v>
      </c>
      <c r="K45" s="73">
        <f>J45/References!$H$60</f>
        <v>9.0575547494857584</v>
      </c>
      <c r="L45" s="73">
        <f t="shared" si="27"/>
        <v>6.1772280474607554E-2</v>
      </c>
      <c r="M45" s="73">
        <f>'Proposed Rates'!C68</f>
        <v>26.65</v>
      </c>
      <c r="N45" s="73">
        <f t="shared" si="28"/>
        <v>26.711772280474605</v>
      </c>
      <c r="O45" s="73">
        <f>'Proposed Rates'!E68</f>
        <v>26.709999999999997</v>
      </c>
      <c r="P45" s="73">
        <f t="shared" si="29"/>
        <v>3907.64</v>
      </c>
      <c r="Q45" s="78">
        <f t="shared" si="30"/>
        <v>3916.6975547494853</v>
      </c>
      <c r="R45" s="213">
        <f t="shared" si="16"/>
        <v>9.0575547494854618</v>
      </c>
      <c r="S45" s="208"/>
      <c r="T45" s="137">
        <f>'Consolidated Cust Cnt'!B103</f>
        <v>101.95609756097561</v>
      </c>
      <c r="U45" s="137">
        <f t="shared" si="31"/>
        <v>6.2980606546330362</v>
      </c>
      <c r="V45" s="137"/>
      <c r="W45" s="137">
        <f>'Consolidated Cust Cnt'!C103</f>
        <v>44.672045028142598</v>
      </c>
      <c r="X45" s="137">
        <f t="shared" si="25"/>
        <v>2.7594940948527227</v>
      </c>
      <c r="Y45" s="137"/>
      <c r="Z45" s="137">
        <f>U45+X45</f>
        <v>9.0575547494857584</v>
      </c>
      <c r="AA45" s="137"/>
      <c r="AB45" s="137"/>
      <c r="AC45" s="332"/>
    </row>
    <row r="46" spans="1:29" s="66" customFormat="1">
      <c r="A46" s="436"/>
      <c r="B46" s="50">
        <v>28</v>
      </c>
      <c r="C46" s="121" t="s">
        <v>214</v>
      </c>
      <c r="D46" s="152">
        <f>'Consolidated Cust Cnt'!D104</f>
        <v>4</v>
      </c>
      <c r="E46" s="75">
        <f>References!$C$10</f>
        <v>1</v>
      </c>
      <c r="F46" s="74">
        <f t="shared" si="4"/>
        <v>4</v>
      </c>
      <c r="G46" s="74">
        <f>References!$C$29</f>
        <v>250</v>
      </c>
      <c r="H46" s="74">
        <f t="shared" ref="H46" si="32">F46*G46</f>
        <v>1000</v>
      </c>
      <c r="I46" s="49">
        <f t="shared" si="14"/>
        <v>795.8176652671109</v>
      </c>
      <c r="J46" s="73">
        <f>(References!$D$57*I46)</f>
        <v>0.34618068439119709</v>
      </c>
      <c r="K46" s="73">
        <f>J46/References!$H$60</f>
        <v>0.35298445985490029</v>
      </c>
      <c r="L46" s="73">
        <f t="shared" si="27"/>
        <v>8.8246114963725072E-2</v>
      </c>
      <c r="M46" s="73">
        <f>'Proposed Rates'!C69</f>
        <v>36.57</v>
      </c>
      <c r="N46" s="73">
        <f t="shared" ref="N46" si="33">L46+M46</f>
        <v>36.658246114963724</v>
      </c>
      <c r="O46" s="73">
        <f>'Proposed Rates'!E69</f>
        <v>36.660000000000004</v>
      </c>
      <c r="P46" s="73">
        <f t="shared" si="29"/>
        <v>146.28</v>
      </c>
      <c r="Q46" s="78">
        <f t="shared" si="30"/>
        <v>146.6329844598549</v>
      </c>
      <c r="R46" s="213">
        <f t="shared" si="16"/>
        <v>0.35298445985489479</v>
      </c>
      <c r="S46" s="208"/>
      <c r="T46" s="137">
        <f>'Consolidated Cust Cnt'!B104</f>
        <v>4</v>
      </c>
      <c r="U46" s="137">
        <f t="shared" si="31"/>
        <v>0.35298445985490029</v>
      </c>
      <c r="V46" s="137"/>
      <c r="W46" s="137">
        <f>'Consolidated Cust Cnt'!C104</f>
        <v>0</v>
      </c>
      <c r="X46" s="137">
        <f t="shared" si="25"/>
        <v>0</v>
      </c>
      <c r="Y46" s="137"/>
      <c r="Z46" s="137">
        <f>U46+X46</f>
        <v>0.35298445985490029</v>
      </c>
      <c r="AA46" s="137"/>
      <c r="AB46" s="137"/>
      <c r="AC46" s="332"/>
    </row>
    <row r="47" spans="1:29" s="66" customFormat="1">
      <c r="A47" s="436"/>
      <c r="B47" s="50">
        <v>28</v>
      </c>
      <c r="C47" s="121" t="s">
        <v>215</v>
      </c>
      <c r="D47" s="152">
        <f>'Consolidated Cust Cnt'!D105</f>
        <v>312.00771963430412</v>
      </c>
      <c r="E47" s="75">
        <f>References!$C$10</f>
        <v>1</v>
      </c>
      <c r="F47" s="74">
        <f t="shared" si="4"/>
        <v>312.00771963430412</v>
      </c>
      <c r="G47" s="74">
        <f>References!$C$30</f>
        <v>324</v>
      </c>
      <c r="H47" s="74">
        <f t="shared" si="26"/>
        <v>101090.50116151453</v>
      </c>
      <c r="I47" s="49">
        <f t="shared" si="14"/>
        <v>80449.606615038647</v>
      </c>
      <c r="J47" s="73">
        <f>(References!$D$57*I47)</f>
        <v>34.995578877542201</v>
      </c>
      <c r="K47" s="73">
        <f>J47/References!$H$60</f>
        <v>35.683375948958378</v>
      </c>
      <c r="L47" s="73">
        <f t="shared" si="27"/>
        <v>0.11436696499298769</v>
      </c>
      <c r="M47" s="73">
        <f>'Proposed Rates'!C70</f>
        <v>45.58</v>
      </c>
      <c r="N47" s="73">
        <f t="shared" si="28"/>
        <v>45.694366964992987</v>
      </c>
      <c r="O47" s="73">
        <f>'Proposed Rates'!E70</f>
        <v>45.69</v>
      </c>
      <c r="P47" s="73">
        <f t="shared" si="29"/>
        <v>14221.311860931581</v>
      </c>
      <c r="Q47" s="78">
        <f t="shared" si="30"/>
        <v>14256.995236880541</v>
      </c>
      <c r="R47" s="213">
        <f t="shared" si="16"/>
        <v>35.68337594896002</v>
      </c>
      <c r="S47" s="208"/>
      <c r="T47" s="137">
        <f>'Consolidated Cust Cnt'!B105</f>
        <v>240.24221149627033</v>
      </c>
      <c r="U47" s="137">
        <f t="shared" si="31"/>
        <v>27.475772592031895</v>
      </c>
      <c r="V47" s="137"/>
      <c r="W47" s="137">
        <f>'Consolidated Cust Cnt'!C105</f>
        <v>71.765508138033795</v>
      </c>
      <c r="X47" s="137">
        <f t="shared" si="25"/>
        <v>8.2076033569264837</v>
      </c>
      <c r="Y47" s="137"/>
      <c r="Z47" s="137">
        <f t="shared" si="6"/>
        <v>35.683375948958378</v>
      </c>
      <c r="AA47" s="137"/>
      <c r="AB47" s="137"/>
      <c r="AC47" s="332"/>
    </row>
    <row r="48" spans="1:29" s="66" customFormat="1">
      <c r="A48" s="436"/>
      <c r="B48" s="50">
        <v>28</v>
      </c>
      <c r="C48" s="121" t="s">
        <v>216</v>
      </c>
      <c r="D48" s="152">
        <f>'Consolidated Cust Cnt'!D107</f>
        <v>22</v>
      </c>
      <c r="E48" s="75">
        <f>References!$C$10</f>
        <v>1</v>
      </c>
      <c r="F48" s="74">
        <f t="shared" si="4"/>
        <v>22</v>
      </c>
      <c r="G48" s="74">
        <f>References!$C$28</f>
        <v>175</v>
      </c>
      <c r="H48" s="74">
        <f t="shared" si="26"/>
        <v>3850</v>
      </c>
      <c r="I48" s="49">
        <f t="shared" si="14"/>
        <v>3063.8980112783765</v>
      </c>
      <c r="J48" s="73">
        <f>(References!$D$57*I48)</f>
        <v>1.3327956349061085</v>
      </c>
      <c r="K48" s="73">
        <f>J48/References!$H$60</f>
        <v>1.3589901704413658</v>
      </c>
      <c r="L48" s="73">
        <f t="shared" si="27"/>
        <v>6.177228047460754E-2</v>
      </c>
      <c r="M48" s="73">
        <f>'Proposed Rates'!C61</f>
        <v>26.65</v>
      </c>
      <c r="N48" s="73">
        <f t="shared" si="28"/>
        <v>26.711772280474605</v>
      </c>
      <c r="O48" s="73">
        <f>'Proposed Rates'!E61</f>
        <v>26.709999999999997</v>
      </c>
      <c r="P48" s="73">
        <f t="shared" si="29"/>
        <v>586.29999999999995</v>
      </c>
      <c r="Q48" s="78">
        <f t="shared" si="30"/>
        <v>587.65899017044126</v>
      </c>
      <c r="R48" s="213">
        <f t="shared" si="16"/>
        <v>1.3589901704413023</v>
      </c>
      <c r="S48" s="208"/>
      <c r="T48" s="137">
        <f>'Consolidated Cust Cnt'!B107</f>
        <v>15</v>
      </c>
      <c r="U48" s="137">
        <f t="shared" si="31"/>
        <v>0.92658420711911305</v>
      </c>
      <c r="V48" s="137"/>
      <c r="W48" s="137">
        <f>'Consolidated Cust Cnt'!C107</f>
        <v>7.0000000000000009</v>
      </c>
      <c r="X48" s="137">
        <f t="shared" si="25"/>
        <v>0.43240596332225284</v>
      </c>
      <c r="Y48" s="137"/>
      <c r="Z48" s="137">
        <f t="shared" si="6"/>
        <v>1.3589901704413658</v>
      </c>
      <c r="AA48" s="137"/>
      <c r="AB48" s="137"/>
      <c r="AC48" s="332"/>
    </row>
    <row r="49" spans="1:32" s="66" customFormat="1">
      <c r="A49" s="436"/>
      <c r="B49" s="50">
        <v>28</v>
      </c>
      <c r="C49" s="121" t="s">
        <v>217</v>
      </c>
      <c r="D49" s="152">
        <f>'Consolidated Cust Cnt'!D108</f>
        <v>1</v>
      </c>
      <c r="E49" s="75">
        <f>References!$C$10</f>
        <v>1</v>
      </c>
      <c r="F49" s="74">
        <f t="shared" si="4"/>
        <v>1</v>
      </c>
      <c r="G49" s="74">
        <f>References!$C$29</f>
        <v>250</v>
      </c>
      <c r="H49" s="74">
        <f t="shared" si="26"/>
        <v>250</v>
      </c>
      <c r="I49" s="49">
        <f t="shared" si="14"/>
        <v>198.95441631677772</v>
      </c>
      <c r="J49" s="73">
        <f>(References!$D$57*I49)</f>
        <v>8.6545171097799273E-2</v>
      </c>
      <c r="K49" s="73">
        <f>J49/References!$H$60</f>
        <v>8.8246114963725072E-2</v>
      </c>
      <c r="L49" s="73">
        <f t="shared" si="27"/>
        <v>8.8246114963725072E-2</v>
      </c>
      <c r="M49" s="73">
        <f>'Proposed Rates'!C62</f>
        <v>36.57</v>
      </c>
      <c r="N49" s="73">
        <f t="shared" si="28"/>
        <v>36.658246114963724</v>
      </c>
      <c r="O49" s="73">
        <f>'Proposed Rates'!E62</f>
        <v>36.660000000000004</v>
      </c>
      <c r="P49" s="73">
        <f t="shared" si="29"/>
        <v>36.57</v>
      </c>
      <c r="Q49" s="78">
        <f t="shared" si="30"/>
        <v>36.658246114963724</v>
      </c>
      <c r="R49" s="213">
        <f t="shared" si="16"/>
        <v>8.8246114963723699E-2</v>
      </c>
      <c r="S49" s="208"/>
      <c r="T49" s="137">
        <f>'Consolidated Cust Cnt'!B108</f>
        <v>1</v>
      </c>
      <c r="U49" s="137">
        <f t="shared" si="31"/>
        <v>8.8246114963725072E-2</v>
      </c>
      <c r="V49" s="137"/>
      <c r="W49" s="137">
        <f>'Consolidated Cust Cnt'!C108</f>
        <v>0</v>
      </c>
      <c r="X49" s="137">
        <f t="shared" si="25"/>
        <v>0</v>
      </c>
      <c r="Y49" s="137"/>
      <c r="Z49" s="137">
        <f t="shared" si="6"/>
        <v>8.8246114963725072E-2</v>
      </c>
      <c r="AA49" s="137"/>
      <c r="AB49" s="137"/>
      <c r="AC49" s="332"/>
    </row>
    <row r="50" spans="1:32" s="66" customFormat="1">
      <c r="A50" s="436"/>
      <c r="B50" s="50">
        <v>28</v>
      </c>
      <c r="C50" s="121" t="s">
        <v>218</v>
      </c>
      <c r="D50" s="152">
        <f>'Consolidated Cust Cnt'!D109</f>
        <v>28.031154014918826</v>
      </c>
      <c r="E50" s="75">
        <f>References!$C$10</f>
        <v>1</v>
      </c>
      <c r="F50" s="74">
        <f t="shared" si="4"/>
        <v>28.031154014918826</v>
      </c>
      <c r="G50" s="74">
        <f>References!$C$30</f>
        <v>324</v>
      </c>
      <c r="H50" s="74">
        <f t="shared" si="26"/>
        <v>9082.0939008336991</v>
      </c>
      <c r="I50" s="49">
        <f t="shared" si="14"/>
        <v>7227.690763898142</v>
      </c>
      <c r="J50" s="73">
        <f>(References!$D$57*I50)</f>
        <v>3.1440454822957267</v>
      </c>
      <c r="K50" s="73">
        <f>J50/References!$H$60</f>
        <v>3.2058380099372674</v>
      </c>
      <c r="L50" s="73">
        <f t="shared" si="27"/>
        <v>0.11436696499298768</v>
      </c>
      <c r="M50" s="73">
        <f>'Proposed Rates'!C63</f>
        <v>45.58</v>
      </c>
      <c r="N50" s="73">
        <f t="shared" si="28"/>
        <v>45.694366964992987</v>
      </c>
      <c r="O50" s="73">
        <f>'Proposed Rates'!E63</f>
        <v>45.69</v>
      </c>
      <c r="P50" s="73">
        <f t="shared" si="29"/>
        <v>1277.6600000000001</v>
      </c>
      <c r="Q50" s="78">
        <f t="shared" si="30"/>
        <v>1280.8658380099373</v>
      </c>
      <c r="R50" s="213">
        <f t="shared" si="16"/>
        <v>3.2058380099372243</v>
      </c>
      <c r="S50" s="208"/>
      <c r="T50" s="137">
        <f>'Consolidated Cust Cnt'!B109</f>
        <v>13</v>
      </c>
      <c r="U50" s="137">
        <f t="shared" si="31"/>
        <v>1.4867705449088398</v>
      </c>
      <c r="V50" s="137"/>
      <c r="W50" s="137">
        <f>'Consolidated Cust Cnt'!C109</f>
        <v>15.031154014918826</v>
      </c>
      <c r="X50" s="137">
        <f t="shared" si="25"/>
        <v>1.7190674650284277</v>
      </c>
      <c r="Y50" s="137"/>
      <c r="Z50" s="137">
        <f t="shared" si="6"/>
        <v>3.2058380099372674</v>
      </c>
      <c r="AA50" s="137"/>
      <c r="AB50" s="137"/>
      <c r="AC50" s="137"/>
      <c r="AE50" s="335"/>
      <c r="AF50" s="335"/>
    </row>
    <row r="51" spans="1:32" s="66" customFormat="1">
      <c r="A51" s="436"/>
      <c r="B51" s="50">
        <v>28</v>
      </c>
      <c r="C51" s="121" t="s">
        <v>219</v>
      </c>
      <c r="D51" s="152">
        <f>'Consolidated Cust Cnt'!D110</f>
        <v>4</v>
      </c>
      <c r="E51" s="75">
        <f>References!$C$10</f>
        <v>1</v>
      </c>
      <c r="F51" s="74">
        <f t="shared" si="4"/>
        <v>4</v>
      </c>
      <c r="G51" s="74">
        <f>References!$C$32</f>
        <v>613</v>
      </c>
      <c r="H51" s="74">
        <f t="shared" ref="H51" si="34">F51*G51</f>
        <v>2452</v>
      </c>
      <c r="I51" s="49">
        <f t="shared" si="14"/>
        <v>1951.3449152349558</v>
      </c>
      <c r="J51" s="73">
        <f>(References!$D$57*I51)</f>
        <v>0.84883503812721517</v>
      </c>
      <c r="K51" s="73">
        <f>J51/References!$H$60</f>
        <v>0.86551789556421543</v>
      </c>
      <c r="L51" s="73">
        <f t="shared" si="27"/>
        <v>0.21637947389105386</v>
      </c>
      <c r="M51" s="73">
        <f>'Proposed Rates'!C64</f>
        <v>84.89</v>
      </c>
      <c r="N51" s="73">
        <f t="shared" ref="N51" si="35">L51+M51</f>
        <v>85.106379473891053</v>
      </c>
      <c r="O51" s="73">
        <f>'Proposed Rates'!E64</f>
        <v>85.11</v>
      </c>
      <c r="P51" s="73">
        <f t="shared" si="29"/>
        <v>339.56</v>
      </c>
      <c r="Q51" s="78">
        <f t="shared" si="30"/>
        <v>340.42551789556421</v>
      </c>
      <c r="R51" s="213">
        <f t="shared" si="16"/>
        <v>0.86551789556420999</v>
      </c>
      <c r="S51" s="208"/>
      <c r="T51" s="137">
        <f>'Consolidated Cust Cnt'!B110</f>
        <v>4</v>
      </c>
      <c r="U51" s="137">
        <f t="shared" si="31"/>
        <v>0.86551789556421543</v>
      </c>
      <c r="V51" s="137"/>
      <c r="W51" s="137">
        <f>'Consolidated Cust Cnt'!C110</f>
        <v>0</v>
      </c>
      <c r="X51" s="137">
        <f t="shared" si="25"/>
        <v>0</v>
      </c>
      <c r="Y51" s="137"/>
      <c r="Z51" s="137">
        <f t="shared" ref="Z51" si="36">U51+X51</f>
        <v>0.86551789556421543</v>
      </c>
      <c r="AA51" s="137"/>
      <c r="AB51" s="137"/>
      <c r="AC51" s="137"/>
      <c r="AE51" s="335"/>
      <c r="AF51" s="335"/>
    </row>
    <row r="52" spans="1:32" s="66" customFormat="1">
      <c r="A52" s="436"/>
      <c r="B52" s="50">
        <v>28</v>
      </c>
      <c r="C52" s="121" t="s">
        <v>220</v>
      </c>
      <c r="D52" s="152">
        <f>'Consolidated Cust Cnt'!D111</f>
        <v>5.0000000000000009</v>
      </c>
      <c r="E52" s="75">
        <f>References!$C$10</f>
        <v>1</v>
      </c>
      <c r="F52" s="74">
        <f t="shared" si="4"/>
        <v>5.0000000000000009</v>
      </c>
      <c r="G52" s="74">
        <f>References!$C$33</f>
        <v>840</v>
      </c>
      <c r="H52" s="74">
        <f t="shared" si="26"/>
        <v>4200.0000000000009</v>
      </c>
      <c r="I52" s="49">
        <f t="shared" si="14"/>
        <v>3342.4341941218663</v>
      </c>
      <c r="J52" s="73">
        <f>(References!$D$57*I52)</f>
        <v>1.4539588744430281</v>
      </c>
      <c r="K52" s="73">
        <f>J52/References!$H$60</f>
        <v>1.4825347313905817</v>
      </c>
      <c r="L52" s="73">
        <f t="shared" si="27"/>
        <v>0.2965069462781163</v>
      </c>
      <c r="M52" s="73">
        <f>'Proposed Rates'!C65</f>
        <v>118.69</v>
      </c>
      <c r="N52" s="73">
        <f t="shared" si="28"/>
        <v>118.98650694627811</v>
      </c>
      <c r="O52" s="73">
        <f>'Proposed Rates'!E65</f>
        <v>118.99</v>
      </c>
      <c r="P52" s="73">
        <f t="shared" si="29"/>
        <v>593.45000000000005</v>
      </c>
      <c r="Q52" s="78">
        <f t="shared" si="30"/>
        <v>594.93253473139066</v>
      </c>
      <c r="R52" s="213">
        <f t="shared" si="16"/>
        <v>1.482534731390615</v>
      </c>
      <c r="S52" s="208"/>
      <c r="T52" s="137">
        <f>'Consolidated Cust Cnt'!B111</f>
        <v>5.0000000000000009</v>
      </c>
      <c r="U52" s="137">
        <f t="shared" si="31"/>
        <v>1.4825347313905817</v>
      </c>
      <c r="V52" s="137"/>
      <c r="W52" s="137">
        <f>'Consolidated Cust Cnt'!C111</f>
        <v>0</v>
      </c>
      <c r="X52" s="137">
        <f t="shared" si="25"/>
        <v>0</v>
      </c>
      <c r="Y52" s="137"/>
      <c r="Z52" s="137">
        <f t="shared" si="6"/>
        <v>1.4825347313905817</v>
      </c>
      <c r="AA52" s="137"/>
      <c r="AB52" s="137"/>
      <c r="AC52" s="137"/>
      <c r="AE52" s="335"/>
    </row>
    <row r="53" spans="1:32" s="66" customFormat="1">
      <c r="A53" s="53"/>
      <c r="B53" s="92"/>
      <c r="C53" s="55" t="s">
        <v>17</v>
      </c>
      <c r="D53" s="56">
        <f>SUM(D20:D52)</f>
        <v>81440.773724564744</v>
      </c>
      <c r="E53" s="57"/>
      <c r="F53" s="93">
        <f>SUM(F20:F52)</f>
        <v>132036.1003342875</v>
      </c>
      <c r="G53" s="59"/>
      <c r="H53" s="93">
        <f>SUM(H20:H52)</f>
        <v>14071839.921264471</v>
      </c>
      <c r="I53" s="60">
        <f>SUM(I20:I52)</f>
        <v>11198618.792153221</v>
      </c>
      <c r="J53" s="82"/>
      <c r="K53" s="82"/>
      <c r="L53" s="82"/>
      <c r="M53" s="82"/>
      <c r="N53" s="82"/>
      <c r="O53" s="82"/>
      <c r="P53" s="81">
        <f>SUM(P20:P52)</f>
        <v>1966536.0056388166</v>
      </c>
      <c r="Q53" s="81">
        <f>SUM(Q20:Q52)</f>
        <v>1971503.1464525885</v>
      </c>
      <c r="R53" s="215">
        <f>SUM(R20:R52)</f>
        <v>4967.1408137722156</v>
      </c>
      <c r="S53" s="208"/>
      <c r="T53" s="137"/>
      <c r="U53" s="139">
        <f>SUM(U20:U52)</f>
        <v>3788.2611240820925</v>
      </c>
      <c r="V53" s="139"/>
      <c r="W53" s="139"/>
      <c r="X53" s="139">
        <f>SUM(X20:X52)</f>
        <v>1178.8796896900692</v>
      </c>
      <c r="Y53" s="139"/>
      <c r="Z53" s="139">
        <f>SUM(Z20:Z52)</f>
        <v>4967.1408137721619</v>
      </c>
      <c r="AA53" s="139"/>
      <c r="AB53" s="137"/>
      <c r="AC53" s="332"/>
    </row>
    <row r="54" spans="1:32" s="66" customFormat="1">
      <c r="A54" s="436" t="s">
        <v>15</v>
      </c>
      <c r="B54" s="50">
        <v>40</v>
      </c>
      <c r="C54" s="121" t="s">
        <v>221</v>
      </c>
      <c r="D54" s="152">
        <f>'Consolidated Cust Cnt'!D116</f>
        <v>5940.6654014789601</v>
      </c>
      <c r="E54" s="75">
        <f>References!$C$10</f>
        <v>1</v>
      </c>
      <c r="F54" s="74">
        <f t="shared" si="4"/>
        <v>5940.6654014789601</v>
      </c>
      <c r="G54" s="74">
        <f>References!C26</f>
        <v>29</v>
      </c>
      <c r="H54" s="74">
        <f>F54*G54</f>
        <v>172279.29664288985</v>
      </c>
      <c r="I54" s="49">
        <f t="shared" ref="I54:I85" si="37">$D$137*H54</f>
        <v>137102.90762820462</v>
      </c>
      <c r="J54" s="73">
        <f>(References!$D$57*I54)</f>
        <v>59.639764818269668</v>
      </c>
      <c r="K54" s="73">
        <f>J54/References!$H$60</f>
        <v>60.811914469672608</v>
      </c>
      <c r="L54" s="73">
        <f t="shared" si="27"/>
        <v>1.0236549335792109E-2</v>
      </c>
      <c r="M54" s="73">
        <f>'Proposed Rates'!C116</f>
        <v>4.13</v>
      </c>
      <c r="N54" s="73">
        <f>ROUND(L54+M54,2)</f>
        <v>4.1399999999999997</v>
      </c>
      <c r="O54" s="73">
        <f>'Proposed Rates'!E116</f>
        <v>4.1399999999999997</v>
      </c>
      <c r="P54" s="73">
        <f>F54*M54</f>
        <v>24534.948108108103</v>
      </c>
      <c r="Q54" s="78">
        <f t="shared" si="30"/>
        <v>24594.354762122894</v>
      </c>
      <c r="R54" s="213">
        <f t="shared" ref="R54:R85" si="38">Q54-P54</f>
        <v>59.406654014790547</v>
      </c>
      <c r="S54" s="208"/>
      <c r="T54" s="137">
        <f>'Consolidated Cust Cnt'!B116</f>
        <v>4373.3961604131091</v>
      </c>
      <c r="U54" s="137">
        <f>T54*L54</f>
        <v>44.76848556103257</v>
      </c>
      <c r="V54" s="137"/>
      <c r="W54" s="137">
        <f>'Consolidated Cust Cnt'!C116</f>
        <v>1567.2692410658515</v>
      </c>
      <c r="X54" s="137">
        <f>W54*L54</f>
        <v>16.043428908640045</v>
      </c>
      <c r="Y54" s="137"/>
      <c r="Z54" s="137">
        <f t="shared" si="6"/>
        <v>60.811914469672615</v>
      </c>
      <c r="AA54" s="137"/>
      <c r="AB54" s="137"/>
      <c r="AC54" s="332"/>
    </row>
    <row r="55" spans="1:32" s="66" customFormat="1">
      <c r="A55" s="436"/>
      <c r="B55" s="50">
        <v>32</v>
      </c>
      <c r="C55" s="121" t="s">
        <v>222</v>
      </c>
      <c r="D55" s="152">
        <f>'Consolidated Cust Cnt'!D118</f>
        <v>1923.1462872387729</v>
      </c>
      <c r="E55" s="75">
        <f>References!$C$10</f>
        <v>1</v>
      </c>
      <c r="F55" s="74">
        <f t="shared" si="4"/>
        <v>1923.1462872387729</v>
      </c>
      <c r="G55" s="74">
        <f>References!C27</f>
        <v>125</v>
      </c>
      <c r="H55" s="74">
        <f t="shared" ref="H55:H71" si="39">F55*G55</f>
        <v>240393.28590484662</v>
      </c>
      <c r="I55" s="49">
        <f t="shared" si="37"/>
        <v>191309.2235346841</v>
      </c>
      <c r="J55" s="73">
        <f>(References!$D$57*I55)</f>
        <v>83.219512237588503</v>
      </c>
      <c r="K55" s="73">
        <f>J55/References!$H$60</f>
        <v>84.855094177866889</v>
      </c>
      <c r="L55" s="73">
        <f t="shared" si="27"/>
        <v>4.4123057481862536E-2</v>
      </c>
      <c r="M55" s="73">
        <f>'Proposed Rates'!C79</f>
        <v>22.49</v>
      </c>
      <c r="N55" s="73">
        <f t="shared" si="8"/>
        <v>22.53412305748186</v>
      </c>
      <c r="O55" s="73">
        <f>'Proposed Rates'!E80</f>
        <v>22.529999999999998</v>
      </c>
      <c r="P55" s="73">
        <f t="shared" ref="P55:P101" si="40">F55*M55</f>
        <v>43251.56</v>
      </c>
      <c r="Q55" s="78">
        <f t="shared" si="30"/>
        <v>43336.415094177864</v>
      </c>
      <c r="R55" s="213">
        <f t="shared" si="38"/>
        <v>84.855094177866704</v>
      </c>
      <c r="S55" s="208"/>
      <c r="T55" s="137">
        <f>'Consolidated Cust Cnt'!B118</f>
        <v>1292.6460649177413</v>
      </c>
      <c r="U55" s="137">
        <f>T55*L55</f>
        <v>57.035496626068912</v>
      </c>
      <c r="V55" s="137"/>
      <c r="W55" s="137">
        <f>'Consolidated Cust Cnt'!C118</f>
        <v>630.50022232103163</v>
      </c>
      <c r="X55" s="137">
        <f>W55*L55</f>
        <v>27.819597551797987</v>
      </c>
      <c r="Y55" s="137"/>
      <c r="Z55" s="137">
        <f t="shared" si="6"/>
        <v>84.855094177866903</v>
      </c>
      <c r="AA55" s="137"/>
      <c r="AB55" s="137"/>
      <c r="AC55" s="332"/>
    </row>
    <row r="56" spans="1:32" s="66" customFormat="1">
      <c r="A56" s="436"/>
      <c r="B56" s="50">
        <v>40</v>
      </c>
      <c r="C56" s="118" t="s">
        <v>707</v>
      </c>
      <c r="D56" s="117">
        <f>'Consolidated Cust Cnt'!D131</f>
        <v>1514.4773874801747</v>
      </c>
      <c r="E56" s="75">
        <f>References!$C$7</f>
        <v>4.333333333333333</v>
      </c>
      <c r="F56" s="74">
        <f t="shared" si="4"/>
        <v>6562.7353457474228</v>
      </c>
      <c r="G56" s="74">
        <f>References!$C$26</f>
        <v>29</v>
      </c>
      <c r="H56" s="74">
        <f t="shared" si="39"/>
        <v>190319.32502667527</v>
      </c>
      <c r="I56" s="49">
        <f t="shared" si="37"/>
        <v>151459.48089794113</v>
      </c>
      <c r="J56" s="73">
        <f>(References!$D$57*I56)</f>
        <v>65.884874190605117</v>
      </c>
      <c r="K56" s="73">
        <f>J56/References!$H$60</f>
        <v>67.179764144490164</v>
      </c>
      <c r="L56" s="73">
        <f>K56/F56*E56</f>
        <v>4.4358380455099128E-2</v>
      </c>
      <c r="M56" s="73">
        <f>'Proposed Rates'!C115</f>
        <v>17.47</v>
      </c>
      <c r="N56" s="73">
        <f t="shared" si="8"/>
        <v>17.514358380455096</v>
      </c>
      <c r="O56" s="73">
        <f>'Proposed Rates'!$E$115</f>
        <v>17.509999999999998</v>
      </c>
      <c r="P56" s="73">
        <f t="shared" ref="P56" si="41">D56*M56</f>
        <v>26457.91995927865</v>
      </c>
      <c r="Q56" s="78">
        <f>D56*N56</f>
        <v>26525.099723423136</v>
      </c>
      <c r="R56" s="213">
        <f t="shared" si="38"/>
        <v>67.179764144486398</v>
      </c>
      <c r="S56" s="208"/>
      <c r="T56" s="137">
        <f>'Consolidated Cust Cnt'!B131</f>
        <v>848.97596111742132</v>
      </c>
      <c r="U56" s="137">
        <f t="shared" ref="U56" si="42">T56*L56</f>
        <v>37.659198680480017</v>
      </c>
      <c r="V56" s="137"/>
      <c r="W56" s="137">
        <f>'Consolidated Cust Cnt'!C131</f>
        <v>665.50142636275336</v>
      </c>
      <c r="X56" s="137">
        <f>W56*L56</f>
        <v>29.520565464010151</v>
      </c>
      <c r="Y56" s="137"/>
      <c r="Z56" s="137">
        <f t="shared" si="6"/>
        <v>67.179764144490164</v>
      </c>
      <c r="AA56" s="137"/>
      <c r="AB56" s="137"/>
      <c r="AC56" s="332"/>
    </row>
    <row r="57" spans="1:32" s="66" customFormat="1">
      <c r="A57" s="436"/>
      <c r="B57" s="50" t="s">
        <v>259</v>
      </c>
      <c r="C57" s="121" t="s">
        <v>223</v>
      </c>
      <c r="D57" s="120">
        <f>'Consolidated Cust Cnt'!D132</f>
        <v>605.47460590575338</v>
      </c>
      <c r="E57" s="75">
        <f>References!$C$6</f>
        <v>8.6666666666666661</v>
      </c>
      <c r="F57" s="74">
        <f t="shared" si="4"/>
        <v>5247.4465845165287</v>
      </c>
      <c r="G57" s="74">
        <f>References!$C$26</f>
        <v>29</v>
      </c>
      <c r="H57" s="74">
        <f t="shared" ref="H57:H59" si="43">F57*G57</f>
        <v>152175.95095097934</v>
      </c>
      <c r="I57" s="49">
        <f t="shared" si="37"/>
        <v>121104.30999561076</v>
      </c>
      <c r="J57" s="73">
        <f>(References!$D$57*I57)</f>
        <v>52.680374848091269</v>
      </c>
      <c r="K57" s="73">
        <f>J57/References!$H$60</f>
        <v>53.715745849337246</v>
      </c>
      <c r="L57" s="73">
        <f t="shared" si="27"/>
        <v>1.023654933579211E-2</v>
      </c>
      <c r="M57" s="98">
        <f>'Proposed Rates'!C112</f>
        <v>3.91</v>
      </c>
      <c r="N57" s="73">
        <f t="shared" ref="N57:N59" si="44">L57+M57</f>
        <v>3.9202365493357925</v>
      </c>
      <c r="O57" s="73">
        <f>'Proposed Rates'!$E$112</f>
        <v>3.92</v>
      </c>
      <c r="P57" s="73">
        <f t="shared" ref="P57:P59" si="45">F57*M57</f>
        <v>20517.516145459627</v>
      </c>
      <c r="Q57" s="78">
        <f t="shared" si="30"/>
        <v>20571.231891308966</v>
      </c>
      <c r="R57" s="213">
        <f t="shared" si="38"/>
        <v>53.715745849338418</v>
      </c>
      <c r="S57" s="208"/>
      <c r="T57" s="137">
        <f>'Consolidated Cust Cnt'!B132</f>
        <v>331.23951795583002</v>
      </c>
      <c r="U57" s="137">
        <f t="shared" ref="U57:U84" si="46">L57*T57*E57</f>
        <v>29.386497118496706</v>
      </c>
      <c r="V57" s="137"/>
      <c r="W57" s="137">
        <f>'Consolidated Cust Cnt'!C132</f>
        <v>274.23508794992335</v>
      </c>
      <c r="X57" s="137">
        <f t="shared" ref="X57:X102" si="47">W57*L57*E57</f>
        <v>24.329248730840547</v>
      </c>
      <c r="Y57" s="137"/>
      <c r="Z57" s="137">
        <f t="shared" si="6"/>
        <v>53.715745849337253</v>
      </c>
      <c r="AA57" s="137"/>
      <c r="AB57" s="137"/>
      <c r="AC57" s="332"/>
    </row>
    <row r="58" spans="1:32" s="66" customFormat="1">
      <c r="A58" s="436"/>
      <c r="B58" s="50" t="s">
        <v>259</v>
      </c>
      <c r="C58" s="121" t="s">
        <v>224</v>
      </c>
      <c r="D58" s="120">
        <f>'Consolidated Cust Cnt'!D133</f>
        <v>105.25004922228786</v>
      </c>
      <c r="E58" s="75">
        <f>References!$C$5</f>
        <v>13</v>
      </c>
      <c r="F58" s="74">
        <f t="shared" si="4"/>
        <v>1368.2506398897422</v>
      </c>
      <c r="G58" s="74">
        <f>References!$C$26</f>
        <v>29</v>
      </c>
      <c r="H58" s="74">
        <f t="shared" si="43"/>
        <v>39679.268556802519</v>
      </c>
      <c r="I58" s="49">
        <f t="shared" si="37"/>
        <v>31577.462862381264</v>
      </c>
      <c r="J58" s="73">
        <f>(References!$D$57*I58)</f>
        <v>13.736196345136003</v>
      </c>
      <c r="K58" s="73">
        <f>J58/References!$H$60</f>
        <v>14.006165178960467</v>
      </c>
      <c r="L58" s="73">
        <f t="shared" si="27"/>
        <v>1.0236549335792109E-2</v>
      </c>
      <c r="M58" s="98">
        <f>'Proposed Rates'!C112</f>
        <v>3.91</v>
      </c>
      <c r="N58" s="73">
        <f t="shared" si="44"/>
        <v>3.9202365493357925</v>
      </c>
      <c r="O58" s="73">
        <f>'Proposed Rates'!$E$112</f>
        <v>3.92</v>
      </c>
      <c r="P58" s="73">
        <f t="shared" si="45"/>
        <v>5349.860001968892</v>
      </c>
      <c r="Q58" s="78">
        <f t="shared" si="30"/>
        <v>5363.866167147853</v>
      </c>
      <c r="R58" s="213">
        <f t="shared" si="38"/>
        <v>14.006165178961055</v>
      </c>
      <c r="S58" s="208"/>
      <c r="T58" s="137">
        <f>'Consolidated Cust Cnt'!B133</f>
        <v>57</v>
      </c>
      <c r="U58" s="137">
        <f t="shared" si="46"/>
        <v>7.5852830578219521</v>
      </c>
      <c r="V58" s="137"/>
      <c r="W58" s="137">
        <f>'Consolidated Cust Cnt'!C133</f>
        <v>48.250049222287856</v>
      </c>
      <c r="X58" s="137">
        <f t="shared" si="47"/>
        <v>6.420882121138515</v>
      </c>
      <c r="Y58" s="137"/>
      <c r="Z58" s="137">
        <f t="shared" si="6"/>
        <v>14.006165178960467</v>
      </c>
      <c r="AA58" s="137"/>
      <c r="AB58" s="137"/>
      <c r="AC58" s="332"/>
    </row>
    <row r="59" spans="1:32" s="66" customFormat="1">
      <c r="A59" s="436"/>
      <c r="B59" s="50" t="s">
        <v>259</v>
      </c>
      <c r="C59" s="121" t="s">
        <v>225</v>
      </c>
      <c r="D59" s="120">
        <f>'Consolidated Cust Cnt'!D134</f>
        <v>12.000000000000002</v>
      </c>
      <c r="E59" s="75">
        <f>References!C$4</f>
        <v>17.333333333333332</v>
      </c>
      <c r="F59" s="74">
        <f t="shared" si="4"/>
        <v>208.00000000000003</v>
      </c>
      <c r="G59" s="74">
        <v>29</v>
      </c>
      <c r="H59" s="74">
        <f t="shared" si="43"/>
        <v>6032.0000000000009</v>
      </c>
      <c r="I59" s="49">
        <f t="shared" si="37"/>
        <v>4800.3721568912133</v>
      </c>
      <c r="J59" s="73">
        <f>(References!$D$57*I59)</f>
        <v>2.0881618882477011</v>
      </c>
      <c r="K59" s="73">
        <f>J59/References!$H$60</f>
        <v>2.129202261844759</v>
      </c>
      <c r="L59" s="73">
        <f t="shared" si="27"/>
        <v>1.0236549335792109E-2</v>
      </c>
      <c r="M59" s="98">
        <f>'Proposed Rates'!C112</f>
        <v>3.91</v>
      </c>
      <c r="N59" s="73">
        <f t="shared" si="44"/>
        <v>3.9202365493357925</v>
      </c>
      <c r="O59" s="73">
        <f>'Proposed Rates'!$E$112</f>
        <v>3.92</v>
      </c>
      <c r="P59" s="73">
        <f t="shared" si="45"/>
        <v>813.28000000000009</v>
      </c>
      <c r="Q59" s="78">
        <f t="shared" si="30"/>
        <v>815.40920226184494</v>
      </c>
      <c r="R59" s="213">
        <f t="shared" si="38"/>
        <v>2.1292022618448527</v>
      </c>
      <c r="S59" s="208"/>
      <c r="T59" s="137">
        <f>'Consolidated Cust Cnt'!B134</f>
        <v>0</v>
      </c>
      <c r="U59" s="137">
        <f t="shared" si="46"/>
        <v>0</v>
      </c>
      <c r="V59" s="137"/>
      <c r="W59" s="137">
        <f>'Consolidated Cust Cnt'!C134</f>
        <v>12.000000000000002</v>
      </c>
      <c r="X59" s="137">
        <f t="shared" si="47"/>
        <v>2.129202261844759</v>
      </c>
      <c r="Y59" s="137"/>
      <c r="Z59" s="137">
        <f t="shared" si="6"/>
        <v>2.129202261844759</v>
      </c>
      <c r="AA59" s="137"/>
      <c r="AB59" s="137"/>
      <c r="AC59" s="332"/>
    </row>
    <row r="60" spans="1:32" s="66" customFormat="1">
      <c r="A60" s="436"/>
      <c r="B60" s="50">
        <v>39</v>
      </c>
      <c r="C60" s="121" t="s">
        <v>93</v>
      </c>
      <c r="D60" s="152">
        <f>'Consolidated Cust Cnt'!D139</f>
        <v>136.49997152943854</v>
      </c>
      <c r="E60" s="75">
        <f>References!$C$7</f>
        <v>4.333333333333333</v>
      </c>
      <c r="F60" s="74">
        <f t="shared" si="4"/>
        <v>591.49987662756701</v>
      </c>
      <c r="G60" s="74">
        <f>References!C28</f>
        <v>175</v>
      </c>
      <c r="H60" s="74">
        <f t="shared" si="39"/>
        <v>103512.47840982422</v>
      </c>
      <c r="I60" s="49">
        <f t="shared" si="37"/>
        <v>82377.058894118527</v>
      </c>
      <c r="J60" s="73">
        <f>(References!$D$57*I60)</f>
        <v>35.834020618941956</v>
      </c>
      <c r="K60" s="73">
        <f>J60/References!$H$60</f>
        <v>36.538296279733828</v>
      </c>
      <c r="L60" s="73">
        <f t="shared" si="27"/>
        <v>6.1772280474607547E-2</v>
      </c>
      <c r="M60" s="73">
        <f>'Proposed Rates'!C91</f>
        <v>20.28</v>
      </c>
      <c r="N60" s="73">
        <f t="shared" si="8"/>
        <v>20.341772280474608</v>
      </c>
      <c r="O60" s="73">
        <f>'Proposed Rates'!E91</f>
        <v>20.34</v>
      </c>
      <c r="P60" s="73">
        <f t="shared" si="40"/>
        <v>11995.617498007059</v>
      </c>
      <c r="Q60" s="78">
        <f t="shared" si="30"/>
        <v>12032.155794286793</v>
      </c>
      <c r="R60" s="213">
        <f t="shared" si="38"/>
        <v>36.538296279733913</v>
      </c>
      <c r="S60" s="208"/>
      <c r="T60" s="137">
        <f>'Consolidated Cust Cnt'!B139</f>
        <v>100.49997152943854</v>
      </c>
      <c r="U60" s="137">
        <f t="shared" si="46"/>
        <v>26.901820525695051</v>
      </c>
      <c r="V60" s="137"/>
      <c r="W60" s="137">
        <f>'Consolidated Cust Cnt'!C139</f>
        <v>36</v>
      </c>
      <c r="X60" s="137">
        <f t="shared" si="47"/>
        <v>9.6364757540387771</v>
      </c>
      <c r="Y60" s="137"/>
      <c r="Z60" s="137">
        <f t="shared" si="6"/>
        <v>36.538296279733828</v>
      </c>
      <c r="AA60" s="137"/>
      <c r="AB60" s="137"/>
      <c r="AC60" s="332"/>
    </row>
    <row r="61" spans="1:32" s="66" customFormat="1">
      <c r="A61" s="436"/>
      <c r="B61" s="50">
        <v>39</v>
      </c>
      <c r="C61" s="121" t="s">
        <v>94</v>
      </c>
      <c r="D61" s="152">
        <f>'Consolidated Cust Cnt'!D140</f>
        <v>37.242659188386668</v>
      </c>
      <c r="E61" s="75">
        <f>References!$C$7</f>
        <v>4.333333333333333</v>
      </c>
      <c r="F61" s="74">
        <f t="shared" si="4"/>
        <v>161.38485648300889</v>
      </c>
      <c r="G61" s="74">
        <f>References!C29</f>
        <v>250</v>
      </c>
      <c r="H61" s="74">
        <f t="shared" si="39"/>
        <v>40346.214120752222</v>
      </c>
      <c r="I61" s="49">
        <f t="shared" si="37"/>
        <v>32108.229923943971</v>
      </c>
      <c r="J61" s="73">
        <f>(References!$D$57*I61)</f>
        <v>13.967080016915782</v>
      </c>
      <c r="K61" s="73">
        <f>J61/References!$H$60</f>
        <v>14.241586598603872</v>
      </c>
      <c r="L61" s="73">
        <f t="shared" si="27"/>
        <v>8.8246114963725059E-2</v>
      </c>
      <c r="M61" s="73">
        <f>'Proposed Rates'!C92</f>
        <v>28</v>
      </c>
      <c r="N61" s="73">
        <f t="shared" si="8"/>
        <v>28.088246114963724</v>
      </c>
      <c r="O61" s="73">
        <f>'Proposed Rates'!E92</f>
        <v>28.09</v>
      </c>
      <c r="P61" s="73">
        <f t="shared" si="40"/>
        <v>4518.7759815242489</v>
      </c>
      <c r="Q61" s="78">
        <f t="shared" si="30"/>
        <v>4533.0175681228529</v>
      </c>
      <c r="R61" s="213">
        <f t="shared" si="38"/>
        <v>14.241586598604044</v>
      </c>
      <c r="S61" s="208"/>
      <c r="T61" s="137">
        <f>'Consolidated Cust Cnt'!B140</f>
        <v>25.242659188386668</v>
      </c>
      <c r="U61" s="137">
        <f t="shared" si="46"/>
        <v>9.6527886204901687</v>
      </c>
      <c r="V61" s="137"/>
      <c r="W61" s="137">
        <f>'Consolidated Cust Cnt'!C140</f>
        <v>12</v>
      </c>
      <c r="X61" s="137">
        <f t="shared" si="47"/>
        <v>4.5887979781137034</v>
      </c>
      <c r="Y61" s="137"/>
      <c r="Z61" s="137">
        <f t="shared" si="6"/>
        <v>14.241586598603872</v>
      </c>
      <c r="AA61" s="137"/>
      <c r="AB61" s="137"/>
      <c r="AC61" s="332"/>
    </row>
    <row r="62" spans="1:32" s="66" customFormat="1">
      <c r="A62" s="436"/>
      <c r="B62" s="50">
        <v>39</v>
      </c>
      <c r="C62" s="121" t="s">
        <v>95</v>
      </c>
      <c r="D62" s="152">
        <f>'Consolidated Cust Cnt'!D142</f>
        <v>507.41441420699459</v>
      </c>
      <c r="E62" s="75">
        <f>References!$C$7</f>
        <v>4.333333333333333</v>
      </c>
      <c r="F62" s="74">
        <f t="shared" si="4"/>
        <v>2198.7957948969765</v>
      </c>
      <c r="G62" s="74">
        <f>References!$C$30</f>
        <v>324</v>
      </c>
      <c r="H62" s="74">
        <f t="shared" si="39"/>
        <v>712409.8375466204</v>
      </c>
      <c r="I62" s="49">
        <f t="shared" si="37"/>
        <v>566948.33362967311</v>
      </c>
      <c r="J62" s="73">
        <f>(References!$D$57*I62)</f>
        <v>246.62252512891055</v>
      </c>
      <c r="K62" s="73">
        <f>J62/References!$H$60</f>
        <v>251.46960170171104</v>
      </c>
      <c r="L62" s="73">
        <f t="shared" si="27"/>
        <v>0.11436696499298768</v>
      </c>
      <c r="M62" s="73">
        <f>'Proposed Rates'!C93</f>
        <v>34.85</v>
      </c>
      <c r="N62" s="73">
        <f t="shared" si="8"/>
        <v>34.96436696499299</v>
      </c>
      <c r="O62" s="73">
        <f>'Proposed Rates'!$E$93</f>
        <v>34.96</v>
      </c>
      <c r="P62" s="73">
        <f t="shared" si="40"/>
        <v>76628.033452159638</v>
      </c>
      <c r="Q62" s="78">
        <f t="shared" si="30"/>
        <v>76879.50305386135</v>
      </c>
      <c r="R62" s="213">
        <f t="shared" si="38"/>
        <v>251.46960170171224</v>
      </c>
      <c r="S62" s="208"/>
      <c r="T62" s="137">
        <f>'Consolidated Cust Cnt'!B142</f>
        <v>398.91441420699459</v>
      </c>
      <c r="U62" s="137">
        <f t="shared" si="46"/>
        <v>197.69806699417464</v>
      </c>
      <c r="V62" s="137"/>
      <c r="W62" s="137">
        <f>'Consolidated Cust Cnt'!C142</f>
        <v>108.5</v>
      </c>
      <c r="X62" s="137">
        <f t="shared" si="47"/>
        <v>53.771534707536368</v>
      </c>
      <c r="Y62" s="137"/>
      <c r="Z62" s="137">
        <f t="shared" si="6"/>
        <v>251.46960170171101</v>
      </c>
      <c r="AA62" s="137"/>
      <c r="AB62" s="137"/>
      <c r="AC62" s="332"/>
    </row>
    <row r="63" spans="1:32" s="66" customFormat="1">
      <c r="A63" s="436"/>
      <c r="B63" s="50" t="s">
        <v>259</v>
      </c>
      <c r="C63" s="121" t="s">
        <v>96</v>
      </c>
      <c r="D63" s="152">
        <f>'Consolidated Cust Cnt'!D143</f>
        <v>40.375033479152137</v>
      </c>
      <c r="E63" s="75">
        <f>References!$C$6</f>
        <v>8.6666666666666661</v>
      </c>
      <c r="F63" s="74">
        <f t="shared" si="4"/>
        <v>349.9169568193185</v>
      </c>
      <c r="G63" s="74">
        <f>References!$C$30</f>
        <v>324</v>
      </c>
      <c r="H63" s="74">
        <f t="shared" si="39"/>
        <v>113373.09400945919</v>
      </c>
      <c r="I63" s="49">
        <f t="shared" si="37"/>
        <v>90224.310978716487</v>
      </c>
      <c r="J63" s="73">
        <f>(References!$D$57*I63)</f>
        <v>39.247575275742108</v>
      </c>
      <c r="K63" s="73">
        <f>J63/References!$H$60</f>
        <v>40.018940351007785</v>
      </c>
      <c r="L63" s="73">
        <f t="shared" si="27"/>
        <v>0.11436696499298769</v>
      </c>
      <c r="M63" s="73">
        <f>M62</f>
        <v>34.85</v>
      </c>
      <c r="N63" s="73">
        <f t="shared" si="8"/>
        <v>34.96436696499299</v>
      </c>
      <c r="O63" s="73">
        <f>'Proposed Rates'!$E$93</f>
        <v>34.96</v>
      </c>
      <c r="P63" s="73">
        <f t="shared" si="40"/>
        <v>12194.605945153251</v>
      </c>
      <c r="Q63" s="78">
        <f t="shared" si="30"/>
        <v>12234.624885504258</v>
      </c>
      <c r="R63" s="213">
        <f t="shared" si="38"/>
        <v>40.018940351006677</v>
      </c>
      <c r="S63" s="208"/>
      <c r="T63" s="137">
        <f>'Consolidated Cust Cnt'!B143</f>
        <v>40.375033479152137</v>
      </c>
      <c r="U63" s="137">
        <f t="shared" si="46"/>
        <v>40.018940351007785</v>
      </c>
      <c r="V63" s="137"/>
      <c r="W63" s="137">
        <f>'Consolidated Cust Cnt'!C143</f>
        <v>0</v>
      </c>
      <c r="X63" s="137">
        <f t="shared" si="47"/>
        <v>0</v>
      </c>
      <c r="Y63" s="137"/>
      <c r="Z63" s="137">
        <f t="shared" si="6"/>
        <v>40.018940351007785</v>
      </c>
      <c r="AA63" s="137"/>
      <c r="AB63" s="137"/>
      <c r="AC63" s="332"/>
    </row>
    <row r="64" spans="1:32" s="66" customFormat="1">
      <c r="A64" s="436"/>
      <c r="B64" s="50" t="s">
        <v>259</v>
      </c>
      <c r="C64" s="121" t="s">
        <v>227</v>
      </c>
      <c r="D64" s="152">
        <f>'Consolidated Cust Cnt'!D144</f>
        <v>23.999999999999996</v>
      </c>
      <c r="E64" s="75">
        <f>References!$C$5</f>
        <v>13</v>
      </c>
      <c r="F64" s="74">
        <f t="shared" si="4"/>
        <v>311.99999999999994</v>
      </c>
      <c r="G64" s="74">
        <f>References!$C$30</f>
        <v>324</v>
      </c>
      <c r="H64" s="74">
        <f t="shared" si="39"/>
        <v>101087.99999999999</v>
      </c>
      <c r="I64" s="49">
        <f t="shared" si="37"/>
        <v>80447.616146521686</v>
      </c>
      <c r="J64" s="73">
        <f>(References!$D$57*I64)</f>
        <v>34.994713023737319</v>
      </c>
      <c r="K64" s="73">
        <f>J64/References!$H$60</f>
        <v>35.682493077812147</v>
      </c>
      <c r="L64" s="73">
        <f t="shared" si="27"/>
        <v>0.11436696499298767</v>
      </c>
      <c r="M64" s="73">
        <f>M62</f>
        <v>34.85</v>
      </c>
      <c r="N64" s="73">
        <f t="shared" si="8"/>
        <v>34.96436696499299</v>
      </c>
      <c r="O64" s="73">
        <f>'Proposed Rates'!$E$93</f>
        <v>34.96</v>
      </c>
      <c r="P64" s="73">
        <f t="shared" si="40"/>
        <v>10873.199999999999</v>
      </c>
      <c r="Q64" s="78">
        <f t="shared" si="30"/>
        <v>10908.882493077812</v>
      </c>
      <c r="R64" s="213">
        <f t="shared" si="38"/>
        <v>35.682493077812978</v>
      </c>
      <c r="S64" s="208"/>
      <c r="T64" s="137">
        <f>'Consolidated Cust Cnt'!B144</f>
        <v>23.999999999999996</v>
      </c>
      <c r="U64" s="137">
        <f t="shared" si="46"/>
        <v>35.682493077812147</v>
      </c>
      <c r="V64" s="137"/>
      <c r="W64" s="137">
        <f>'Consolidated Cust Cnt'!C144</f>
        <v>0</v>
      </c>
      <c r="X64" s="137">
        <f t="shared" si="47"/>
        <v>0</v>
      </c>
      <c r="Y64" s="137"/>
      <c r="Z64" s="137">
        <f t="shared" si="6"/>
        <v>35.682493077812147</v>
      </c>
      <c r="AA64" s="137"/>
      <c r="AB64" s="137"/>
      <c r="AC64" s="332"/>
    </row>
    <row r="65" spans="1:29" s="66" customFormat="1">
      <c r="A65" s="436"/>
      <c r="B65" s="50">
        <v>39</v>
      </c>
      <c r="C65" s="121" t="s">
        <v>228</v>
      </c>
      <c r="D65" s="152">
        <f>'Consolidated Cust Cnt'!D145</f>
        <v>2255.7347605910081</v>
      </c>
      <c r="E65" s="75">
        <f>References!$C$7</f>
        <v>4.333333333333333</v>
      </c>
      <c r="F65" s="74">
        <f t="shared" si="4"/>
        <v>9774.8506292277016</v>
      </c>
      <c r="G65" s="74">
        <f>References!$C$32</f>
        <v>613</v>
      </c>
      <c r="H65" s="74">
        <f t="shared" si="39"/>
        <v>5991983.4357165806</v>
      </c>
      <c r="I65" s="49">
        <f t="shared" si="37"/>
        <v>4768526.2681311704</v>
      </c>
      <c r="J65" s="73">
        <f>(References!$D$57*I65)</f>
        <v>2074.3089266370821</v>
      </c>
      <c r="K65" s="73">
        <f>J65/References!$H$60</f>
        <v>2115.0770365159265</v>
      </c>
      <c r="L65" s="73">
        <f t="shared" si="27"/>
        <v>0.21637947389105383</v>
      </c>
      <c r="M65" s="73">
        <f>'Proposed Rates'!C94</f>
        <v>65.42</v>
      </c>
      <c r="N65" s="73">
        <f t="shared" si="8"/>
        <v>65.636379473891054</v>
      </c>
      <c r="O65" s="73">
        <f>'Proposed Rates'!$E$94</f>
        <v>65.64</v>
      </c>
      <c r="P65" s="73">
        <f t="shared" si="40"/>
        <v>639470.72816407622</v>
      </c>
      <c r="Q65" s="78">
        <f t="shared" si="30"/>
        <v>641585.80520059215</v>
      </c>
      <c r="R65" s="213">
        <f t="shared" si="38"/>
        <v>2115.077036515926</v>
      </c>
      <c r="S65" s="208"/>
      <c r="T65" s="137">
        <f>'Consolidated Cust Cnt'!B145</f>
        <v>1687.0002140453096</v>
      </c>
      <c r="U65" s="137">
        <f t="shared" si="46"/>
        <v>1581.8062813332836</v>
      </c>
      <c r="V65" s="137"/>
      <c r="W65" s="137">
        <f>'Consolidated Cust Cnt'!C145</f>
        <v>568.73454654569855</v>
      </c>
      <c r="X65" s="137">
        <f t="shared" si="47"/>
        <v>533.27075518264303</v>
      </c>
      <c r="Y65" s="137"/>
      <c r="Z65" s="137">
        <f t="shared" si="6"/>
        <v>2115.0770365159265</v>
      </c>
      <c r="AA65" s="137"/>
      <c r="AB65" s="137"/>
      <c r="AC65" s="332"/>
    </row>
    <row r="66" spans="1:29" s="66" customFormat="1">
      <c r="A66" s="436"/>
      <c r="B66" s="50" t="s">
        <v>259</v>
      </c>
      <c r="C66" s="121" t="s">
        <v>229</v>
      </c>
      <c r="D66" s="152">
        <f>'Consolidated Cust Cnt'!D146</f>
        <v>392.59725703392519</v>
      </c>
      <c r="E66" s="75">
        <f>References!$C$6</f>
        <v>8.6666666666666661</v>
      </c>
      <c r="F66" s="74">
        <f t="shared" si="4"/>
        <v>3402.5095609606847</v>
      </c>
      <c r="G66" s="74">
        <f>References!$C$32</f>
        <v>613</v>
      </c>
      <c r="H66" s="74">
        <f t="shared" si="39"/>
        <v>2085738.3608688996</v>
      </c>
      <c r="I66" s="49">
        <f t="shared" si="37"/>
        <v>1659867.4327047383</v>
      </c>
      <c r="J66" s="73">
        <f>(References!$D$57*I66)</f>
        <v>722.04233322656921</v>
      </c>
      <c r="K66" s="73">
        <f>J66/References!$H$60</f>
        <v>736.23322870995355</v>
      </c>
      <c r="L66" s="73">
        <f t="shared" si="27"/>
        <v>0.21637947389105386</v>
      </c>
      <c r="M66" s="73">
        <f>'Proposed Rates'!C94</f>
        <v>65.42</v>
      </c>
      <c r="N66" s="73">
        <f t="shared" si="8"/>
        <v>65.636379473891054</v>
      </c>
      <c r="O66" s="73">
        <f>'Proposed Rates'!$E$94</f>
        <v>65.64</v>
      </c>
      <c r="P66" s="73">
        <f t="shared" si="40"/>
        <v>222592.17547804798</v>
      </c>
      <c r="Q66" s="78">
        <f t="shared" si="30"/>
        <v>223328.40870675794</v>
      </c>
      <c r="R66" s="213">
        <f t="shared" si="38"/>
        <v>736.23322870995617</v>
      </c>
      <c r="S66" s="208"/>
      <c r="T66" s="137">
        <f>'Consolidated Cust Cnt'!B146</f>
        <v>262.22224379567194</v>
      </c>
      <c r="U66" s="137">
        <f t="shared" si="46"/>
        <v>491.74243001033932</v>
      </c>
      <c r="V66" s="137"/>
      <c r="W66" s="137">
        <f>'Consolidated Cust Cnt'!C146</f>
        <v>130.37501323825325</v>
      </c>
      <c r="X66" s="137">
        <f t="shared" si="47"/>
        <v>244.49079869961429</v>
      </c>
      <c r="Y66" s="137"/>
      <c r="Z66" s="137">
        <f t="shared" si="6"/>
        <v>736.23322870995366</v>
      </c>
      <c r="AA66" s="137"/>
      <c r="AB66" s="137"/>
      <c r="AC66" s="332"/>
    </row>
    <row r="67" spans="1:29" s="66" customFormat="1">
      <c r="A67" s="436"/>
      <c r="B67" s="50" t="s">
        <v>259</v>
      </c>
      <c r="C67" s="121" t="s">
        <v>230</v>
      </c>
      <c r="D67" s="152">
        <f>'Consolidated Cust Cnt'!D147</f>
        <v>37.16667849600173</v>
      </c>
      <c r="E67" s="75">
        <f>References!$C$5</f>
        <v>13</v>
      </c>
      <c r="F67" s="74">
        <f t="shared" si="4"/>
        <v>483.16682044802246</v>
      </c>
      <c r="G67" s="74">
        <f>References!$C$32</f>
        <v>613</v>
      </c>
      <c r="H67" s="74">
        <f t="shared" si="39"/>
        <v>296181.26093463774</v>
      </c>
      <c r="I67" s="49">
        <f t="shared" si="37"/>
        <v>235706.27957287236</v>
      </c>
      <c r="J67" s="73">
        <f>(References!$D$57*I67)</f>
        <v>102.53223161420061</v>
      </c>
      <c r="K67" s="73">
        <f>J67/References!$H$60</f>
        <v>104.54738241015637</v>
      </c>
      <c r="L67" s="73">
        <f t="shared" si="27"/>
        <v>0.21637947389105383</v>
      </c>
      <c r="M67" s="73">
        <f>'Proposed Rates'!C94</f>
        <v>65.42</v>
      </c>
      <c r="N67" s="73">
        <f t="shared" si="8"/>
        <v>65.636379473891054</v>
      </c>
      <c r="O67" s="73">
        <f>'Proposed Rates'!$E$94</f>
        <v>65.64</v>
      </c>
      <c r="P67" s="73">
        <f t="shared" si="40"/>
        <v>31608.773393709631</v>
      </c>
      <c r="Q67" s="78">
        <f t="shared" si="30"/>
        <v>31713.320776119785</v>
      </c>
      <c r="R67" s="213">
        <f t="shared" si="38"/>
        <v>104.54738241015366</v>
      </c>
      <c r="S67" s="208"/>
      <c r="T67" s="137">
        <f>'Consolidated Cust Cnt'!B147</f>
        <v>37.16667849600173</v>
      </c>
      <c r="U67" s="137">
        <f t="shared" si="46"/>
        <v>104.54738241015637</v>
      </c>
      <c r="V67" s="137"/>
      <c r="W67" s="137">
        <f>'Consolidated Cust Cnt'!C147</f>
        <v>0</v>
      </c>
      <c r="X67" s="137">
        <f t="shared" si="47"/>
        <v>0</v>
      </c>
      <c r="Y67" s="137"/>
      <c r="Z67" s="137">
        <f t="shared" si="6"/>
        <v>104.54738241015637</v>
      </c>
      <c r="AA67" s="137"/>
      <c r="AB67" s="137"/>
      <c r="AC67" s="332"/>
    </row>
    <row r="68" spans="1:29" s="66" customFormat="1">
      <c r="A68" s="436"/>
      <c r="B68" s="50" t="s">
        <v>259</v>
      </c>
      <c r="C68" s="121" t="s">
        <v>440</v>
      </c>
      <c r="D68" s="152">
        <f>'Consolidated Cust Cnt'!D148</f>
        <v>11.750002252881435</v>
      </c>
      <c r="E68" s="75">
        <f>References!C$4</f>
        <v>17.333333333333332</v>
      </c>
      <c r="F68" s="74">
        <f t="shared" ref="F68:F102" si="48">D68*E68</f>
        <v>203.66670571661152</v>
      </c>
      <c r="G68" s="74">
        <f>References!$C$32</f>
        <v>613</v>
      </c>
      <c r="H68" s="74">
        <f t="shared" ref="H68" si="49">F68*G68</f>
        <v>124847.69060428286</v>
      </c>
      <c r="I68" s="49">
        <f t="shared" si="37"/>
        <v>99355.997650691002</v>
      </c>
      <c r="J68" s="73">
        <f>(References!$D$57*I68)</f>
        <v>43.219858978051064</v>
      </c>
      <c r="K68" s="73">
        <f>J68/References!$H$60</f>
        <v>44.069294632084492</v>
      </c>
      <c r="L68" s="73">
        <f t="shared" si="27"/>
        <v>0.21637947389105386</v>
      </c>
      <c r="M68" s="73">
        <f>'Proposed Rates'!C94</f>
        <v>65.42</v>
      </c>
      <c r="N68" s="73">
        <f t="shared" ref="N68" si="50">L68+M68</f>
        <v>65.636379473891054</v>
      </c>
      <c r="O68" s="73">
        <f>'Proposed Rates'!$E$94</f>
        <v>65.64</v>
      </c>
      <c r="P68" s="73">
        <f t="shared" ref="P68" si="51">F68*M68</f>
        <v>13323.875887980726</v>
      </c>
      <c r="Q68" s="78">
        <f t="shared" si="30"/>
        <v>13367.94518261281</v>
      </c>
      <c r="R68" s="213">
        <f t="shared" si="38"/>
        <v>44.069294632083256</v>
      </c>
      <c r="S68" s="208"/>
      <c r="T68" s="137">
        <f>'Consolidated Cust Cnt'!B148</f>
        <v>11.750002252881435</v>
      </c>
      <c r="U68" s="137">
        <f t="shared" si="46"/>
        <v>44.0692946320845</v>
      </c>
      <c r="V68" s="137"/>
      <c r="W68" s="137">
        <f>'Consolidated Cust Cnt'!C148</f>
        <v>0</v>
      </c>
      <c r="X68" s="137">
        <f t="shared" si="47"/>
        <v>0</v>
      </c>
      <c r="Y68" s="137"/>
      <c r="Z68" s="137">
        <f t="shared" ref="Z68" si="52">U68+X68</f>
        <v>44.0692946320845</v>
      </c>
      <c r="AA68" s="137"/>
      <c r="AB68" s="137"/>
      <c r="AC68" s="332"/>
    </row>
    <row r="69" spans="1:29" s="66" customFormat="1">
      <c r="A69" s="436"/>
      <c r="B69" s="50">
        <v>39</v>
      </c>
      <c r="C69" s="121" t="s">
        <v>231</v>
      </c>
      <c r="D69" s="152">
        <f>'Consolidated Cust Cnt'!D149</f>
        <v>1589.9588247306888</v>
      </c>
      <c r="E69" s="75">
        <f>References!$C$7</f>
        <v>4.333333333333333</v>
      </c>
      <c r="F69" s="74">
        <f t="shared" si="48"/>
        <v>6889.8215738329845</v>
      </c>
      <c r="G69" s="74">
        <f>References!$C$33</f>
        <v>840</v>
      </c>
      <c r="H69" s="74">
        <f t="shared" si="39"/>
        <v>5787450.1220197072</v>
      </c>
      <c r="I69" s="49">
        <f t="shared" si="37"/>
        <v>4605755.0439555794</v>
      </c>
      <c r="J69" s="73">
        <f>(References!$D$57*I69)</f>
        <v>2003.5034441206992</v>
      </c>
      <c r="K69" s="73">
        <f>J69/References!$H$60</f>
        <v>2042.8799552583032</v>
      </c>
      <c r="L69" s="73">
        <f t="shared" si="27"/>
        <v>0.29650694627811625</v>
      </c>
      <c r="M69" s="73">
        <f>'Proposed Rates'!C95</f>
        <v>90.47</v>
      </c>
      <c r="N69" s="73">
        <f t="shared" si="8"/>
        <v>90.766506946278113</v>
      </c>
      <c r="O69" s="73">
        <f>'Proposed Rates'!$E$95</f>
        <v>90.77</v>
      </c>
      <c r="P69" s="73">
        <f t="shared" si="40"/>
        <v>623322.15778467013</v>
      </c>
      <c r="Q69" s="78">
        <f t="shared" si="30"/>
        <v>625365.03773992835</v>
      </c>
      <c r="R69" s="213">
        <f t="shared" si="38"/>
        <v>2042.8799552582204</v>
      </c>
      <c r="S69" s="208"/>
      <c r="T69" s="137">
        <f>'Consolidated Cust Cnt'!B149</f>
        <v>1099.1254531066525</v>
      </c>
      <c r="U69" s="137">
        <f t="shared" si="46"/>
        <v>1412.2261039345524</v>
      </c>
      <c r="V69" s="137"/>
      <c r="W69" s="137">
        <f>'Consolidated Cust Cnt'!C149</f>
        <v>490.83337162403637</v>
      </c>
      <c r="X69" s="137">
        <f t="shared" si="47"/>
        <v>630.65385132375081</v>
      </c>
      <c r="Y69" s="137"/>
      <c r="Z69" s="137">
        <f t="shared" si="6"/>
        <v>2042.8799552583032</v>
      </c>
      <c r="AA69" s="137"/>
      <c r="AB69" s="137"/>
      <c r="AC69" s="332"/>
    </row>
    <row r="70" spans="1:29" s="66" customFormat="1">
      <c r="A70" s="436"/>
      <c r="B70" s="50" t="s">
        <v>259</v>
      </c>
      <c r="C70" s="121" t="s">
        <v>232</v>
      </c>
      <c r="D70" s="152">
        <f>'Consolidated Cust Cnt'!D150</f>
        <v>1091.4445354751851</v>
      </c>
      <c r="E70" s="75">
        <f>References!$C$6</f>
        <v>8.6666666666666661</v>
      </c>
      <c r="F70" s="74">
        <f t="shared" si="48"/>
        <v>9459.1859741182707</v>
      </c>
      <c r="G70" s="74">
        <f>References!$C$33</f>
        <v>840</v>
      </c>
      <c r="H70" s="74">
        <f t="shared" si="39"/>
        <v>7945716.2182593476</v>
      </c>
      <c r="I70" s="49">
        <f t="shared" si="37"/>
        <v>6323341.3296901714</v>
      </c>
      <c r="J70" s="73">
        <f>(References!$D$57*I70)</f>
        <v>2750.653478415255</v>
      </c>
      <c r="K70" s="73">
        <f>J70/References!$H$60</f>
        <v>2804.7143474625968</v>
      </c>
      <c r="L70" s="73">
        <f t="shared" si="27"/>
        <v>0.29650694627811625</v>
      </c>
      <c r="M70" s="73">
        <f>'Proposed Rates'!C95</f>
        <v>90.47</v>
      </c>
      <c r="N70" s="73">
        <f t="shared" si="8"/>
        <v>90.766506946278113</v>
      </c>
      <c r="O70" s="73">
        <f>'Proposed Rates'!$E$95</f>
        <v>90.77</v>
      </c>
      <c r="P70" s="73">
        <f t="shared" si="40"/>
        <v>855772.55507847993</v>
      </c>
      <c r="Q70" s="78">
        <f t="shared" si="30"/>
        <v>858577.26942594256</v>
      </c>
      <c r="R70" s="213">
        <f t="shared" si="38"/>
        <v>2804.7143474626355</v>
      </c>
      <c r="S70" s="208"/>
      <c r="T70" s="137">
        <f>'Consolidated Cust Cnt'!B150</f>
        <v>689.69451313865659</v>
      </c>
      <c r="U70" s="137">
        <f t="shared" si="46"/>
        <v>1772.3265209477981</v>
      </c>
      <c r="V70" s="137"/>
      <c r="W70" s="137">
        <f>'Consolidated Cust Cnt'!C150</f>
        <v>401.75002233652845</v>
      </c>
      <c r="X70" s="137">
        <f t="shared" si="47"/>
        <v>1032.3878265147982</v>
      </c>
      <c r="Y70" s="137"/>
      <c r="Z70" s="137">
        <f t="shared" si="6"/>
        <v>2804.7143474625964</v>
      </c>
      <c r="AA70" s="137"/>
      <c r="AB70" s="137"/>
      <c r="AC70" s="332"/>
    </row>
    <row r="71" spans="1:29" s="66" customFormat="1">
      <c r="A71" s="436"/>
      <c r="B71" s="50" t="s">
        <v>259</v>
      </c>
      <c r="C71" s="121" t="s">
        <v>233</v>
      </c>
      <c r="D71" s="152">
        <f>'Consolidated Cust Cnt'!D151</f>
        <v>167.4935883799491</v>
      </c>
      <c r="E71" s="75">
        <f>References!$C$5</f>
        <v>13</v>
      </c>
      <c r="F71" s="74">
        <f t="shared" si="48"/>
        <v>2177.4166489393383</v>
      </c>
      <c r="G71" s="74">
        <f>References!$C$33</f>
        <v>840</v>
      </c>
      <c r="H71" s="74">
        <f t="shared" si="39"/>
        <v>1829029.9851090442</v>
      </c>
      <c r="I71" s="49">
        <f t="shared" si="37"/>
        <v>1455574.3724530181</v>
      </c>
      <c r="J71" s="73">
        <f>(References!$D$57*I71)</f>
        <v>633.17485201706995</v>
      </c>
      <c r="K71" s="73">
        <f>J71/References!$H$60</f>
        <v>645.61916135213232</v>
      </c>
      <c r="L71" s="73">
        <f t="shared" si="27"/>
        <v>0.29650694627811625</v>
      </c>
      <c r="M71" s="73">
        <f>'Proposed Rates'!C95</f>
        <v>90.47</v>
      </c>
      <c r="N71" s="73">
        <f t="shared" si="8"/>
        <v>90.766506946278113</v>
      </c>
      <c r="O71" s="73">
        <f>'Proposed Rates'!$E$95</f>
        <v>90.77</v>
      </c>
      <c r="P71" s="73">
        <f t="shared" si="40"/>
        <v>196990.88422954193</v>
      </c>
      <c r="Q71" s="78">
        <f t="shared" si="30"/>
        <v>197636.50339089407</v>
      </c>
      <c r="R71" s="213">
        <f t="shared" si="38"/>
        <v>645.61916135213687</v>
      </c>
      <c r="S71" s="208"/>
      <c r="T71" s="137">
        <f>'Consolidated Cust Cnt'!B151</f>
        <v>167.4935883799491</v>
      </c>
      <c r="U71" s="137">
        <f t="shared" si="46"/>
        <v>645.61916135213232</v>
      </c>
      <c r="V71" s="137"/>
      <c r="W71" s="137">
        <f>'Consolidated Cust Cnt'!C151</f>
        <v>0</v>
      </c>
      <c r="X71" s="137">
        <f t="shared" si="47"/>
        <v>0</v>
      </c>
      <c r="Y71" s="137"/>
      <c r="Z71" s="137">
        <f t="shared" ref="Z71:Z102" si="53">U71+X71</f>
        <v>645.61916135213232</v>
      </c>
      <c r="AA71" s="137"/>
      <c r="AB71" s="137"/>
      <c r="AC71" s="332"/>
    </row>
    <row r="72" spans="1:29" s="66" customFormat="1">
      <c r="A72" s="436"/>
      <c r="B72" s="50" t="s">
        <v>259</v>
      </c>
      <c r="C72" s="121" t="s">
        <v>234</v>
      </c>
      <c r="D72" s="152">
        <f>'Consolidated Cust Cnt'!D152</f>
        <v>47.375004853007525</v>
      </c>
      <c r="E72" s="75">
        <f>References!C$4</f>
        <v>17.333333333333332</v>
      </c>
      <c r="F72" s="74">
        <f t="shared" si="48"/>
        <v>821.16675078546371</v>
      </c>
      <c r="G72" s="74">
        <f>References!$C$33</f>
        <v>840</v>
      </c>
      <c r="H72" s="74">
        <f t="shared" ref="H72:H101" si="54">F72*G72</f>
        <v>689780.07065978949</v>
      </c>
      <c r="I72" s="49">
        <f t="shared" si="37"/>
        <v>548939.16538025637</v>
      </c>
      <c r="J72" s="73">
        <f>(References!$D$57*I72)</f>
        <v>238.78853694041416</v>
      </c>
      <c r="K72" s="73">
        <f>J72/References!$H$60</f>
        <v>243.48164566052071</v>
      </c>
      <c r="L72" s="73">
        <f t="shared" si="27"/>
        <v>0.29650694627811619</v>
      </c>
      <c r="M72" s="73">
        <f>'Proposed Rates'!C95</f>
        <v>90.47</v>
      </c>
      <c r="N72" s="73">
        <f t="shared" si="8"/>
        <v>90.766506946278113</v>
      </c>
      <c r="O72" s="73">
        <f>'Proposed Rates'!$E$95</f>
        <v>90.77</v>
      </c>
      <c r="P72" s="73">
        <f t="shared" si="40"/>
        <v>74290.955943560897</v>
      </c>
      <c r="Q72" s="78">
        <f t="shared" si="30"/>
        <v>74534.437589221416</v>
      </c>
      <c r="R72" s="213">
        <f t="shared" si="38"/>
        <v>243.48164566051855</v>
      </c>
      <c r="S72" s="208"/>
      <c r="T72" s="137">
        <f>'Consolidated Cust Cnt'!B152</f>
        <v>47.375004853007525</v>
      </c>
      <c r="U72" s="137">
        <f t="shared" si="46"/>
        <v>243.48164566052071</v>
      </c>
      <c r="V72" s="137"/>
      <c r="W72" s="137">
        <f>'Consolidated Cust Cnt'!C152</f>
        <v>0</v>
      </c>
      <c r="X72" s="137">
        <f t="shared" si="47"/>
        <v>0</v>
      </c>
      <c r="Y72" s="137"/>
      <c r="Z72" s="137">
        <f t="shared" si="53"/>
        <v>243.48164566052071</v>
      </c>
      <c r="AA72" s="137"/>
      <c r="AB72" s="137"/>
      <c r="AC72" s="332"/>
    </row>
    <row r="73" spans="1:29" s="66" customFormat="1">
      <c r="A73" s="436"/>
      <c r="B73" s="50" t="s">
        <v>259</v>
      </c>
      <c r="C73" s="121" t="s">
        <v>235</v>
      </c>
      <c r="D73" s="152">
        <f>'Consolidated Cust Cnt'!D153</f>
        <v>39.649998978904165</v>
      </c>
      <c r="E73" s="75">
        <f>References!C$3</f>
        <v>21.666666666666668</v>
      </c>
      <c r="F73" s="74">
        <f t="shared" si="48"/>
        <v>859.08331120959031</v>
      </c>
      <c r="G73" s="74">
        <f>References!$C$33</f>
        <v>840</v>
      </c>
      <c r="H73" s="74">
        <f t="shared" si="54"/>
        <v>721629.98141605582</v>
      </c>
      <c r="I73" s="49">
        <f t="shared" si="37"/>
        <v>574285.88699727412</v>
      </c>
      <c r="J73" s="73">
        <f>(References!$D$57*I73)</f>
        <v>249.81436084381701</v>
      </c>
      <c r="K73" s="73">
        <f>J73/References!$H$60</f>
        <v>254.72416920524819</v>
      </c>
      <c r="L73" s="73">
        <f t="shared" si="27"/>
        <v>0.29650694627811619</v>
      </c>
      <c r="M73" s="73">
        <f>'Proposed Rates'!C95</f>
        <v>90.47</v>
      </c>
      <c r="N73" s="73">
        <f t="shared" si="8"/>
        <v>90.766506946278113</v>
      </c>
      <c r="O73" s="73">
        <f>'Proposed Rates'!$E$95</f>
        <v>90.77</v>
      </c>
      <c r="P73" s="73">
        <f t="shared" si="40"/>
        <v>77721.267165131634</v>
      </c>
      <c r="Q73" s="78">
        <f t="shared" si="30"/>
        <v>77975.991334336883</v>
      </c>
      <c r="R73" s="213">
        <f t="shared" si="38"/>
        <v>254.72416920524847</v>
      </c>
      <c r="S73" s="208"/>
      <c r="T73" s="137">
        <f>'Consolidated Cust Cnt'!B153</f>
        <v>39.649998978904165</v>
      </c>
      <c r="U73" s="137">
        <f t="shared" si="46"/>
        <v>254.72416920524816</v>
      </c>
      <c r="V73" s="137"/>
      <c r="W73" s="137">
        <f>'Consolidated Cust Cnt'!C153</f>
        <v>0</v>
      </c>
      <c r="X73" s="137">
        <f t="shared" si="47"/>
        <v>0</v>
      </c>
      <c r="Y73" s="137"/>
      <c r="Z73" s="137">
        <f t="shared" si="53"/>
        <v>254.72416920524816</v>
      </c>
      <c r="AA73" s="137"/>
      <c r="AB73" s="137"/>
      <c r="AC73" s="332"/>
    </row>
    <row r="74" spans="1:29" s="66" customFormat="1">
      <c r="A74" s="436"/>
      <c r="B74" s="50">
        <v>42</v>
      </c>
      <c r="C74" s="118" t="s">
        <v>236</v>
      </c>
      <c r="D74" s="152">
        <f>'Consolidated Cust Cnt'!D154</f>
        <v>11.999999999999998</v>
      </c>
      <c r="E74" s="75">
        <f>References!$C$7</f>
        <v>4.333333333333333</v>
      </c>
      <c r="F74" s="74">
        <f t="shared" si="48"/>
        <v>51.999999999999986</v>
      </c>
      <c r="G74" s="129">
        <f>References!C36</f>
        <v>729</v>
      </c>
      <c r="H74" s="129">
        <f t="shared" si="54"/>
        <v>37907.999999999993</v>
      </c>
      <c r="I74" s="49">
        <f t="shared" si="37"/>
        <v>30167.856054945631</v>
      </c>
      <c r="J74" s="73">
        <f>(References!$D$57*I74)</f>
        <v>13.123017383901495</v>
      </c>
      <c r="K74" s="73">
        <f>J74/References!$H$60</f>
        <v>13.380934904179556</v>
      </c>
      <c r="L74" s="73">
        <f t="shared" si="27"/>
        <v>0.25732567123422229</v>
      </c>
      <c r="M74" s="73">
        <f>'Proposed Rates'!C119</f>
        <v>74.05</v>
      </c>
      <c r="N74" s="73">
        <f t="shared" si="8"/>
        <v>74.307325671234224</v>
      </c>
      <c r="O74" s="73">
        <f>'Proposed Rates'!E119</f>
        <v>74.31</v>
      </c>
      <c r="P74" s="73">
        <f t="shared" si="40"/>
        <v>3850.599999999999</v>
      </c>
      <c r="Q74" s="78">
        <f t="shared" si="30"/>
        <v>3863.9809349041784</v>
      </c>
      <c r="R74" s="213">
        <f t="shared" si="38"/>
        <v>13.380934904179412</v>
      </c>
      <c r="S74" s="208"/>
      <c r="T74" s="137">
        <f>'Consolidated Cust Cnt'!B154</f>
        <v>11.999999999999998</v>
      </c>
      <c r="U74" s="137">
        <f t="shared" si="46"/>
        <v>13.380934904179554</v>
      </c>
      <c r="V74" s="137"/>
      <c r="W74" s="137">
        <f>'Consolidated Cust Cnt'!C154</f>
        <v>0</v>
      </c>
      <c r="X74" s="137">
        <f t="shared" si="47"/>
        <v>0</v>
      </c>
      <c r="Y74" s="137"/>
      <c r="Z74" s="137">
        <f t="shared" si="53"/>
        <v>13.380934904179554</v>
      </c>
      <c r="AA74" s="137"/>
      <c r="AB74" s="137"/>
      <c r="AC74" s="332"/>
    </row>
    <row r="75" spans="1:29" s="66" customFormat="1">
      <c r="A75" s="436"/>
      <c r="B75" s="50">
        <v>45</v>
      </c>
      <c r="C75" s="118" t="s">
        <v>441</v>
      </c>
      <c r="D75" s="152">
        <f>'Consolidated Cust Cnt'!D156</f>
        <v>12.241522137619855</v>
      </c>
      <c r="E75" s="75">
        <f>References!$C$7</f>
        <v>4.333333333333333</v>
      </c>
      <c r="F75" s="74">
        <f t="shared" si="48"/>
        <v>53.046595929686035</v>
      </c>
      <c r="G75" s="129">
        <f>References!C37</f>
        <v>1379.25</v>
      </c>
      <c r="H75" s="129">
        <f t="shared" si="54"/>
        <v>73164.517436019465</v>
      </c>
      <c r="I75" s="49">
        <f t="shared" si="37"/>
        <v>58225.615446327836</v>
      </c>
      <c r="J75" s="73">
        <f>(References!$D$57*I75)</f>
        <v>25.32814271915289</v>
      </c>
      <c r="K75" s="73">
        <f>J75/References!$H$60</f>
        <v>25.825937667697765</v>
      </c>
      <c r="L75" s="73">
        <f t="shared" si="27"/>
        <v>0.48685381625487123</v>
      </c>
      <c r="M75" s="73">
        <f>'Proposed Rates'!C120</f>
        <v>134.07</v>
      </c>
      <c r="N75" s="73">
        <f t="shared" si="8"/>
        <v>134.55685381625486</v>
      </c>
      <c r="O75" s="73">
        <f>'Proposed Rates'!E120</f>
        <v>134.56</v>
      </c>
      <c r="P75" s="73">
        <f t="shared" si="40"/>
        <v>7111.957116293006</v>
      </c>
      <c r="Q75" s="78">
        <f t="shared" si="30"/>
        <v>7137.7830539607039</v>
      </c>
      <c r="R75" s="213">
        <f t="shared" si="38"/>
        <v>25.825937667697872</v>
      </c>
      <c r="S75" s="208"/>
      <c r="T75" s="137">
        <f>'Consolidated Cust Cnt'!B156</f>
        <v>12.241522137619855</v>
      </c>
      <c r="U75" s="137">
        <f t="shared" si="46"/>
        <v>25.825937667697765</v>
      </c>
      <c r="V75" s="137"/>
      <c r="W75" s="137">
        <f>'Consolidated Cust Cnt'!C156</f>
        <v>0</v>
      </c>
      <c r="X75" s="137">
        <f t="shared" si="47"/>
        <v>0</v>
      </c>
      <c r="Y75" s="137"/>
      <c r="Z75" s="137">
        <f t="shared" si="53"/>
        <v>25.825937667697765</v>
      </c>
      <c r="AA75" s="137"/>
      <c r="AB75" s="137"/>
      <c r="AC75" s="332"/>
    </row>
    <row r="76" spans="1:29" s="66" customFormat="1">
      <c r="A76" s="436"/>
      <c r="B76" s="50" t="s">
        <v>259</v>
      </c>
      <c r="C76" s="118" t="s">
        <v>680</v>
      </c>
      <c r="D76" s="152">
        <f>'Consolidated Cust Cnt'!D157</f>
        <v>11.999999999999998</v>
      </c>
      <c r="E76" s="75">
        <f>References!$C$7</f>
        <v>4.333333333333333</v>
      </c>
      <c r="F76" s="74">
        <f t="shared" si="48"/>
        <v>51.999999999999986</v>
      </c>
      <c r="G76" s="129">
        <f>References!C46</f>
        <v>2452</v>
      </c>
      <c r="H76" s="129">
        <f t="shared" ref="H76" si="55">F76*G76</f>
        <v>127503.99999999997</v>
      </c>
      <c r="I76" s="49">
        <f t="shared" si="37"/>
        <v>101469.93559221768</v>
      </c>
      <c r="J76" s="73">
        <f>(References!$D$57*I76)</f>
        <v>44.139421982615183</v>
      </c>
      <c r="K76" s="73">
        <f>J76/References!$H$60</f>
        <v>45.006930569339197</v>
      </c>
      <c r="L76" s="73">
        <f t="shared" si="27"/>
        <v>0.86551789556421554</v>
      </c>
      <c r="M76" s="73">
        <f>'Proposed Rates'!C140</f>
        <v>212.95</v>
      </c>
      <c r="N76" s="73">
        <f t="shared" ref="N76" si="56">L76+M76</f>
        <v>213.8155178955642</v>
      </c>
      <c r="O76" s="73">
        <f>'Proposed Rates'!E140</f>
        <v>213.82</v>
      </c>
      <c r="P76" s="73">
        <f t="shared" ref="P76" si="57">F76*M76</f>
        <v>11073.399999999996</v>
      </c>
      <c r="Q76" s="78">
        <f t="shared" si="30"/>
        <v>11118.406930569336</v>
      </c>
      <c r="R76" s="213">
        <f t="shared" si="38"/>
        <v>45.006930569339602</v>
      </c>
      <c r="S76" s="208"/>
      <c r="T76" s="137">
        <f>'Consolidated Cust Cnt'!B157</f>
        <v>11.999999999999998</v>
      </c>
      <c r="U76" s="137">
        <f t="shared" si="46"/>
        <v>45.006930569339204</v>
      </c>
      <c r="V76" s="137"/>
      <c r="W76" s="137">
        <f>'Consolidated Cust Cnt'!C157</f>
        <v>0</v>
      </c>
      <c r="X76" s="137">
        <f t="shared" si="47"/>
        <v>0</v>
      </c>
      <c r="Y76" s="137"/>
      <c r="Z76" s="137">
        <f t="shared" si="53"/>
        <v>45.006930569339204</v>
      </c>
      <c r="AA76" s="137"/>
      <c r="AB76" s="137"/>
      <c r="AC76" s="332"/>
    </row>
    <row r="77" spans="1:29" s="66" customFormat="1">
      <c r="A77" s="436"/>
      <c r="B77" s="50" t="s">
        <v>259</v>
      </c>
      <c r="C77" s="118" t="s">
        <v>681</v>
      </c>
      <c r="D77" s="152">
        <f>'Consolidated Cust Cnt'!D158</f>
        <v>13</v>
      </c>
      <c r="E77" s="75">
        <f>References!$C$7</f>
        <v>4.333333333333333</v>
      </c>
      <c r="F77" s="74">
        <f t="shared" si="48"/>
        <v>56.333333333333329</v>
      </c>
      <c r="G77" s="129">
        <f>References!C49</f>
        <v>3065</v>
      </c>
      <c r="H77" s="129">
        <f t="shared" si="54"/>
        <v>172661.66666666666</v>
      </c>
      <c r="I77" s="49">
        <f t="shared" si="37"/>
        <v>137407.20444779479</v>
      </c>
      <c r="J77" s="73">
        <f>(References!$D$57*I77)</f>
        <v>59.772133934791398</v>
      </c>
      <c r="K77" s="73">
        <f>J77/References!$H$60</f>
        <v>60.946885145980168</v>
      </c>
      <c r="L77" s="73">
        <f t="shared" si="27"/>
        <v>1.0818973694552694</v>
      </c>
      <c r="M77" s="73">
        <f>'Proposed Rates'!C148</f>
        <v>238.47</v>
      </c>
      <c r="N77" s="73">
        <f t="shared" si="8"/>
        <v>239.55189736945528</v>
      </c>
      <c r="O77" s="73">
        <f>'Proposed Rates'!$E$148</f>
        <v>239.55</v>
      </c>
      <c r="P77" s="73">
        <f t="shared" si="40"/>
        <v>13433.81</v>
      </c>
      <c r="Q77" s="78">
        <f t="shared" si="30"/>
        <v>13494.75688514598</v>
      </c>
      <c r="R77" s="213">
        <f t="shared" si="38"/>
        <v>60.946885145980559</v>
      </c>
      <c r="S77" s="208"/>
      <c r="T77" s="137">
        <f>'Consolidated Cust Cnt'!B158</f>
        <v>13</v>
      </c>
      <c r="U77" s="137">
        <f t="shared" si="46"/>
        <v>60.946885145980168</v>
      </c>
      <c r="V77" s="137"/>
      <c r="W77" s="137">
        <f>'Consolidated Cust Cnt'!C158</f>
        <v>0</v>
      </c>
      <c r="X77" s="137">
        <f t="shared" si="47"/>
        <v>0</v>
      </c>
      <c r="Y77" s="137"/>
      <c r="Z77" s="137">
        <f t="shared" si="53"/>
        <v>60.946885145980168</v>
      </c>
      <c r="AA77" s="137"/>
      <c r="AB77" s="137"/>
      <c r="AC77" s="332"/>
    </row>
    <row r="78" spans="1:29" s="66" customFormat="1">
      <c r="A78" s="436"/>
      <c r="B78" s="50" t="s">
        <v>259</v>
      </c>
      <c r="C78" s="118" t="s">
        <v>684</v>
      </c>
      <c r="D78" s="152">
        <f>'Consolidated Cust Cnt'!D170</f>
        <v>11.999999999999998</v>
      </c>
      <c r="E78" s="75">
        <f>References!$C$8</f>
        <v>2.1666666666666665</v>
      </c>
      <c r="F78" s="74">
        <f t="shared" si="48"/>
        <v>25.999999999999993</v>
      </c>
      <c r="G78" s="129">
        <f>References!C49</f>
        <v>3065</v>
      </c>
      <c r="H78" s="129">
        <f t="shared" ref="H78" si="58">F78*G78</f>
        <v>79689.999999999985</v>
      </c>
      <c r="I78" s="49">
        <f t="shared" si="37"/>
        <v>63418.709745136053</v>
      </c>
      <c r="J78" s="73">
        <f>(References!$D$57*I78)</f>
        <v>27.587138739134488</v>
      </c>
      <c r="K78" s="73">
        <f>J78/References!$H$60</f>
        <v>28.129331605836999</v>
      </c>
      <c r="L78" s="73">
        <f t="shared" si="27"/>
        <v>1.0818973694552694</v>
      </c>
      <c r="M78" s="73">
        <f>'Proposed Rates'!C148</f>
        <v>238.47</v>
      </c>
      <c r="N78" s="73">
        <f t="shared" ref="N78" si="59">L78+M78</f>
        <v>239.55189736945528</v>
      </c>
      <c r="O78" s="73">
        <f>'Proposed Rates'!$E$148</f>
        <v>239.55</v>
      </c>
      <c r="P78" s="73">
        <f t="shared" ref="P78" si="60">F78*M78</f>
        <v>6200.2199999999984</v>
      </c>
      <c r="Q78" s="78">
        <f t="shared" si="30"/>
        <v>6228.3493316058357</v>
      </c>
      <c r="R78" s="213">
        <f t="shared" si="38"/>
        <v>28.129331605837251</v>
      </c>
      <c r="S78" s="208"/>
      <c r="T78" s="137">
        <f>'Consolidated Cust Cnt'!B170</f>
        <v>0</v>
      </c>
      <c r="U78" s="137">
        <f t="shared" si="46"/>
        <v>0</v>
      </c>
      <c r="V78" s="137"/>
      <c r="W78" s="137">
        <f>'Consolidated Cust Cnt'!C170</f>
        <v>11.999999999999998</v>
      </c>
      <c r="X78" s="137">
        <f t="shared" si="47"/>
        <v>28.129331605836995</v>
      </c>
      <c r="Y78" s="137"/>
      <c r="Z78" s="137">
        <f t="shared" ref="Z78:Z79" si="61">U78+X78</f>
        <v>28.129331605836995</v>
      </c>
      <c r="AA78" s="137"/>
      <c r="AB78" s="137"/>
      <c r="AC78" s="332"/>
    </row>
    <row r="79" spans="1:29" s="66" customFormat="1">
      <c r="A79" s="436"/>
      <c r="B79" s="50">
        <v>45</v>
      </c>
      <c r="C79" s="118" t="s">
        <v>442</v>
      </c>
      <c r="D79" s="207">
        <f>'Consolidated Cust Cnt'!D169</f>
        <v>17.779278142352343</v>
      </c>
      <c r="E79" s="75">
        <f>References!$C$10</f>
        <v>1</v>
      </c>
      <c r="F79" s="74">
        <f t="shared" si="48"/>
        <v>17.779278142352343</v>
      </c>
      <c r="G79" s="129">
        <f>References!C49</f>
        <v>3065</v>
      </c>
      <c r="H79" s="129">
        <f t="shared" ref="H79" si="62">F79*G79</f>
        <v>54493.487506309932</v>
      </c>
      <c r="I79" s="49">
        <f t="shared" si="37"/>
        <v>43366.879999534045</v>
      </c>
      <c r="J79" s="73">
        <f>(References!$D$57*I79)</f>
        <v>18.864592799797521</v>
      </c>
      <c r="K79" s="73">
        <f>J79/References!$H$60</f>
        <v>19.235354253024571</v>
      </c>
      <c r="L79" s="73">
        <f t="shared" si="27"/>
        <v>1.0818973694552696</v>
      </c>
      <c r="M79" s="73">
        <f>'Proposed Rates'!C151</f>
        <v>244.47</v>
      </c>
      <c r="N79" s="73">
        <f t="shared" ref="N79" si="63">L79+M79</f>
        <v>245.55189736945528</v>
      </c>
      <c r="O79" s="73">
        <f>'Proposed Rates'!$E$151</f>
        <v>245.55</v>
      </c>
      <c r="P79" s="73">
        <f t="shared" ref="P79" si="64">F79*M79</f>
        <v>4346.5001274608776</v>
      </c>
      <c r="Q79" s="78">
        <f t="shared" si="30"/>
        <v>4365.7354817139021</v>
      </c>
      <c r="R79" s="213">
        <f t="shared" si="38"/>
        <v>19.235354253024525</v>
      </c>
      <c r="S79" s="208"/>
      <c r="T79" s="137">
        <f>'Consolidated Cust Cnt'!B169</f>
        <v>17.779278142352343</v>
      </c>
      <c r="U79" s="137">
        <f t="shared" si="46"/>
        <v>19.235354253024571</v>
      </c>
      <c r="V79" s="137"/>
      <c r="W79" s="137">
        <f>'Consolidated Cust Cnt'!C169</f>
        <v>0</v>
      </c>
      <c r="X79" s="137">
        <f t="shared" si="47"/>
        <v>0</v>
      </c>
      <c r="Y79" s="137"/>
      <c r="Z79" s="137">
        <f t="shared" si="61"/>
        <v>19.235354253024571</v>
      </c>
      <c r="AA79" s="137"/>
      <c r="AB79" s="137"/>
      <c r="AC79" s="332"/>
    </row>
    <row r="80" spans="1:29" s="66" customFormat="1">
      <c r="A80" s="436"/>
      <c r="B80" s="50">
        <v>43</v>
      </c>
      <c r="C80" s="118" t="s">
        <v>237</v>
      </c>
      <c r="D80" s="152">
        <f>'Consolidated Cust Cnt'!D161</f>
        <v>12</v>
      </c>
      <c r="E80" s="75">
        <f>References!$C$6</f>
        <v>8.6666666666666661</v>
      </c>
      <c r="F80" s="74">
        <f t="shared" si="48"/>
        <v>104</v>
      </c>
      <c r="G80" s="129">
        <f>References!C43</f>
        <v>2520</v>
      </c>
      <c r="H80" s="129">
        <f t="shared" si="54"/>
        <v>262080</v>
      </c>
      <c r="I80" s="49">
        <f t="shared" si="37"/>
        <v>208567.89371320442</v>
      </c>
      <c r="J80" s="73">
        <f>(References!$D$57*I80)</f>
        <v>90.727033765244926</v>
      </c>
      <c r="K80" s="73">
        <f>J80/References!$H$60</f>
        <v>92.510167238772269</v>
      </c>
      <c r="L80" s="73">
        <f t="shared" si="27"/>
        <v>0.88952083883434874</v>
      </c>
      <c r="M80" s="73">
        <f>'Proposed Rates'!C131</f>
        <v>236.46</v>
      </c>
      <c r="N80" s="73">
        <f t="shared" si="8"/>
        <v>237.34952083883437</v>
      </c>
      <c r="O80" s="73">
        <f>'Proposed Rates'!E131</f>
        <v>237.35</v>
      </c>
      <c r="P80" s="73">
        <f t="shared" si="40"/>
        <v>24591.84</v>
      </c>
      <c r="Q80" s="78">
        <f t="shared" si="30"/>
        <v>24684.350167238776</v>
      </c>
      <c r="R80" s="213">
        <f t="shared" si="38"/>
        <v>92.510167238775466</v>
      </c>
      <c r="S80" s="208"/>
      <c r="T80" s="137">
        <f>'Consolidated Cust Cnt'!B161</f>
        <v>0</v>
      </c>
      <c r="U80" s="137">
        <f t="shared" si="46"/>
        <v>0</v>
      </c>
      <c r="V80" s="137"/>
      <c r="W80" s="137">
        <f>'Consolidated Cust Cnt'!C161</f>
        <v>12</v>
      </c>
      <c r="X80" s="137">
        <f t="shared" si="47"/>
        <v>92.510167238772269</v>
      </c>
      <c r="Y80" s="137"/>
      <c r="Z80" s="137">
        <f t="shared" si="53"/>
        <v>92.510167238772269</v>
      </c>
      <c r="AA80" s="137"/>
      <c r="AB80" s="137"/>
      <c r="AC80" s="332"/>
    </row>
    <row r="81" spans="1:29" s="66" customFormat="1">
      <c r="A81" s="436"/>
      <c r="B81" s="50" t="s">
        <v>260</v>
      </c>
      <c r="C81" s="118" t="s">
        <v>685</v>
      </c>
      <c r="D81" s="152">
        <f>'Consolidated Cust Cnt'!D171</f>
        <v>2</v>
      </c>
      <c r="E81" s="75">
        <f>References!$C$7</f>
        <v>4.333333333333333</v>
      </c>
      <c r="F81" s="74">
        <f t="shared" si="48"/>
        <v>8.6666666666666661</v>
      </c>
      <c r="G81" s="129">
        <f>References!C47</f>
        <v>3360</v>
      </c>
      <c r="H81" s="129">
        <f t="shared" si="54"/>
        <v>29119.999999999996</v>
      </c>
      <c r="I81" s="49">
        <f t="shared" si="37"/>
        <v>23174.210412578264</v>
      </c>
      <c r="J81" s="73">
        <f>(References!$D$57*I81)</f>
        <v>10.080781529471658</v>
      </c>
      <c r="K81" s="73">
        <f>J81/References!$H$60</f>
        <v>10.278907470974696</v>
      </c>
      <c r="L81" s="73">
        <f t="shared" si="27"/>
        <v>1.186027785112465</v>
      </c>
      <c r="M81" s="73">
        <f>'Proposed Rates'!C141</f>
        <v>304.02999999999997</v>
      </c>
      <c r="N81" s="73">
        <f t="shared" si="8"/>
        <v>305.21602778511243</v>
      </c>
      <c r="O81" s="73">
        <f>'Proposed Rates'!E141</f>
        <v>305.21999999999997</v>
      </c>
      <c r="P81" s="73">
        <f t="shared" ref="P81" si="65">F81*M81</f>
        <v>2634.9266666666663</v>
      </c>
      <c r="Q81" s="78">
        <f t="shared" si="30"/>
        <v>2645.2055741376407</v>
      </c>
      <c r="R81" s="213">
        <f t="shared" si="38"/>
        <v>10.278907470974445</v>
      </c>
      <c r="S81" s="208"/>
      <c r="T81" s="137">
        <f>'Consolidated Cust Cnt'!B171</f>
        <v>2</v>
      </c>
      <c r="U81" s="137">
        <f t="shared" si="46"/>
        <v>10.278907470974696</v>
      </c>
      <c r="V81" s="137"/>
      <c r="W81" s="137">
        <f>'Consolidated Cust Cnt'!C162</f>
        <v>0</v>
      </c>
      <c r="X81" s="137">
        <f t="shared" si="47"/>
        <v>0</v>
      </c>
      <c r="Y81" s="137"/>
      <c r="Z81" s="137">
        <f t="shared" si="53"/>
        <v>10.278907470974696</v>
      </c>
      <c r="AA81" s="137"/>
      <c r="AB81" s="137"/>
      <c r="AC81" s="332"/>
    </row>
    <row r="82" spans="1:29" s="66" customFormat="1">
      <c r="A82" s="436"/>
      <c r="B82" s="50">
        <v>44</v>
      </c>
      <c r="C82" s="118" t="s">
        <v>682</v>
      </c>
      <c r="D82" s="152">
        <f>'Consolidated Cust Cnt'!D163</f>
        <v>9.250001946418978</v>
      </c>
      <c r="E82" s="75">
        <f>References!$C$6</f>
        <v>8.6666666666666661</v>
      </c>
      <c r="F82" s="74">
        <f t="shared" si="48"/>
        <v>80.166683535631137</v>
      </c>
      <c r="G82" s="129">
        <f>References!C47</f>
        <v>3360</v>
      </c>
      <c r="H82" s="129">
        <f t="shared" si="54"/>
        <v>269360.05667972064</v>
      </c>
      <c r="I82" s="49">
        <f t="shared" si="37"/>
        <v>214361.49142307192</v>
      </c>
      <c r="J82" s="73">
        <f>(References!$D$57*I82)</f>
        <v>93.247248769037313</v>
      </c>
      <c r="K82" s="73">
        <f>J82/References!$H$60</f>
        <v>95.079914113576507</v>
      </c>
      <c r="L82" s="73">
        <f t="shared" si="27"/>
        <v>1.186027785112465</v>
      </c>
      <c r="M82" s="73">
        <f>'Proposed Rates'!C141</f>
        <v>304.02999999999997</v>
      </c>
      <c r="N82" s="73">
        <f t="shared" ref="N82:N101" si="66">L82+M82</f>
        <v>305.21602778511243</v>
      </c>
      <c r="O82" s="73">
        <f>'Proposed Rates'!E141</f>
        <v>305.21999999999997</v>
      </c>
      <c r="P82" s="73">
        <f t="shared" si="40"/>
        <v>24373.076795337933</v>
      </c>
      <c r="Q82" s="78">
        <f t="shared" si="30"/>
        <v>24468.156709451509</v>
      </c>
      <c r="R82" s="213">
        <f t="shared" si="38"/>
        <v>95.079914113575796</v>
      </c>
      <c r="S82" s="208"/>
      <c r="T82" s="137">
        <f>'Consolidated Cust Cnt'!B163</f>
        <v>9.250001946418978</v>
      </c>
      <c r="U82" s="137">
        <f t="shared" si="46"/>
        <v>95.079914113576507</v>
      </c>
      <c r="V82" s="137"/>
      <c r="W82" s="137">
        <f>'Consolidated Cust Cnt'!C163</f>
        <v>0</v>
      </c>
      <c r="X82" s="137">
        <f t="shared" si="47"/>
        <v>0</v>
      </c>
      <c r="Y82" s="137"/>
      <c r="Z82" s="137">
        <f t="shared" si="53"/>
        <v>95.079914113576507</v>
      </c>
      <c r="AA82" s="137"/>
      <c r="AB82" s="137"/>
      <c r="AC82" s="332"/>
    </row>
    <row r="83" spans="1:29" s="66" customFormat="1">
      <c r="A83" s="436"/>
      <c r="B83" s="50">
        <v>43</v>
      </c>
      <c r="C83" s="118" t="s">
        <v>683</v>
      </c>
      <c r="D83" s="152">
        <f>'Consolidated Cust Cnt'!D167</f>
        <v>12</v>
      </c>
      <c r="E83" s="75">
        <f>References!$C$6</f>
        <v>8.6666666666666661</v>
      </c>
      <c r="F83" s="74">
        <f t="shared" si="48"/>
        <v>104</v>
      </c>
      <c r="G83" s="129">
        <f>References!C41</f>
        <v>1419</v>
      </c>
      <c r="H83" s="129">
        <f t="shared" si="54"/>
        <v>147576</v>
      </c>
      <c r="I83" s="49">
        <f t="shared" si="37"/>
        <v>117443.58776945915</v>
      </c>
      <c r="J83" s="73">
        <f>(References!$D$57*I83)</f>
        <v>51.087960679715295</v>
      </c>
      <c r="K83" s="73">
        <f>J83/References!$H$60</f>
        <v>52.092034647546761</v>
      </c>
      <c r="L83" s="73">
        <f t="shared" si="27"/>
        <v>0.50088494853410348</v>
      </c>
      <c r="M83" s="73">
        <f>'Proposed Rates'!C129</f>
        <v>127.84</v>
      </c>
      <c r="N83" s="73">
        <f t="shared" si="66"/>
        <v>128.3408849485341</v>
      </c>
      <c r="O83" s="73">
        <f>'Proposed Rates'!E129</f>
        <v>128.34</v>
      </c>
      <c r="P83" s="73">
        <f t="shared" si="40"/>
        <v>13295.36</v>
      </c>
      <c r="Q83" s="78">
        <f t="shared" si="30"/>
        <v>13347.452034647546</v>
      </c>
      <c r="R83" s="213">
        <f t="shared" si="38"/>
        <v>52.092034647545006</v>
      </c>
      <c r="S83" s="208"/>
      <c r="T83" s="137">
        <f>'Consolidated Cust Cnt'!B167</f>
        <v>0</v>
      </c>
      <c r="U83" s="137">
        <f t="shared" si="46"/>
        <v>0</v>
      </c>
      <c r="V83" s="137"/>
      <c r="W83" s="137">
        <f>'Consolidated Cust Cnt'!C167</f>
        <v>12</v>
      </c>
      <c r="X83" s="137">
        <f t="shared" si="47"/>
        <v>52.092034647546761</v>
      </c>
      <c r="Y83" s="137"/>
      <c r="Z83" s="137">
        <f t="shared" si="53"/>
        <v>52.092034647546761</v>
      </c>
      <c r="AA83" s="137"/>
      <c r="AB83" s="137"/>
      <c r="AC83" s="332"/>
    </row>
    <row r="84" spans="1:29" s="66" customFormat="1">
      <c r="A84" s="436"/>
      <c r="B84" s="50">
        <v>43</v>
      </c>
      <c r="C84" s="118" t="s">
        <v>238</v>
      </c>
      <c r="D84" s="152">
        <f>'Consolidated Cust Cnt'!D168</f>
        <v>0</v>
      </c>
      <c r="E84" s="75">
        <f>References!$C$10</f>
        <v>1</v>
      </c>
      <c r="F84" s="74">
        <f t="shared" si="48"/>
        <v>0</v>
      </c>
      <c r="G84" s="129">
        <f>References!C41</f>
        <v>1419</v>
      </c>
      <c r="H84" s="129">
        <f t="shared" si="54"/>
        <v>0</v>
      </c>
      <c r="I84" s="49">
        <f t="shared" si="37"/>
        <v>0</v>
      </c>
      <c r="J84" s="73">
        <f>(References!$D$57*I84)</f>
        <v>0</v>
      </c>
      <c r="K84" s="73">
        <f>J84/References!$H$60</f>
        <v>0</v>
      </c>
      <c r="L84" s="73">
        <f>L83</f>
        <v>0.50088494853410348</v>
      </c>
      <c r="M84" s="73">
        <f>'Proposed Rates'!C134</f>
        <v>133.84</v>
      </c>
      <c r="N84" s="73">
        <f t="shared" si="66"/>
        <v>134.3408849485341</v>
      </c>
      <c r="O84" s="73">
        <f>'Proposed Rates'!E134</f>
        <v>134.34</v>
      </c>
      <c r="P84" s="73">
        <f t="shared" si="40"/>
        <v>0</v>
      </c>
      <c r="Q84" s="78"/>
      <c r="R84" s="213">
        <f t="shared" si="38"/>
        <v>0</v>
      </c>
      <c r="S84" s="208"/>
      <c r="T84" s="137">
        <f>'Consolidated Cust Cnt'!B168</f>
        <v>0</v>
      </c>
      <c r="U84" s="137">
        <f t="shared" si="46"/>
        <v>0</v>
      </c>
      <c r="V84" s="137"/>
      <c r="W84" s="137">
        <f>'Consolidated Cust Cnt'!C168</f>
        <v>0</v>
      </c>
      <c r="X84" s="137">
        <f t="shared" si="47"/>
        <v>0</v>
      </c>
      <c r="Y84" s="137"/>
      <c r="Z84" s="137">
        <f t="shared" si="53"/>
        <v>0</v>
      </c>
      <c r="AA84" s="137"/>
      <c r="AB84" s="137"/>
      <c r="AC84" s="332"/>
    </row>
    <row r="85" spans="1:29" s="66" customFormat="1">
      <c r="A85" s="436"/>
      <c r="B85" s="50">
        <v>39</v>
      </c>
      <c r="C85" s="121" t="s">
        <v>239</v>
      </c>
      <c r="D85" s="152">
        <f>'Consolidated Cust Cnt'!D174</f>
        <v>4885.7260744007044</v>
      </c>
      <c r="E85" s="75">
        <f>References!$C$7</f>
        <v>4.333333333333333</v>
      </c>
      <c r="F85" s="74">
        <f t="shared" si="48"/>
        <v>21171.479655736384</v>
      </c>
      <c r="G85" s="74">
        <f>References!$C$28</f>
        <v>175</v>
      </c>
      <c r="H85" s="74">
        <f t="shared" si="54"/>
        <v>3705008.9397538672</v>
      </c>
      <c r="I85" s="49">
        <f t="shared" si="37"/>
        <v>2948511.5642286963</v>
      </c>
      <c r="J85" s="73">
        <f>(References!$D$57*I85)</f>
        <v>1282.6025304394971</v>
      </c>
      <c r="K85" s="73">
        <f>J85/References!$H$60</f>
        <v>1307.8105793565956</v>
      </c>
      <c r="L85" s="73">
        <f t="shared" si="27"/>
        <v>6.1772280474607547E-2</v>
      </c>
      <c r="M85" s="73">
        <f>'Proposed Rates'!C91</f>
        <v>20.28</v>
      </c>
      <c r="N85" s="73">
        <f t="shared" si="66"/>
        <v>20.341772280474608</v>
      </c>
      <c r="O85" s="73">
        <f>'Proposed Rates'!$E$91</f>
        <v>20.34</v>
      </c>
      <c r="P85" s="73">
        <f t="shared" si="40"/>
        <v>429357.60741833388</v>
      </c>
      <c r="Q85" s="78">
        <f t="shared" si="30"/>
        <v>430665.4179976905</v>
      </c>
      <c r="R85" s="213">
        <f t="shared" si="38"/>
        <v>1307.810579356621</v>
      </c>
      <c r="S85" s="208"/>
      <c r="T85" s="137">
        <f>'Consolidated Cust Cnt'!B174</f>
        <v>3371.9789602550964</v>
      </c>
      <c r="U85" s="137">
        <f>$L85*T85*References!$C$7</f>
        <v>902.61093037853107</v>
      </c>
      <c r="V85" s="137"/>
      <c r="W85" s="137">
        <f>'Consolidated Cust Cnt'!C174</f>
        <v>1513.7471141456083</v>
      </c>
      <c r="X85" s="137">
        <f t="shared" si="47"/>
        <v>405.19964897806454</v>
      </c>
      <c r="Y85" s="137"/>
      <c r="Z85" s="137">
        <f t="shared" si="53"/>
        <v>1307.8105793565956</v>
      </c>
      <c r="AA85" s="137"/>
      <c r="AB85" s="137"/>
      <c r="AC85" s="332"/>
    </row>
    <row r="86" spans="1:29" s="66" customFormat="1">
      <c r="A86" s="436"/>
      <c r="B86" s="50" t="s">
        <v>259</v>
      </c>
      <c r="C86" s="121" t="s">
        <v>240</v>
      </c>
      <c r="D86" s="152">
        <f>'Consolidated Cust Cnt'!D175</f>
        <v>68</v>
      </c>
      <c r="E86" s="75">
        <f>References!$C$6</f>
        <v>8.6666666666666661</v>
      </c>
      <c r="F86" s="74">
        <f t="shared" si="48"/>
        <v>589.33333333333326</v>
      </c>
      <c r="G86" s="74">
        <f>References!$C$28</f>
        <v>175</v>
      </c>
      <c r="H86" s="74">
        <f t="shared" si="54"/>
        <v>103133.33333333331</v>
      </c>
      <c r="I86" s="49">
        <f t="shared" ref="I86:I102" si="67">$D$137*H86</f>
        <v>82075.328544548014</v>
      </c>
      <c r="J86" s="73">
        <f>(References!$D$57*I86)</f>
        <v>35.702767916878784</v>
      </c>
      <c r="K86" s="73">
        <f>J86/References!$H$60</f>
        <v>36.404463959702042</v>
      </c>
      <c r="L86" s="73">
        <f t="shared" si="27"/>
        <v>6.1772280474607547E-2</v>
      </c>
      <c r="M86" s="73">
        <f>'Proposed Rates'!C91</f>
        <v>20.28</v>
      </c>
      <c r="N86" s="73">
        <f t="shared" si="66"/>
        <v>20.341772280474608</v>
      </c>
      <c r="O86" s="73">
        <f>'Proposed Rates'!$E$91</f>
        <v>20.34</v>
      </c>
      <c r="P86" s="73">
        <f t="shared" si="40"/>
        <v>11951.679999999998</v>
      </c>
      <c r="Q86" s="78">
        <f t="shared" si="30"/>
        <v>11988.0844639597</v>
      </c>
      <c r="R86" s="213">
        <f t="shared" ref="R86:R102" si="68">Q86-P86</f>
        <v>36.404463959701388</v>
      </c>
      <c r="S86" s="208"/>
      <c r="T86" s="137">
        <f>'Consolidated Cust Cnt'!B175</f>
        <v>11</v>
      </c>
      <c r="U86" s="137">
        <f>$L86*T86*References!$D$7</f>
        <v>5.888957405245919</v>
      </c>
      <c r="V86" s="137"/>
      <c r="W86" s="137">
        <f>'Consolidated Cust Cnt'!C175</f>
        <v>57.000000000000007</v>
      </c>
      <c r="X86" s="137">
        <f t="shared" si="47"/>
        <v>30.515506554456131</v>
      </c>
      <c r="Y86" s="137"/>
      <c r="Z86" s="137">
        <f t="shared" si="53"/>
        <v>36.404463959702049</v>
      </c>
      <c r="AA86" s="137"/>
      <c r="AB86" s="137"/>
      <c r="AC86" s="332"/>
    </row>
    <row r="87" spans="1:29" s="66" customFormat="1">
      <c r="A87" s="436"/>
      <c r="B87" s="50" t="s">
        <v>259</v>
      </c>
      <c r="C87" s="121" t="s">
        <v>241</v>
      </c>
      <c r="D87" s="152">
        <f>'Consolidated Cust Cnt'!D176</f>
        <v>72</v>
      </c>
      <c r="E87" s="75">
        <f>References!$C$5</f>
        <v>13</v>
      </c>
      <c r="F87" s="74">
        <f t="shared" si="48"/>
        <v>936</v>
      </c>
      <c r="G87" s="74">
        <f>References!$C$28</f>
        <v>175</v>
      </c>
      <c r="H87" s="74">
        <f t="shared" si="54"/>
        <v>163800</v>
      </c>
      <c r="I87" s="49">
        <f t="shared" si="67"/>
        <v>130354.93357075275</v>
      </c>
      <c r="J87" s="73">
        <f>(References!$D$57*I87)</f>
        <v>56.704396103278079</v>
      </c>
      <c r="K87" s="73">
        <f>J87/References!$H$60</f>
        <v>57.818854524232663</v>
      </c>
      <c r="L87" s="73">
        <f t="shared" si="27"/>
        <v>6.1772280474607547E-2</v>
      </c>
      <c r="M87" s="73">
        <f>'Proposed Rates'!C91</f>
        <v>20.28</v>
      </c>
      <c r="N87" s="73">
        <f t="shared" si="66"/>
        <v>20.341772280474608</v>
      </c>
      <c r="O87" s="73">
        <f>'Proposed Rates'!$E$91</f>
        <v>20.34</v>
      </c>
      <c r="P87" s="73">
        <f t="shared" si="40"/>
        <v>18982.080000000002</v>
      </c>
      <c r="Q87" s="78">
        <f t="shared" si="30"/>
        <v>19039.898854524232</v>
      </c>
      <c r="R87" s="213">
        <f t="shared" si="68"/>
        <v>57.818854524230119</v>
      </c>
      <c r="S87" s="208"/>
      <c r="T87" s="137">
        <f>'Consolidated Cust Cnt'!B176</f>
        <v>0</v>
      </c>
      <c r="U87" s="137">
        <f>$L87*T87*References!$E$7</f>
        <v>0</v>
      </c>
      <c r="V87" s="137"/>
      <c r="W87" s="137">
        <f>'Consolidated Cust Cnt'!C176</f>
        <v>72</v>
      </c>
      <c r="X87" s="137">
        <f t="shared" si="47"/>
        <v>57.81885452423267</v>
      </c>
      <c r="Y87" s="137"/>
      <c r="Z87" s="137">
        <f t="shared" si="53"/>
        <v>57.81885452423267</v>
      </c>
      <c r="AA87" s="137"/>
      <c r="AB87" s="137"/>
      <c r="AC87" s="332"/>
    </row>
    <row r="88" spans="1:29" s="66" customFormat="1">
      <c r="A88" s="436"/>
      <c r="B88" s="50">
        <v>39</v>
      </c>
      <c r="C88" s="121" t="s">
        <v>242</v>
      </c>
      <c r="D88" s="152">
        <f>'Consolidated Cust Cnt'!D177</f>
        <v>858.78619906820734</v>
      </c>
      <c r="E88" s="75">
        <f>References!$C$7</f>
        <v>4.333333333333333</v>
      </c>
      <c r="F88" s="74">
        <f t="shared" si="48"/>
        <v>3721.4068626288981</v>
      </c>
      <c r="G88" s="74">
        <f>References!C29</f>
        <v>250</v>
      </c>
      <c r="H88" s="74">
        <f t="shared" si="54"/>
        <v>930351.71565722453</v>
      </c>
      <c r="I88" s="49">
        <f t="shared" si="67"/>
        <v>740390.33023158344</v>
      </c>
      <c r="J88" s="73">
        <f>(References!$D$57*I88)</f>
        <v>322.06979365074238</v>
      </c>
      <c r="K88" s="73">
        <f>J88/References!$H$60</f>
        <v>328.39969782634518</v>
      </c>
      <c r="L88" s="73">
        <f t="shared" si="27"/>
        <v>8.8246114963725072E-2</v>
      </c>
      <c r="M88" s="73">
        <f>'Proposed Rates'!C92</f>
        <v>28</v>
      </c>
      <c r="N88" s="73">
        <f t="shared" si="66"/>
        <v>28.088246114963724</v>
      </c>
      <c r="O88" s="73">
        <f>'Proposed Rates'!$E$92</f>
        <v>28.09</v>
      </c>
      <c r="P88" s="73">
        <f t="shared" si="40"/>
        <v>104199.39215360915</v>
      </c>
      <c r="Q88" s="78">
        <f t="shared" si="30"/>
        <v>104527.79185143548</v>
      </c>
      <c r="R88" s="213">
        <f t="shared" si="68"/>
        <v>328.39969782633125</v>
      </c>
      <c r="S88" s="208"/>
      <c r="T88" s="137">
        <f>'Consolidated Cust Cnt'!B177</f>
        <v>634.53619906820734</v>
      </c>
      <c r="U88" s="137">
        <f>$L88*T88*References!$C$7</f>
        <v>242.64653561034535</v>
      </c>
      <c r="V88" s="137"/>
      <c r="W88" s="137">
        <f>'Consolidated Cust Cnt'!C177</f>
        <v>224.25000000000003</v>
      </c>
      <c r="X88" s="137">
        <f t="shared" si="47"/>
        <v>85.753162215999836</v>
      </c>
      <c r="Y88" s="137"/>
      <c r="Z88" s="137">
        <f t="shared" si="53"/>
        <v>328.39969782634518</v>
      </c>
      <c r="AA88" s="137"/>
      <c r="AB88" s="137"/>
      <c r="AC88" s="332"/>
    </row>
    <row r="89" spans="1:29" s="66" customFormat="1">
      <c r="A89" s="436"/>
      <c r="B89" s="50" t="s">
        <v>259</v>
      </c>
      <c r="C89" s="121" t="s">
        <v>243</v>
      </c>
      <c r="D89" s="152">
        <f>'Consolidated Cust Cnt'!D178</f>
        <v>92.616332885662445</v>
      </c>
      <c r="E89" s="75">
        <f>References!$C$6</f>
        <v>8.6666666666666661</v>
      </c>
      <c r="F89" s="74">
        <f t="shared" si="48"/>
        <v>802.6748850090745</v>
      </c>
      <c r="G89" s="74">
        <f>References!C29</f>
        <v>250</v>
      </c>
      <c r="H89" s="74">
        <f t="shared" si="54"/>
        <v>200668.72125226862</v>
      </c>
      <c r="I89" s="49">
        <f t="shared" si="67"/>
        <v>159695.71323911709</v>
      </c>
      <c r="J89" s="73">
        <f>(References!$D$57*I89)</f>
        <v>69.467635259016703</v>
      </c>
      <c r="K89" s="73">
        <f>J89/References!$H$60</f>
        <v>70.832940181005583</v>
      </c>
      <c r="L89" s="73">
        <f t="shared" si="27"/>
        <v>8.8246114963725059E-2</v>
      </c>
      <c r="M89" s="73">
        <f>'Proposed Rates'!C92</f>
        <v>28</v>
      </c>
      <c r="N89" s="73">
        <f t="shared" si="66"/>
        <v>28.088246114963724</v>
      </c>
      <c r="O89" s="73">
        <f>'Proposed Rates'!$E$92</f>
        <v>28.09</v>
      </c>
      <c r="P89" s="73">
        <f t="shared" si="40"/>
        <v>22474.896780254086</v>
      </c>
      <c r="Q89" s="78">
        <f t="shared" si="30"/>
        <v>22545.729720435091</v>
      </c>
      <c r="R89" s="213">
        <f t="shared" si="68"/>
        <v>70.832940181004233</v>
      </c>
      <c r="S89" s="208"/>
      <c r="T89" s="137">
        <f>'Consolidated Cust Cnt'!B178</f>
        <v>44.616332885662445</v>
      </c>
      <c r="U89" s="137">
        <f>$L89*T89*References!$D$7</f>
        <v>34.122556356095956</v>
      </c>
      <c r="V89" s="137"/>
      <c r="W89" s="137">
        <f>'Consolidated Cust Cnt'!C178</f>
        <v>48</v>
      </c>
      <c r="X89" s="137">
        <f t="shared" si="47"/>
        <v>36.710383824909627</v>
      </c>
      <c r="Y89" s="137"/>
      <c r="Z89" s="137">
        <f t="shared" si="53"/>
        <v>70.832940181005583</v>
      </c>
      <c r="AA89" s="137"/>
      <c r="AB89" s="137"/>
      <c r="AC89" s="332"/>
    </row>
    <row r="90" spans="1:29" s="66" customFormat="1">
      <c r="A90" s="436"/>
      <c r="B90" s="50">
        <v>39</v>
      </c>
      <c r="C90" s="121" t="s">
        <v>244</v>
      </c>
      <c r="D90" s="152">
        <f>'Consolidated Cust Cnt'!D179</f>
        <v>5080.9149802082666</v>
      </c>
      <c r="E90" s="75">
        <f>References!$C$7</f>
        <v>4.333333333333333</v>
      </c>
      <c r="F90" s="74">
        <f t="shared" si="48"/>
        <v>22017.298247569153</v>
      </c>
      <c r="G90" s="74">
        <f>References!$C$30</f>
        <v>324</v>
      </c>
      <c r="H90" s="74">
        <f t="shared" si="54"/>
        <v>7133604.632212406</v>
      </c>
      <c r="I90" s="49">
        <f t="shared" si="67"/>
        <v>5677048.5833459236</v>
      </c>
      <c r="J90" s="73">
        <f>(References!$D$57*I90)</f>
        <v>2469.5161337555041</v>
      </c>
      <c r="K90" s="73">
        <f>J90/References!$H$60</f>
        <v>2518.0515779199104</v>
      </c>
      <c r="L90" s="73">
        <f t="shared" si="27"/>
        <v>0.11436696499298768</v>
      </c>
      <c r="M90" s="73">
        <f>'Proposed Rates'!C93</f>
        <v>34.85</v>
      </c>
      <c r="N90" s="73">
        <f t="shared" si="66"/>
        <v>34.96436696499299</v>
      </c>
      <c r="O90" s="73">
        <f>'Proposed Rates'!$E$93</f>
        <v>34.96</v>
      </c>
      <c r="P90" s="73">
        <f t="shared" si="40"/>
        <v>767302.84392778506</v>
      </c>
      <c r="Q90" s="78">
        <f t="shared" si="30"/>
        <v>769820.89550570492</v>
      </c>
      <c r="R90" s="213">
        <f t="shared" si="68"/>
        <v>2518.0515779198613</v>
      </c>
      <c r="S90" s="208"/>
      <c r="T90" s="137">
        <f>'Consolidated Cust Cnt'!B179</f>
        <v>3350.1823433880913</v>
      </c>
      <c r="U90" s="137">
        <f>$L90*T90*References!$C$7</f>
        <v>1660.317476074362</v>
      </c>
      <c r="V90" s="137"/>
      <c r="W90" s="137">
        <f>'Consolidated Cust Cnt'!C179</f>
        <v>1730.7326368201757</v>
      </c>
      <c r="X90" s="137">
        <f t="shared" si="47"/>
        <v>857.73410184554848</v>
      </c>
      <c r="Y90" s="137"/>
      <c r="Z90" s="137">
        <f t="shared" si="53"/>
        <v>2518.0515779199104</v>
      </c>
      <c r="AA90" s="137"/>
      <c r="AB90" s="137"/>
      <c r="AC90" s="332"/>
    </row>
    <row r="91" spans="1:29" s="66" customFormat="1">
      <c r="A91" s="436"/>
      <c r="B91" s="50" t="s">
        <v>259</v>
      </c>
      <c r="C91" s="121" t="s">
        <v>245</v>
      </c>
      <c r="D91" s="152">
        <f>'Consolidated Cust Cnt'!D180</f>
        <v>972.87513288273078</v>
      </c>
      <c r="E91" s="75">
        <f>References!$C$6</f>
        <v>8.6666666666666661</v>
      </c>
      <c r="F91" s="74">
        <f t="shared" si="48"/>
        <v>8431.5844849836667</v>
      </c>
      <c r="G91" s="74">
        <f>References!$C$30</f>
        <v>324</v>
      </c>
      <c r="H91" s="74">
        <f t="shared" si="54"/>
        <v>2731833.373134708</v>
      </c>
      <c r="I91" s="49">
        <f t="shared" si="67"/>
        <v>2174041.2569068396</v>
      </c>
      <c r="J91" s="73">
        <f>(References!$D$57*I91)</f>
        <v>945.70794675448565</v>
      </c>
      <c r="K91" s="73">
        <f>J91/References!$H$60</f>
        <v>964.29472762954515</v>
      </c>
      <c r="L91" s="73">
        <f t="shared" si="27"/>
        <v>0.11436696499298769</v>
      </c>
      <c r="M91" s="73">
        <f>'Proposed Rates'!C93</f>
        <v>34.85</v>
      </c>
      <c r="N91" s="73">
        <f t="shared" si="66"/>
        <v>34.96436696499299</v>
      </c>
      <c r="O91" s="73">
        <f>'Proposed Rates'!$E$93</f>
        <v>34.96</v>
      </c>
      <c r="P91" s="73">
        <f t="shared" si="40"/>
        <v>293840.7193016808</v>
      </c>
      <c r="Q91" s="78">
        <f t="shared" si="30"/>
        <v>294805.01402931038</v>
      </c>
      <c r="R91" s="213">
        <f t="shared" si="68"/>
        <v>964.29472762957448</v>
      </c>
      <c r="S91" s="208"/>
      <c r="T91" s="137">
        <f>'Consolidated Cust Cnt'!B180</f>
        <v>414.87509974820455</v>
      </c>
      <c r="U91" s="137">
        <f>$L91*T91*References!$D$7</f>
        <v>411.21605208116495</v>
      </c>
      <c r="V91" s="137"/>
      <c r="W91" s="137">
        <f>'Consolidated Cust Cnt'!C180</f>
        <v>558.00003313452623</v>
      </c>
      <c r="X91" s="137">
        <f t="shared" si="47"/>
        <v>553.07867554838015</v>
      </c>
      <c r="Y91" s="137"/>
      <c r="Z91" s="137">
        <f t="shared" si="53"/>
        <v>964.29472762954515</v>
      </c>
      <c r="AA91" s="137"/>
      <c r="AB91" s="137"/>
      <c r="AC91" s="332"/>
    </row>
    <row r="92" spans="1:29" s="66" customFormat="1">
      <c r="A92" s="436"/>
      <c r="B92" s="50" t="s">
        <v>259</v>
      </c>
      <c r="C92" s="121" t="s">
        <v>246</v>
      </c>
      <c r="D92" s="152">
        <f>'Consolidated Cust Cnt'!D181</f>
        <v>110.24987575125498</v>
      </c>
      <c r="E92" s="75">
        <f>References!$C$5</f>
        <v>13</v>
      </c>
      <c r="F92" s="74">
        <f t="shared" si="48"/>
        <v>1433.2483847663148</v>
      </c>
      <c r="G92" s="74">
        <f>References!$C$30</f>
        <v>324</v>
      </c>
      <c r="H92" s="74">
        <f t="shared" si="54"/>
        <v>464372.47666428599</v>
      </c>
      <c r="I92" s="49">
        <f t="shared" si="67"/>
        <v>369555.82019327796</v>
      </c>
      <c r="J92" s="73">
        <f>(References!$D$57*I92)</f>
        <v>160.7567817840777</v>
      </c>
      <c r="K92" s="73">
        <f>J92/References!$H$60</f>
        <v>163.91626784682526</v>
      </c>
      <c r="L92" s="73">
        <f t="shared" si="27"/>
        <v>0.11436696499298768</v>
      </c>
      <c r="M92" s="73">
        <f>'Proposed Rates'!C93</f>
        <v>34.85</v>
      </c>
      <c r="N92" s="73">
        <f t="shared" si="66"/>
        <v>34.96436696499299</v>
      </c>
      <c r="O92" s="73">
        <f>'Proposed Rates'!$E$93</f>
        <v>34.96</v>
      </c>
      <c r="P92" s="73">
        <f t="shared" si="40"/>
        <v>49948.706209106072</v>
      </c>
      <c r="Q92" s="78">
        <f t="shared" si="30"/>
        <v>50112.6224769529</v>
      </c>
      <c r="R92" s="213">
        <f t="shared" si="68"/>
        <v>163.9162678468274</v>
      </c>
      <c r="S92" s="208"/>
      <c r="T92" s="137">
        <f>'Consolidated Cust Cnt'!B181</f>
        <v>62.249875751254983</v>
      </c>
      <c r="U92" s="137">
        <f>$L92*T92*References!$E$7</f>
        <v>92.551281691200941</v>
      </c>
      <c r="V92" s="137"/>
      <c r="W92" s="137">
        <f>'Consolidated Cust Cnt'!C181</f>
        <v>47.999999999999993</v>
      </c>
      <c r="X92" s="137">
        <f t="shared" si="47"/>
        <v>71.364986155624308</v>
      </c>
      <c r="Y92" s="137"/>
      <c r="Z92" s="137">
        <f t="shared" si="53"/>
        <v>163.91626784682524</v>
      </c>
      <c r="AA92" s="137"/>
      <c r="AB92" s="137"/>
      <c r="AC92" s="332"/>
    </row>
    <row r="93" spans="1:29" s="66" customFormat="1">
      <c r="A93" s="436"/>
      <c r="B93" s="50" t="s">
        <v>259</v>
      </c>
      <c r="C93" s="121" t="s">
        <v>247</v>
      </c>
      <c r="D93" s="152">
        <f>'Consolidated Cust Cnt'!D182</f>
        <v>12.000000000000002</v>
      </c>
      <c r="E93" s="75">
        <f>References!C$4</f>
        <v>17.333333333333332</v>
      </c>
      <c r="F93" s="74">
        <f t="shared" si="48"/>
        <v>208.00000000000003</v>
      </c>
      <c r="G93" s="74">
        <f>References!$C$30</f>
        <v>324</v>
      </c>
      <c r="H93" s="74">
        <f t="shared" si="54"/>
        <v>67392.000000000015</v>
      </c>
      <c r="I93" s="49">
        <f t="shared" si="67"/>
        <v>53631.744097681149</v>
      </c>
      <c r="J93" s="73">
        <f>(References!$D$57*I93)</f>
        <v>23.32980868249156</v>
      </c>
      <c r="K93" s="73">
        <f>J93/References!$H$60</f>
        <v>23.788328718541447</v>
      </c>
      <c r="L93" s="73">
        <f t="shared" si="27"/>
        <v>0.11436696499298771</v>
      </c>
      <c r="M93" s="73">
        <f>'Proposed Rates'!C93</f>
        <v>34.85</v>
      </c>
      <c r="N93" s="73">
        <f t="shared" si="66"/>
        <v>34.96436696499299</v>
      </c>
      <c r="O93" s="73">
        <f>'Proposed Rates'!$E$93</f>
        <v>34.96</v>
      </c>
      <c r="P93" s="73">
        <f t="shared" si="40"/>
        <v>7248.8000000000011</v>
      </c>
      <c r="Q93" s="78">
        <f t="shared" si="30"/>
        <v>7272.5883287185434</v>
      </c>
      <c r="R93" s="213">
        <f t="shared" si="68"/>
        <v>23.788328718542289</v>
      </c>
      <c r="S93" s="208"/>
      <c r="T93" s="137">
        <f>'Consolidated Cust Cnt'!B182</f>
        <v>12.000000000000002</v>
      </c>
      <c r="U93" s="137">
        <f>$L93*T93*References!$F$7</f>
        <v>23.788328718541447</v>
      </c>
      <c r="V93" s="137"/>
      <c r="W93" s="137">
        <f>'Consolidated Cust Cnt'!C182</f>
        <v>0</v>
      </c>
      <c r="X93" s="137">
        <f t="shared" si="47"/>
        <v>0</v>
      </c>
      <c r="Y93" s="137"/>
      <c r="Z93" s="137">
        <f t="shared" si="53"/>
        <v>23.788328718541447</v>
      </c>
      <c r="AA93" s="137"/>
      <c r="AB93" s="137"/>
      <c r="AC93" s="332"/>
    </row>
    <row r="94" spans="1:29" s="66" customFormat="1">
      <c r="A94" s="436"/>
      <c r="B94" s="50" t="s">
        <v>259</v>
      </c>
      <c r="C94" s="121" t="s">
        <v>248</v>
      </c>
      <c r="D94" s="152">
        <f>'Consolidated Cust Cnt'!D183</f>
        <v>36</v>
      </c>
      <c r="E94" s="75">
        <f>References!C$3</f>
        <v>21.666666666666668</v>
      </c>
      <c r="F94" s="74">
        <f t="shared" si="48"/>
        <v>780</v>
      </c>
      <c r="G94" s="74">
        <f>References!$C$30</f>
        <v>324</v>
      </c>
      <c r="H94" s="74">
        <f t="shared" si="54"/>
        <v>252720</v>
      </c>
      <c r="I94" s="49">
        <f t="shared" si="67"/>
        <v>201119.04036630425</v>
      </c>
      <c r="J94" s="73">
        <f>(References!$D$57*I94)</f>
        <v>87.486782559343325</v>
      </c>
      <c r="K94" s="73">
        <f>J94/References!$H$60</f>
        <v>89.206232694530399</v>
      </c>
      <c r="L94" s="73">
        <f t="shared" si="27"/>
        <v>0.11436696499298769</v>
      </c>
      <c r="M94" s="73">
        <f>'Proposed Rates'!C93</f>
        <v>34.85</v>
      </c>
      <c r="N94" s="73">
        <f t="shared" si="66"/>
        <v>34.96436696499299</v>
      </c>
      <c r="O94" s="73">
        <f>'Proposed Rates'!$E$93</f>
        <v>34.96</v>
      </c>
      <c r="P94" s="73">
        <f t="shared" si="40"/>
        <v>27183</v>
      </c>
      <c r="Q94" s="78">
        <f t="shared" si="30"/>
        <v>27272.206232694534</v>
      </c>
      <c r="R94" s="213">
        <f t="shared" si="68"/>
        <v>89.206232694534265</v>
      </c>
      <c r="S94" s="208"/>
      <c r="T94" s="137">
        <f>'Consolidated Cust Cnt'!B183</f>
        <v>36</v>
      </c>
      <c r="U94" s="137">
        <f>$L94*T94*References!$G$7</f>
        <v>89.206232694530385</v>
      </c>
      <c r="V94" s="137"/>
      <c r="W94" s="137">
        <f>'Consolidated Cust Cnt'!C183</f>
        <v>0</v>
      </c>
      <c r="X94" s="137">
        <f t="shared" si="47"/>
        <v>0</v>
      </c>
      <c r="Y94" s="137"/>
      <c r="Z94" s="137">
        <f t="shared" si="53"/>
        <v>89.206232694530385</v>
      </c>
      <c r="AA94" s="137"/>
      <c r="AB94" s="137"/>
      <c r="AC94" s="332"/>
    </row>
    <row r="95" spans="1:29" s="66" customFormat="1">
      <c r="A95" s="436"/>
      <c r="B95" s="50">
        <v>39</v>
      </c>
      <c r="C95" s="121" t="s">
        <v>249</v>
      </c>
      <c r="D95" s="152">
        <f>'Consolidated Cust Cnt'!D185</f>
        <v>79.5435368043088</v>
      </c>
      <c r="E95" s="75">
        <f>References!$C$10</f>
        <v>1</v>
      </c>
      <c r="F95" s="74">
        <f t="shared" si="48"/>
        <v>79.5435368043088</v>
      </c>
      <c r="G95" s="74">
        <f>References!C28</f>
        <v>175</v>
      </c>
      <c r="H95" s="74">
        <f t="shared" si="54"/>
        <v>13920.118940754041</v>
      </c>
      <c r="I95" s="49">
        <f t="shared" si="67"/>
        <v>11077.876555671368</v>
      </c>
      <c r="J95" s="73">
        <f>(References!$D$57*I95)</f>
        <v>4.8188763017170988</v>
      </c>
      <c r="K95" s="73">
        <f>J95/References!$H$60</f>
        <v>4.9135856654180312</v>
      </c>
      <c r="L95" s="73">
        <f t="shared" si="27"/>
        <v>6.1772280474607547E-2</v>
      </c>
      <c r="M95" s="73">
        <f>'Proposed Rates'!C105</f>
        <v>22.28</v>
      </c>
      <c r="N95" s="73">
        <f t="shared" si="66"/>
        <v>22.341772280474608</v>
      </c>
      <c r="O95" s="73">
        <f>'Proposed Rates'!E105</f>
        <v>22.34</v>
      </c>
      <c r="P95" s="73">
        <f t="shared" si="40"/>
        <v>1772.2300000000002</v>
      </c>
      <c r="Q95" s="78">
        <f t="shared" si="30"/>
        <v>1777.1435856654182</v>
      </c>
      <c r="R95" s="213">
        <f t="shared" si="68"/>
        <v>4.9135856654179406</v>
      </c>
      <c r="S95" s="208"/>
      <c r="T95" s="137">
        <f>'Consolidated Cust Cnt'!B185</f>
        <v>32.5435368043088</v>
      </c>
      <c r="U95" s="137">
        <f>$L95*T95</f>
        <v>2.0102884831114767</v>
      </c>
      <c r="V95" s="137"/>
      <c r="W95" s="137">
        <f>'Consolidated Cust Cnt'!C185</f>
        <v>47</v>
      </c>
      <c r="X95" s="137">
        <f t="shared" si="47"/>
        <v>2.9032971823065545</v>
      </c>
      <c r="Y95" s="137"/>
      <c r="Z95" s="137">
        <f t="shared" si="53"/>
        <v>4.9135856654180312</v>
      </c>
      <c r="AA95" s="137"/>
      <c r="AB95" s="137"/>
      <c r="AC95" s="332"/>
    </row>
    <row r="96" spans="1:29" s="66" customFormat="1">
      <c r="A96" s="436"/>
      <c r="B96" s="50">
        <v>39</v>
      </c>
      <c r="C96" s="121" t="s">
        <v>250</v>
      </c>
      <c r="D96" s="152">
        <f>'Consolidated Cust Cnt'!D186</f>
        <v>14</v>
      </c>
      <c r="E96" s="75">
        <f>References!$C$10</f>
        <v>1</v>
      </c>
      <c r="F96" s="74">
        <f t="shared" si="48"/>
        <v>14</v>
      </c>
      <c r="G96" s="74">
        <f>References!C29</f>
        <v>250</v>
      </c>
      <c r="H96" s="74">
        <f t="shared" ref="H96" si="69">F96*G96</f>
        <v>3500</v>
      </c>
      <c r="I96" s="49">
        <f t="shared" si="67"/>
        <v>2785.3618284348881</v>
      </c>
      <c r="J96" s="73">
        <f>(References!$D$57*I96)</f>
        <v>1.2116323953691899</v>
      </c>
      <c r="K96" s="73">
        <f>J96/References!$H$60</f>
        <v>1.2354456094921511</v>
      </c>
      <c r="L96" s="73">
        <f t="shared" si="27"/>
        <v>8.8246114963725072E-2</v>
      </c>
      <c r="M96" s="73">
        <f>'Proposed Rates'!C106</f>
        <v>30</v>
      </c>
      <c r="N96" s="73">
        <f t="shared" ref="N96" si="70">L96+M96</f>
        <v>30.088246114963724</v>
      </c>
      <c r="O96" s="73">
        <f>'Proposed Rates'!E106</f>
        <v>30.09</v>
      </c>
      <c r="P96" s="73">
        <f t="shared" ref="P96" si="71">F96*M96</f>
        <v>420</v>
      </c>
      <c r="Q96" s="78">
        <f t="shared" si="30"/>
        <v>421.2354456094921</v>
      </c>
      <c r="R96" s="213">
        <f t="shared" si="68"/>
        <v>1.2354456094921034</v>
      </c>
      <c r="S96" s="208"/>
      <c r="T96" s="137">
        <f>'Consolidated Cust Cnt'!B186</f>
        <v>14</v>
      </c>
      <c r="U96" s="137">
        <f>$L96*T96</f>
        <v>1.2354456094921511</v>
      </c>
      <c r="V96" s="137"/>
      <c r="W96" s="137">
        <f>'Consolidated Cust Cnt'!C186</f>
        <v>0</v>
      </c>
      <c r="X96" s="137">
        <f t="shared" si="47"/>
        <v>0</v>
      </c>
      <c r="Y96" s="137"/>
      <c r="Z96" s="137">
        <f t="shared" ref="Z96" si="72">U96+X96</f>
        <v>1.2354456094921511</v>
      </c>
      <c r="AA96" s="137"/>
      <c r="AB96" s="137"/>
      <c r="AC96" s="332"/>
    </row>
    <row r="97" spans="1:32" s="66" customFormat="1">
      <c r="A97" s="436"/>
      <c r="B97" s="50">
        <v>39</v>
      </c>
      <c r="C97" s="121" t="s">
        <v>251</v>
      </c>
      <c r="D97" s="152">
        <f>'Consolidated Cust Cnt'!D187</f>
        <v>514.63663500678422</v>
      </c>
      <c r="E97" s="75">
        <f>References!$C$10</f>
        <v>1</v>
      </c>
      <c r="F97" s="74">
        <f t="shared" si="48"/>
        <v>514.63663500678422</v>
      </c>
      <c r="G97" s="74">
        <f>References!C30</f>
        <v>324</v>
      </c>
      <c r="H97" s="74">
        <f t="shared" si="54"/>
        <v>166742.26974219808</v>
      </c>
      <c r="I97" s="49">
        <f t="shared" si="67"/>
        <v>132696.44380757489</v>
      </c>
      <c r="J97" s="73">
        <f>(References!$D$57*I97)</f>
        <v>57.722953056295715</v>
      </c>
      <c r="K97" s="73">
        <f>J97/References!$H$60</f>
        <v>58.857430019929865</v>
      </c>
      <c r="L97" s="73">
        <f t="shared" si="27"/>
        <v>0.11436696499298767</v>
      </c>
      <c r="M97" s="73">
        <f>'Proposed Rates'!C107</f>
        <v>36.85</v>
      </c>
      <c r="N97" s="73">
        <f t="shared" si="66"/>
        <v>36.96436696499299</v>
      </c>
      <c r="O97" s="73">
        <f>'Proposed Rates'!E107</f>
        <v>36.96</v>
      </c>
      <c r="P97" s="73">
        <f t="shared" si="40"/>
        <v>18964.36</v>
      </c>
      <c r="Q97" s="78">
        <f t="shared" si="30"/>
        <v>19023.217430019929</v>
      </c>
      <c r="R97" s="213">
        <f t="shared" si="68"/>
        <v>58.85743001992887</v>
      </c>
      <c r="S97" s="208"/>
      <c r="T97" s="137">
        <f>'Consolidated Cust Cnt'!B187</f>
        <v>342.84531886024422</v>
      </c>
      <c r="U97" s="137">
        <f t="shared" ref="U97:U102" si="73">$L97*T97</f>
        <v>39.210178580099246</v>
      </c>
      <c r="V97" s="137"/>
      <c r="W97" s="137">
        <f>'Consolidated Cust Cnt'!C187</f>
        <v>171.79131614654005</v>
      </c>
      <c r="X97" s="137">
        <f t="shared" si="47"/>
        <v>19.647251439830622</v>
      </c>
      <c r="Y97" s="137"/>
      <c r="Z97" s="137">
        <f t="shared" si="53"/>
        <v>58.857430019929865</v>
      </c>
      <c r="AA97" s="137"/>
      <c r="AB97" s="137"/>
      <c r="AC97" s="332"/>
    </row>
    <row r="98" spans="1:32" s="66" customFormat="1">
      <c r="A98" s="436"/>
      <c r="B98" s="50">
        <v>39</v>
      </c>
      <c r="C98" s="121" t="s">
        <v>252</v>
      </c>
      <c r="D98" s="152">
        <f>'Consolidated Cust Cnt'!D190+'Consolidated Cust Cnt'!D189</f>
        <v>26.999999999999996</v>
      </c>
      <c r="E98" s="75">
        <f>References!$C$10</f>
        <v>1</v>
      </c>
      <c r="F98" s="74">
        <f t="shared" si="48"/>
        <v>26.999999999999996</v>
      </c>
      <c r="G98" s="74">
        <f>References!C28</f>
        <v>175</v>
      </c>
      <c r="H98" s="74">
        <f t="shared" si="54"/>
        <v>4724.9999999999991</v>
      </c>
      <c r="I98" s="49">
        <f t="shared" si="67"/>
        <v>3760.2384683870978</v>
      </c>
      <c r="J98" s="73">
        <f>(References!$D$57*I98)</f>
        <v>1.6357037337484057</v>
      </c>
      <c r="K98" s="73">
        <f>J98/References!$H$60</f>
        <v>1.6678515728144034</v>
      </c>
      <c r="L98" s="73">
        <f t="shared" ref="L98:L102" si="74">K98/F98</f>
        <v>6.177228047460754E-2</v>
      </c>
      <c r="M98" s="73">
        <f>'Proposed Rates'!C98</f>
        <v>22.28</v>
      </c>
      <c r="N98" s="73">
        <f t="shared" si="66"/>
        <v>22.341772280474608</v>
      </c>
      <c r="O98" s="73">
        <f>'Proposed Rates'!E98</f>
        <v>22.34</v>
      </c>
      <c r="P98" s="73">
        <f t="shared" si="40"/>
        <v>601.55999999999995</v>
      </c>
      <c r="Q98" s="78">
        <f t="shared" si="30"/>
        <v>603.2278515728143</v>
      </c>
      <c r="R98" s="213">
        <f t="shared" si="68"/>
        <v>1.6678515728143566</v>
      </c>
      <c r="S98" s="208"/>
      <c r="T98" s="137">
        <f>'Consolidated Cust Cnt'!B189+'Consolidated Cust Cnt'!B190</f>
        <v>19.999999999999996</v>
      </c>
      <c r="U98" s="137">
        <f t="shared" si="73"/>
        <v>1.2354456094921507</v>
      </c>
      <c r="V98" s="137"/>
      <c r="W98" s="137">
        <f>'Consolidated Cust Cnt'!C189+'Consolidated Cust Cnt'!C190</f>
        <v>7</v>
      </c>
      <c r="X98" s="137">
        <f t="shared" si="47"/>
        <v>0.43240596332225278</v>
      </c>
      <c r="Y98" s="137"/>
      <c r="Z98" s="137">
        <f t="shared" si="53"/>
        <v>1.6678515728144034</v>
      </c>
      <c r="AA98" s="137"/>
      <c r="AB98" s="137"/>
      <c r="AC98" s="332"/>
    </row>
    <row r="99" spans="1:32" s="66" customFormat="1">
      <c r="A99" s="436"/>
      <c r="B99" s="50">
        <v>39</v>
      </c>
      <c r="C99" s="121" t="s">
        <v>253</v>
      </c>
      <c r="D99" s="152">
        <f>'Consolidated Cust Cnt'!D191</f>
        <v>4</v>
      </c>
      <c r="E99" s="75">
        <f>References!$C$10</f>
        <v>1</v>
      </c>
      <c r="F99" s="74">
        <f t="shared" si="48"/>
        <v>4</v>
      </c>
      <c r="G99" s="74">
        <f>References!C29</f>
        <v>250</v>
      </c>
      <c r="H99" s="74">
        <f t="shared" si="54"/>
        <v>1000</v>
      </c>
      <c r="I99" s="49">
        <f t="shared" si="67"/>
        <v>795.8176652671109</v>
      </c>
      <c r="J99" s="73">
        <f>(References!$D$57*I99)</f>
        <v>0.34618068439119709</v>
      </c>
      <c r="K99" s="73">
        <f>J99/References!$H$60</f>
        <v>0.35298445985490029</v>
      </c>
      <c r="L99" s="73">
        <f t="shared" si="74"/>
        <v>8.8246114963725072E-2</v>
      </c>
      <c r="M99" s="73">
        <f>'Proposed Rates'!C99</f>
        <v>30</v>
      </c>
      <c r="N99" s="73">
        <f t="shared" si="66"/>
        <v>30.088246114963724</v>
      </c>
      <c r="O99" s="73">
        <f>'Proposed Rates'!E99</f>
        <v>30.09</v>
      </c>
      <c r="P99" s="73">
        <f t="shared" si="40"/>
        <v>120</v>
      </c>
      <c r="Q99" s="78">
        <f t="shared" si="30"/>
        <v>120.35298445985489</v>
      </c>
      <c r="R99" s="213">
        <f t="shared" si="68"/>
        <v>0.35298445985489479</v>
      </c>
      <c r="S99" s="208"/>
      <c r="T99" s="137">
        <f>'Consolidated Cust Cnt'!B191</f>
        <v>4</v>
      </c>
      <c r="U99" s="137">
        <f t="shared" si="73"/>
        <v>0.35298445985490029</v>
      </c>
      <c r="V99" s="137"/>
      <c r="W99" s="137">
        <f>'Consolidated Cust Cnt'!C191</f>
        <v>0</v>
      </c>
      <c r="X99" s="137">
        <f t="shared" si="47"/>
        <v>0</v>
      </c>
      <c r="Y99" s="137"/>
      <c r="Z99" s="137">
        <f t="shared" si="53"/>
        <v>0.35298445985490029</v>
      </c>
      <c r="AA99" s="137"/>
      <c r="AC99" s="332"/>
    </row>
    <row r="100" spans="1:32" s="66" customFormat="1">
      <c r="A100" s="436"/>
      <c r="B100" s="50">
        <v>39</v>
      </c>
      <c r="C100" s="121" t="s">
        <v>254</v>
      </c>
      <c r="D100" s="152">
        <f>'Consolidated Cust Cnt'!D192+'Consolidated Cust Cnt'!D193</f>
        <v>83</v>
      </c>
      <c r="E100" s="75">
        <f>References!$C$10</f>
        <v>1</v>
      </c>
      <c r="F100" s="74">
        <f t="shared" si="48"/>
        <v>83</v>
      </c>
      <c r="G100" s="74">
        <f>References!C30</f>
        <v>324</v>
      </c>
      <c r="H100" s="74">
        <f t="shared" si="54"/>
        <v>26892</v>
      </c>
      <c r="I100" s="49">
        <f t="shared" si="67"/>
        <v>21401.128654363143</v>
      </c>
      <c r="J100" s="73">
        <f>(References!$D$57*I100)</f>
        <v>9.3094909646480701</v>
      </c>
      <c r="K100" s="73">
        <f>J100/References!$H$60</f>
        <v>9.4924580944179766</v>
      </c>
      <c r="L100" s="73">
        <f t="shared" si="74"/>
        <v>0.11436696499298767</v>
      </c>
      <c r="M100" s="73">
        <f>'Proposed Rates'!C100</f>
        <v>36.85</v>
      </c>
      <c r="N100" s="73">
        <f t="shared" si="66"/>
        <v>36.96436696499299</v>
      </c>
      <c r="O100" s="73">
        <f>'Proposed Rates'!E100</f>
        <v>36.96</v>
      </c>
      <c r="P100" s="73">
        <f t="shared" si="40"/>
        <v>3058.55</v>
      </c>
      <c r="Q100" s="78">
        <f t="shared" si="30"/>
        <v>3068.0424580944182</v>
      </c>
      <c r="R100" s="213">
        <f t="shared" si="68"/>
        <v>9.4924580944179979</v>
      </c>
      <c r="S100" s="208"/>
      <c r="T100" s="137">
        <f>'Consolidated Cust Cnt'!B192+'Consolidated Cust Cnt'!B193</f>
        <v>51</v>
      </c>
      <c r="U100" s="137">
        <f t="shared" si="73"/>
        <v>5.8327152146423709</v>
      </c>
      <c r="V100" s="137"/>
      <c r="W100" s="137">
        <f>'Consolidated Cust Cnt'!C192+'Consolidated Cust Cnt'!C193</f>
        <v>31.999999999999996</v>
      </c>
      <c r="X100" s="137">
        <f t="shared" si="47"/>
        <v>3.6597428797756049</v>
      </c>
      <c r="Y100" s="137"/>
      <c r="Z100" s="137">
        <f t="shared" si="53"/>
        <v>9.4924580944179766</v>
      </c>
      <c r="AA100" s="137"/>
      <c r="AC100" s="332"/>
    </row>
    <row r="101" spans="1:32" s="66" customFormat="1">
      <c r="A101" s="436"/>
      <c r="B101" s="50">
        <v>39</v>
      </c>
      <c r="C101" s="121" t="s">
        <v>255</v>
      </c>
      <c r="D101" s="152">
        <f>'Consolidated Cust Cnt'!D194</f>
        <v>41.979976268169686</v>
      </c>
      <c r="E101" s="75">
        <f>References!$C$10</f>
        <v>1</v>
      </c>
      <c r="F101" s="74">
        <f t="shared" si="48"/>
        <v>41.979976268169686</v>
      </c>
      <c r="G101" s="74">
        <f>References!C32</f>
        <v>613</v>
      </c>
      <c r="H101" s="74">
        <f t="shared" si="54"/>
        <v>25733.725452388018</v>
      </c>
      <c r="I101" s="49">
        <f t="shared" si="67"/>
        <v>20479.353308144258</v>
      </c>
      <c r="J101" s="73">
        <f>(References!$D$57*I101)</f>
        <v>8.908518689042852</v>
      </c>
      <c r="K101" s="73">
        <f>J101/References!$H$60</f>
        <v>9.0836051788654846</v>
      </c>
      <c r="L101" s="73">
        <f t="shared" si="74"/>
        <v>0.21637947389105389</v>
      </c>
      <c r="M101" s="73">
        <f>'Proposed Rates'!C101</f>
        <v>67.42</v>
      </c>
      <c r="N101" s="73">
        <f t="shared" si="66"/>
        <v>67.636379473891054</v>
      </c>
      <c r="O101" s="73">
        <f>'Proposed Rates'!E101</f>
        <v>67.64</v>
      </c>
      <c r="P101" s="73">
        <f t="shared" si="40"/>
        <v>2830.2900000000004</v>
      </c>
      <c r="Q101" s="78">
        <f t="shared" ref="Q101:Q102" si="75">F101*N101</f>
        <v>2839.3736051788655</v>
      </c>
      <c r="R101" s="213">
        <f t="shared" si="68"/>
        <v>9.0836051788651275</v>
      </c>
      <c r="S101" s="208"/>
      <c r="T101" s="137">
        <f>'Consolidated Cust Cnt'!B194</f>
        <v>41.979976268169686</v>
      </c>
      <c r="U101" s="137">
        <f t="shared" si="73"/>
        <v>9.0836051788654846</v>
      </c>
      <c r="V101" s="137"/>
      <c r="W101" s="137">
        <f>'Consolidated Cust Cnt'!C194</f>
        <v>0</v>
      </c>
      <c r="X101" s="137">
        <f t="shared" si="47"/>
        <v>0</v>
      </c>
      <c r="Y101" s="137"/>
      <c r="Z101" s="137">
        <f t="shared" si="53"/>
        <v>9.0836051788654846</v>
      </c>
      <c r="AA101" s="137"/>
      <c r="AC101" s="137"/>
      <c r="AE101" s="335"/>
      <c r="AF101" s="335"/>
    </row>
    <row r="102" spans="1:32" s="66" customFormat="1">
      <c r="A102" s="436"/>
      <c r="B102" s="50">
        <v>39</v>
      </c>
      <c r="C102" s="121" t="s">
        <v>256</v>
      </c>
      <c r="D102" s="152">
        <f>'Consolidated Cust Cnt'!D195</f>
        <v>118.09289499297068</v>
      </c>
      <c r="E102" s="75">
        <f>References!$C$10</f>
        <v>1</v>
      </c>
      <c r="F102" s="74">
        <f t="shared" si="48"/>
        <v>118.09289499297068</v>
      </c>
      <c r="G102" s="74">
        <f>References!C33</f>
        <v>840</v>
      </c>
      <c r="H102" s="74">
        <f t="shared" ref="H102" si="76">F102*G102</f>
        <v>99198.031794095368</v>
      </c>
      <c r="I102" s="49">
        <f t="shared" si="67"/>
        <v>78943.546061469606</v>
      </c>
      <c r="J102" s="73">
        <f>(References!$D$57*I102)</f>
        <v>34.340442536739658</v>
      </c>
      <c r="K102" s="73">
        <f>J102/References!$H$60</f>
        <v>35.015363671507977</v>
      </c>
      <c r="L102" s="73">
        <f t="shared" si="74"/>
        <v>0.29650694627811619</v>
      </c>
      <c r="M102" s="73">
        <f>'Proposed Rates'!C102</f>
        <v>92.47</v>
      </c>
      <c r="N102" s="73">
        <f t="shared" ref="N102" si="77">L102+M102</f>
        <v>92.766506946278113</v>
      </c>
      <c r="O102" s="73">
        <f>'Proposed Rates'!E102</f>
        <v>92.77</v>
      </c>
      <c r="P102" s="73">
        <f t="shared" ref="P102" si="78">F102*M102</f>
        <v>10920.05</v>
      </c>
      <c r="Q102" s="78">
        <f t="shared" si="75"/>
        <v>10955.065363671507</v>
      </c>
      <c r="R102" s="213">
        <f t="shared" si="68"/>
        <v>35.015363671507657</v>
      </c>
      <c r="S102" s="208"/>
      <c r="T102" s="137">
        <f>'Consolidated Cust Cnt'!B195</f>
        <v>118.09289499297068</v>
      </c>
      <c r="U102" s="137">
        <f t="shared" si="73"/>
        <v>35.015363671507977</v>
      </c>
      <c r="V102" s="137"/>
      <c r="W102" s="137">
        <f>'Consolidated Cust Cnt'!C195</f>
        <v>0</v>
      </c>
      <c r="X102" s="137">
        <f t="shared" si="47"/>
        <v>0</v>
      </c>
      <c r="Y102" s="137"/>
      <c r="Z102" s="137">
        <f t="shared" si="53"/>
        <v>35.015363671507977</v>
      </c>
      <c r="AA102" s="137"/>
      <c r="AC102" s="137"/>
      <c r="AE102" s="335"/>
      <c r="AF102" s="335"/>
    </row>
    <row r="103" spans="1:32" s="66" customFormat="1">
      <c r="A103" s="436"/>
      <c r="B103" s="50"/>
      <c r="C103" s="121"/>
      <c r="D103" s="152"/>
      <c r="E103" s="75"/>
      <c r="F103" s="117"/>
      <c r="G103" s="129"/>
      <c r="H103" s="129"/>
      <c r="I103" s="49"/>
      <c r="J103" s="73"/>
      <c r="K103" s="73"/>
      <c r="L103" s="73"/>
      <c r="M103" s="73"/>
      <c r="N103" s="73"/>
      <c r="O103" s="73"/>
      <c r="P103" s="73"/>
      <c r="Q103" s="78"/>
      <c r="R103" s="213"/>
      <c r="S103" s="208"/>
      <c r="T103" s="137"/>
      <c r="U103" s="137"/>
      <c r="V103" s="137"/>
      <c r="W103" s="137"/>
      <c r="X103" s="137"/>
      <c r="Y103" s="137"/>
      <c r="Z103" s="137"/>
      <c r="AA103" s="137"/>
      <c r="AC103" s="137"/>
      <c r="AE103" s="335"/>
    </row>
    <row r="104" spans="1:32" s="66" customFormat="1">
      <c r="A104" s="53"/>
      <c r="B104" s="51"/>
      <c r="C104" s="55" t="s">
        <v>17</v>
      </c>
      <c r="D104" s="56">
        <f>SUM(D54:D102)</f>
        <v>29665.408901016923</v>
      </c>
      <c r="E104" s="57"/>
      <c r="F104" s="58">
        <f>SUM(F54:F102)</f>
        <v>120461.9811736437</v>
      </c>
      <c r="G104" s="59"/>
      <c r="H104" s="58">
        <f>SUM(H54:H102)</f>
        <v>44692119.942983441</v>
      </c>
      <c r="I104" s="58">
        <f>SUM(I54:I102)</f>
        <v>35566778.548862763</v>
      </c>
      <c r="J104" s="58"/>
      <c r="K104" s="81"/>
      <c r="L104" s="81"/>
      <c r="M104" s="81"/>
      <c r="N104" s="81"/>
      <c r="O104" s="81"/>
      <c r="P104" s="81">
        <f>SUM(P54:P102)</f>
        <v>4854317.1467133854</v>
      </c>
      <c r="Q104" s="81">
        <f>SUM(Q54:Q102)</f>
        <v>4870091.3652707748</v>
      </c>
      <c r="R104" s="319">
        <f>SUM(R54:R102)</f>
        <v>15774.218557389497</v>
      </c>
      <c r="S104" s="208"/>
      <c r="T104" s="137"/>
      <c r="U104" s="320">
        <f>SUM(U54:U102)</f>
        <v>10863.011302041054</v>
      </c>
      <c r="V104" s="139"/>
      <c r="W104" s="139"/>
      <c r="X104" s="320">
        <f>SUM(X54:X102)</f>
        <v>4912.6125158033747</v>
      </c>
      <c r="Y104" s="139"/>
      <c r="Z104" s="320">
        <f>SUM(Z54:Z102)</f>
        <v>15775.623817844426</v>
      </c>
      <c r="AA104" s="139"/>
      <c r="AC104" s="332"/>
    </row>
    <row r="105" spans="1:32">
      <c r="C105" s="70" t="s">
        <v>3</v>
      </c>
      <c r="D105" s="153">
        <f>D19+D53+D104</f>
        <v>882825.60679606127</v>
      </c>
      <c r="E105" s="71"/>
      <c r="F105" s="102">
        <f>F19+F53+F104</f>
        <v>3024800.0828138771</v>
      </c>
      <c r="G105" s="71"/>
      <c r="H105" s="71">
        <f>H19+H53+H104</f>
        <v>163933936.05537242</v>
      </c>
      <c r="I105" s="71">
        <f>I19+I53+I104</f>
        <v>130461522.24963433</v>
      </c>
      <c r="J105" s="73">
        <f>SUM(J3:J102)</f>
        <v>56750.762178591591</v>
      </c>
      <c r="K105" s="73">
        <f>SUM(K3:K102)</f>
        <v>57866.131870393416</v>
      </c>
      <c r="L105" s="83"/>
      <c r="M105" s="83"/>
      <c r="N105" s="83"/>
      <c r="O105" s="83"/>
      <c r="P105" s="216">
        <f>P19+P53+P104</f>
        <v>18792172.308075927</v>
      </c>
      <c r="Q105" s="216">
        <f>Q19+Q53+Q104</f>
        <v>18850037.034685865</v>
      </c>
      <c r="R105" s="141">
        <f>R19+R53+R104</f>
        <v>57864.726609938298</v>
      </c>
      <c r="T105" s="138"/>
      <c r="U105" s="126">
        <f>U19+U53+U104</f>
        <v>38881.176538935666</v>
      </c>
      <c r="V105" s="126"/>
      <c r="W105" s="126"/>
      <c r="X105" s="126">
        <f>X19+X53+X104</f>
        <v>18984.955331457721</v>
      </c>
      <c r="Y105" s="126"/>
      <c r="Z105" s="126">
        <f>Z19+Z53+Z104</f>
        <v>57866.131870393372</v>
      </c>
      <c r="AA105" s="126"/>
      <c r="AC105" s="332"/>
    </row>
    <row r="106" spans="1:32">
      <c r="D106" s="143"/>
      <c r="H106" s="138"/>
      <c r="J106" s="62">
        <f>References!D57*I105</f>
        <v>56750.762178591562</v>
      </c>
      <c r="K106" s="44">
        <f>J106/References!H60</f>
        <v>57866.131870393394</v>
      </c>
      <c r="T106" s="138"/>
      <c r="U106" s="138"/>
      <c r="V106" s="138"/>
      <c r="W106" s="138"/>
      <c r="X106" s="138"/>
      <c r="Y106" s="138"/>
      <c r="AC106" s="335"/>
    </row>
    <row r="107" spans="1:32">
      <c r="D107" s="143"/>
      <c r="J107" s="62"/>
      <c r="Q107" s="44"/>
      <c r="T107" s="138"/>
      <c r="U107" s="138"/>
      <c r="V107" s="138"/>
      <c r="W107" s="138"/>
      <c r="X107" s="138"/>
      <c r="Y107" s="138"/>
      <c r="AC107" s="332"/>
    </row>
    <row r="108" spans="1:32">
      <c r="A108" s="84"/>
      <c r="B108" s="85"/>
      <c r="C108" s="88" t="s">
        <v>90</v>
      </c>
      <c r="D108" s="154"/>
      <c r="E108" s="84"/>
      <c r="F108" s="84"/>
      <c r="G108" s="84"/>
      <c r="H108" s="84"/>
      <c r="I108" s="86"/>
      <c r="J108" s="87"/>
      <c r="K108" s="84"/>
      <c r="L108" s="84"/>
      <c r="M108" s="84"/>
      <c r="N108" s="84"/>
      <c r="O108" s="84"/>
      <c r="P108" s="66"/>
      <c r="Q108" s="66"/>
      <c r="R108" s="137"/>
      <c r="T108" s="143" t="s">
        <v>269</v>
      </c>
      <c r="U108" s="138">
        <f>U19</f>
        <v>24229.904112812521</v>
      </c>
      <c r="V108" s="337"/>
      <c r="W108" s="138"/>
      <c r="X108" s="138">
        <f>X19</f>
        <v>12893.463125964276</v>
      </c>
      <c r="Y108" s="138"/>
      <c r="Z108" s="335"/>
      <c r="AA108" s="335"/>
      <c r="AC108" s="332"/>
    </row>
    <row r="109" spans="1:32" s="66" customFormat="1">
      <c r="A109" s="436" t="s">
        <v>50</v>
      </c>
      <c r="B109" s="50"/>
      <c r="C109" s="121" t="s">
        <v>179</v>
      </c>
      <c r="D109" s="155">
        <v>0</v>
      </c>
      <c r="E109" s="75">
        <f>References!$C$7</f>
        <v>4.333333333333333</v>
      </c>
      <c r="F109" s="74">
        <f>E109*12</f>
        <v>52</v>
      </c>
      <c r="G109" s="74">
        <f>References!$C$18</f>
        <v>117</v>
      </c>
      <c r="H109" s="74">
        <f t="shared" ref="H109:H128" si="79">F109*G109</f>
        <v>6084</v>
      </c>
      <c r="I109" s="49">
        <f t="shared" ref="I109:I123" si="80">$D$137*H109</f>
        <v>4841.7546754851028</v>
      </c>
      <c r="J109" s="73">
        <f>(References!$D$57*I109)</f>
        <v>2.1061632838360431</v>
      </c>
      <c r="K109" s="73">
        <f>J109/References!$H$60</f>
        <v>2.1475574537572135</v>
      </c>
      <c r="L109" s="73">
        <f t="shared" ref="L109:L114" si="81">K109/F109*E109</f>
        <v>0.17896312114643445</v>
      </c>
      <c r="M109" s="73">
        <f>'Proposed Rates'!C22</f>
        <v>59.12</v>
      </c>
      <c r="N109" s="73">
        <f t="shared" ref="N109:N128" si="82">L109+M109</f>
        <v>59.298963121146429</v>
      </c>
      <c r="O109" s="73">
        <f>'Proposed Rates'!E22</f>
        <v>59.3</v>
      </c>
      <c r="P109" s="73"/>
      <c r="Q109" s="73"/>
      <c r="R109" s="142"/>
      <c r="S109" s="208"/>
      <c r="T109" s="144" t="s">
        <v>270</v>
      </c>
      <c r="U109" s="137">
        <f>U53</f>
        <v>3788.2611240820925</v>
      </c>
      <c r="V109" s="335"/>
      <c r="W109" s="137"/>
      <c r="X109" s="137">
        <f>X53</f>
        <v>1178.8796896900692</v>
      </c>
      <c r="Y109" s="137"/>
      <c r="Z109" s="335"/>
      <c r="AA109" s="335"/>
      <c r="AC109" s="332"/>
    </row>
    <row r="110" spans="1:32" s="66" customFormat="1">
      <c r="A110" s="436"/>
      <c r="B110" s="50"/>
      <c r="C110" s="121" t="s">
        <v>181</v>
      </c>
      <c r="D110" s="155">
        <v>0</v>
      </c>
      <c r="E110" s="75">
        <f>References!$C$7</f>
        <v>4.333333333333333</v>
      </c>
      <c r="F110" s="74">
        <f t="shared" ref="F110:F128" si="83">E110*12</f>
        <v>52</v>
      </c>
      <c r="G110" s="74">
        <f>References!$C$19</f>
        <v>137</v>
      </c>
      <c r="H110" s="74">
        <f t="shared" si="79"/>
        <v>7124</v>
      </c>
      <c r="I110" s="49">
        <f t="shared" si="80"/>
        <v>5669.4050473628977</v>
      </c>
      <c r="J110" s="73">
        <f>(References!$D$57*I110)</f>
        <v>2.4661911956028879</v>
      </c>
      <c r="K110" s="73">
        <f>J110/References!$H$60</f>
        <v>2.5146612920063096</v>
      </c>
      <c r="L110" s="73">
        <f t="shared" si="81"/>
        <v>0.20955510766719246</v>
      </c>
      <c r="M110" s="73">
        <f>'Proposed Rates'!C24</f>
        <v>65.66</v>
      </c>
      <c r="N110" s="73">
        <f t="shared" si="82"/>
        <v>65.869555107667196</v>
      </c>
      <c r="O110" s="73">
        <f>'Proposed Rates'!E24</f>
        <v>65.86999999999999</v>
      </c>
      <c r="P110" s="73"/>
      <c r="Q110" s="73"/>
      <c r="R110" s="142"/>
      <c r="S110" s="208"/>
      <c r="T110" s="144" t="s">
        <v>271</v>
      </c>
      <c r="U110" s="137">
        <f>U104</f>
        <v>10863.011302041054</v>
      </c>
      <c r="V110" s="335"/>
      <c r="W110" s="137"/>
      <c r="X110" s="137">
        <f>X104</f>
        <v>4912.6125158033747</v>
      </c>
      <c r="Y110" s="137"/>
      <c r="Z110" s="335"/>
      <c r="AA110" s="335"/>
      <c r="AC110" s="332"/>
    </row>
    <row r="111" spans="1:32" s="66" customFormat="1">
      <c r="A111" s="164"/>
      <c r="B111" s="54"/>
      <c r="C111" s="132" t="s">
        <v>179</v>
      </c>
      <c r="D111" s="171">
        <v>0</v>
      </c>
      <c r="E111" s="77">
        <f>References!$C$7</f>
        <v>4.333333333333333</v>
      </c>
      <c r="F111" s="76">
        <f>E111*12</f>
        <v>52</v>
      </c>
      <c r="G111" s="76">
        <f>References!$C$18</f>
        <v>117</v>
      </c>
      <c r="H111" s="76">
        <f t="shared" ref="H111:H114" si="84">F111*G111</f>
        <v>6084</v>
      </c>
      <c r="I111" s="131">
        <f t="shared" si="80"/>
        <v>4841.7546754851028</v>
      </c>
      <c r="J111" s="79">
        <f>(References!$D$57*I111)</f>
        <v>2.1061632838360431</v>
      </c>
      <c r="K111" s="79">
        <f>J111/References!$H$60</f>
        <v>2.1475574537572135</v>
      </c>
      <c r="L111" s="79">
        <f t="shared" si="81"/>
        <v>0.17896312114643445</v>
      </c>
      <c r="M111" s="79">
        <f>'Proposed Rates'!C41</f>
        <v>70.44</v>
      </c>
      <c r="N111" s="79">
        <f t="shared" ref="N111:N114" si="85">L111+M111</f>
        <v>70.618963121146436</v>
      </c>
      <c r="O111" s="79">
        <f>'Proposed Rates'!E41</f>
        <v>70.62</v>
      </c>
      <c r="P111" s="73"/>
      <c r="Q111" s="73"/>
      <c r="R111" s="142"/>
      <c r="S111" s="208"/>
      <c r="T111" s="137"/>
      <c r="U111" s="139">
        <f>SUM(U108:U110)</f>
        <v>38881.176538935666</v>
      </c>
      <c r="V111" s="139"/>
      <c r="W111" s="139"/>
      <c r="X111" s="139">
        <f>SUM(X108:X110)</f>
        <v>18984.955331457721</v>
      </c>
      <c r="Y111" s="137"/>
      <c r="Z111" s="139">
        <f>SUM(U111:X111)</f>
        <v>57866.131870393387</v>
      </c>
      <c r="AA111" s="335"/>
      <c r="AC111" s="332"/>
    </row>
    <row r="112" spans="1:32" s="66" customFormat="1">
      <c r="A112" s="163"/>
      <c r="B112" s="50"/>
      <c r="C112" s="121" t="s">
        <v>275</v>
      </c>
      <c r="D112" s="169">
        <v>0</v>
      </c>
      <c r="E112" s="75">
        <f>References!$C$7</f>
        <v>4.333333333333333</v>
      </c>
      <c r="F112" s="74">
        <f t="shared" ref="F112:F114" si="86">E112*12</f>
        <v>52</v>
      </c>
      <c r="G112" s="74">
        <f>G111</f>
        <v>117</v>
      </c>
      <c r="H112" s="74">
        <f t="shared" si="84"/>
        <v>6084</v>
      </c>
      <c r="I112" s="49">
        <f t="shared" si="80"/>
        <v>4841.7546754851028</v>
      </c>
      <c r="J112" s="73">
        <f>(References!$D$57*I112)</f>
        <v>2.1061632838360431</v>
      </c>
      <c r="K112" s="73">
        <f>J112/References!$H$60</f>
        <v>2.1475574537572135</v>
      </c>
      <c r="L112" s="73">
        <f t="shared" si="81"/>
        <v>0.17896312114643445</v>
      </c>
      <c r="M112" s="73">
        <f>'Proposed Rates'!C40</f>
        <v>69.69</v>
      </c>
      <c r="N112" s="73">
        <f t="shared" si="85"/>
        <v>69.868963121146436</v>
      </c>
      <c r="O112" s="73">
        <f>'Proposed Rates'!E40</f>
        <v>69.87</v>
      </c>
      <c r="P112" s="73"/>
      <c r="Q112" s="73"/>
      <c r="R112" s="142"/>
      <c r="S112" s="208"/>
      <c r="T112" s="137"/>
      <c r="U112" s="139"/>
      <c r="V112" s="139"/>
      <c r="W112" s="139"/>
      <c r="X112" s="139"/>
      <c r="Y112" s="137"/>
      <c r="Z112" s="139"/>
      <c r="AA112" s="335"/>
      <c r="AC112" s="332"/>
    </row>
    <row r="113" spans="1:29" s="66" customFormat="1">
      <c r="A113" s="163"/>
      <c r="B113" s="50"/>
      <c r="C113" s="121" t="s">
        <v>181</v>
      </c>
      <c r="D113" s="155">
        <v>0</v>
      </c>
      <c r="E113" s="75">
        <f>References!$C$7</f>
        <v>4.333333333333333</v>
      </c>
      <c r="F113" s="74">
        <f t="shared" si="86"/>
        <v>52</v>
      </c>
      <c r="G113" s="74">
        <f>References!$C$19</f>
        <v>137</v>
      </c>
      <c r="H113" s="74">
        <f t="shared" si="84"/>
        <v>7124</v>
      </c>
      <c r="I113" s="49">
        <f t="shared" si="80"/>
        <v>5669.4050473628977</v>
      </c>
      <c r="J113" s="73">
        <f>(References!$D$57*I113)</f>
        <v>2.4661911956028879</v>
      </c>
      <c r="K113" s="73">
        <f>J113/References!$H$60</f>
        <v>2.5146612920063096</v>
      </c>
      <c r="L113" s="73">
        <f t="shared" si="81"/>
        <v>0.20955510766719246</v>
      </c>
      <c r="M113" s="73">
        <f>'Proposed Rates'!C43</f>
        <v>83.94</v>
      </c>
      <c r="N113" s="73">
        <f t="shared" si="85"/>
        <v>84.149555107667197</v>
      </c>
      <c r="O113" s="73">
        <f>'Proposed Rates'!E43</f>
        <v>84.149999999999991</v>
      </c>
      <c r="P113" s="73"/>
      <c r="Q113" s="73"/>
      <c r="R113" s="142"/>
      <c r="S113" s="208"/>
      <c r="T113" s="137"/>
      <c r="U113" s="188">
        <f>U111/Z111</f>
        <v>0.67191594257622778</v>
      </c>
      <c r="V113" s="188"/>
      <c r="W113" s="188"/>
      <c r="X113" s="188">
        <f>X111/Z111</f>
        <v>0.32808405742377222</v>
      </c>
      <c r="Y113" s="137"/>
      <c r="Z113" s="139"/>
      <c r="AC113" s="332"/>
    </row>
    <row r="114" spans="1:29" s="66" customFormat="1">
      <c r="A114" s="436" t="s">
        <v>258</v>
      </c>
      <c r="B114" s="50"/>
      <c r="C114" s="130" t="s">
        <v>195</v>
      </c>
      <c r="D114" s="156">
        <v>0</v>
      </c>
      <c r="E114" s="103">
        <f>References!$C$7</f>
        <v>4.333333333333333</v>
      </c>
      <c r="F114" s="89">
        <f t="shared" si="86"/>
        <v>52</v>
      </c>
      <c r="G114" s="89">
        <f>References!C19</f>
        <v>137</v>
      </c>
      <c r="H114" s="89">
        <f t="shared" si="84"/>
        <v>7124</v>
      </c>
      <c r="I114" s="104">
        <f t="shared" si="80"/>
        <v>5669.4050473628977</v>
      </c>
      <c r="J114" s="97">
        <f>(References!$D$57*I114)</f>
        <v>2.4661911956028879</v>
      </c>
      <c r="K114" s="97">
        <f>J114/References!$H$60</f>
        <v>2.5146612920063096</v>
      </c>
      <c r="L114" s="97">
        <f t="shared" si="81"/>
        <v>0.20955510766719246</v>
      </c>
      <c r="M114" s="97">
        <f>'Proposed Rates'!C42</f>
        <v>83.19</v>
      </c>
      <c r="N114" s="97">
        <f t="shared" si="85"/>
        <v>83.399555107667197</v>
      </c>
      <c r="O114" s="97">
        <f>'Proposed Rates'!E42</f>
        <v>83.399999999999991</v>
      </c>
      <c r="P114" s="73"/>
      <c r="Q114" s="73"/>
      <c r="R114" s="142"/>
      <c r="S114" s="208"/>
      <c r="T114" s="137"/>
      <c r="U114" s="137"/>
      <c r="V114" s="137"/>
      <c r="W114" s="137"/>
      <c r="X114" s="137"/>
      <c r="Y114" s="137"/>
      <c r="Z114" s="137"/>
      <c r="AC114" s="332"/>
    </row>
    <row r="115" spans="1:29" s="66" customFormat="1">
      <c r="A115" s="436"/>
      <c r="B115" s="50"/>
      <c r="C115" s="121" t="s">
        <v>208</v>
      </c>
      <c r="D115" s="152">
        <v>0</v>
      </c>
      <c r="E115" s="75">
        <f>References!$C$7</f>
        <v>4.333333333333333</v>
      </c>
      <c r="F115" s="74">
        <f t="shared" si="83"/>
        <v>52</v>
      </c>
      <c r="G115" s="74">
        <f>References!$C$32</f>
        <v>613</v>
      </c>
      <c r="H115" s="74">
        <f t="shared" si="79"/>
        <v>31876</v>
      </c>
      <c r="I115" s="49">
        <f t="shared" si="80"/>
        <v>25367.483898054426</v>
      </c>
      <c r="J115" s="73">
        <f>(References!$D$57*I115)</f>
        <v>11.034855495653797</v>
      </c>
      <c r="K115" s="73">
        <f>J115/References!$H$60</f>
        <v>11.251732642334801</v>
      </c>
      <c r="L115" s="73">
        <f t="shared" ref="L115:L128" si="87">K115/F115</f>
        <v>0.21637947389105386</v>
      </c>
      <c r="M115" s="73">
        <f>'Proposed Rates'!C57</f>
        <v>82.89</v>
      </c>
      <c r="N115" s="73">
        <f t="shared" si="82"/>
        <v>83.106379473891053</v>
      </c>
      <c r="O115" s="73">
        <f>'Proposed Rates'!E57</f>
        <v>83.11</v>
      </c>
      <c r="P115" s="73"/>
      <c r="Q115" s="73"/>
      <c r="R115" s="142"/>
      <c r="S115" s="208"/>
      <c r="T115" s="137" t="s">
        <v>649</v>
      </c>
      <c r="U115" s="139">
        <f>'Disposal Schedule'!B40*'Disposal Schedule'!B41</f>
        <v>21303.872201717684</v>
      </c>
      <c r="V115" s="137"/>
      <c r="W115" s="137"/>
      <c r="X115" s="139">
        <f>'Disposal Schedule'!D40*'Disposal Schedule'!D41</f>
        <v>3776.3951568681659</v>
      </c>
      <c r="Y115" s="137"/>
      <c r="Z115" s="137"/>
      <c r="AC115" s="332"/>
    </row>
    <row r="116" spans="1:29" s="66" customFormat="1">
      <c r="A116" s="436"/>
      <c r="B116" s="50"/>
      <c r="C116" s="121" t="s">
        <v>212</v>
      </c>
      <c r="D116" s="152">
        <v>0</v>
      </c>
      <c r="E116" s="75">
        <f>References!$C$7</f>
        <v>4.333333333333333</v>
      </c>
      <c r="F116" s="74">
        <f t="shared" si="83"/>
        <v>52</v>
      </c>
      <c r="G116" s="74">
        <f>References!$C$33</f>
        <v>840</v>
      </c>
      <c r="H116" s="74">
        <f t="shared" si="79"/>
        <v>43680</v>
      </c>
      <c r="I116" s="49">
        <f t="shared" si="80"/>
        <v>34761.315618867404</v>
      </c>
      <c r="J116" s="73">
        <f>(References!$D$57*I116)</f>
        <v>15.121172294207488</v>
      </c>
      <c r="K116" s="73">
        <f>J116/References!$H$60</f>
        <v>15.418361206462045</v>
      </c>
      <c r="L116" s="73">
        <f t="shared" si="87"/>
        <v>0.29650694627811625</v>
      </c>
      <c r="M116" s="73">
        <f>'Proposed Rates'!C58</f>
        <v>116.69</v>
      </c>
      <c r="N116" s="73">
        <f t="shared" si="82"/>
        <v>116.98650694627811</v>
      </c>
      <c r="O116" s="73">
        <f>'Proposed Rates'!E58</f>
        <v>116.99</v>
      </c>
      <c r="P116" s="73"/>
      <c r="Q116" s="73"/>
      <c r="R116" s="142"/>
      <c r="S116" s="208"/>
      <c r="T116" s="137"/>
      <c r="U116" s="137"/>
      <c r="V116" s="137"/>
      <c r="W116" s="137"/>
      <c r="X116" s="137"/>
      <c r="Y116" s="137"/>
      <c r="Z116" s="137"/>
      <c r="AC116" s="332"/>
    </row>
    <row r="117" spans="1:29" s="66" customFormat="1">
      <c r="A117" s="436"/>
      <c r="B117" s="50"/>
      <c r="C117" s="121" t="s">
        <v>214</v>
      </c>
      <c r="D117" s="152">
        <v>0</v>
      </c>
      <c r="E117" s="75">
        <f>References!C9</f>
        <v>1</v>
      </c>
      <c r="F117" s="74">
        <f t="shared" si="83"/>
        <v>12</v>
      </c>
      <c r="G117" s="74">
        <f>References!$C$29</f>
        <v>250</v>
      </c>
      <c r="H117" s="74">
        <f t="shared" si="79"/>
        <v>3000</v>
      </c>
      <c r="I117" s="49">
        <f t="shared" si="80"/>
        <v>2387.4529958013327</v>
      </c>
      <c r="J117" s="73">
        <f>(References!$D$57*I117)</f>
        <v>1.0385420531735912</v>
      </c>
      <c r="K117" s="73">
        <f>J117/References!$H$60</f>
        <v>1.0589533795647008</v>
      </c>
      <c r="L117" s="73">
        <f t="shared" si="87"/>
        <v>8.8246114963725072E-2</v>
      </c>
      <c r="M117" s="73">
        <f>'Proposed Rates'!C69</f>
        <v>36.57</v>
      </c>
      <c r="N117" s="73">
        <f t="shared" si="82"/>
        <v>36.658246114963724</v>
      </c>
      <c r="O117" s="73">
        <f>'Proposed Rates'!E69</f>
        <v>36.660000000000004</v>
      </c>
      <c r="P117" s="73"/>
      <c r="Q117" s="73"/>
      <c r="R117" s="142"/>
      <c r="S117" s="208"/>
      <c r="T117" s="137"/>
      <c r="U117" s="137"/>
      <c r="V117" s="137"/>
      <c r="W117" s="137"/>
      <c r="X117" s="137"/>
      <c r="Y117" s="137"/>
      <c r="Z117" s="137"/>
      <c r="AC117" s="332"/>
    </row>
    <row r="118" spans="1:29" s="66" customFormat="1">
      <c r="A118" s="437"/>
      <c r="B118" s="128"/>
      <c r="C118" s="130" t="s">
        <v>219</v>
      </c>
      <c r="D118" s="158">
        <v>0</v>
      </c>
      <c r="E118" s="103">
        <f>References!C9</f>
        <v>1</v>
      </c>
      <c r="F118" s="89">
        <f t="shared" si="83"/>
        <v>12</v>
      </c>
      <c r="G118" s="89">
        <f>References!$C$32</f>
        <v>613</v>
      </c>
      <c r="H118" s="89">
        <f t="shared" si="79"/>
        <v>7356</v>
      </c>
      <c r="I118" s="104">
        <f t="shared" si="80"/>
        <v>5854.0347457048674</v>
      </c>
      <c r="J118" s="97">
        <f>(References!$D$57*I118)</f>
        <v>2.5465051143816457</v>
      </c>
      <c r="K118" s="97">
        <f>J118/References!$H$60</f>
        <v>2.5965536866926464</v>
      </c>
      <c r="L118" s="97">
        <f t="shared" si="87"/>
        <v>0.21637947389105386</v>
      </c>
      <c r="M118" s="97">
        <f>'Proposed Rates'!C64</f>
        <v>84.89</v>
      </c>
      <c r="N118" s="97">
        <f t="shared" si="82"/>
        <v>85.106379473891053</v>
      </c>
      <c r="O118" s="97">
        <f>'Proposed Rates'!E64</f>
        <v>85.11</v>
      </c>
      <c r="P118" s="73"/>
      <c r="Q118" s="73"/>
      <c r="R118" s="142"/>
      <c r="S118" s="208"/>
      <c r="T118" s="137"/>
      <c r="U118" s="137"/>
      <c r="V118" s="137"/>
      <c r="W118" s="137"/>
      <c r="X118" s="137"/>
      <c r="Y118" s="137"/>
      <c r="Z118" s="137"/>
      <c r="AC118" s="332"/>
    </row>
    <row r="119" spans="1:29" s="66" customFormat="1">
      <c r="A119" s="435" t="s">
        <v>15</v>
      </c>
      <c r="B119" s="54"/>
      <c r="C119" s="132" t="s">
        <v>226</v>
      </c>
      <c r="D119" s="157">
        <v>0</v>
      </c>
      <c r="E119" s="77">
        <v>4.33</v>
      </c>
      <c r="F119" s="76">
        <f t="shared" si="83"/>
        <v>51.96</v>
      </c>
      <c r="G119" s="76">
        <f>References!C26*5</f>
        <v>145</v>
      </c>
      <c r="H119" s="76">
        <f t="shared" si="79"/>
        <v>7534.2</v>
      </c>
      <c r="I119" s="131">
        <f t="shared" si="80"/>
        <v>5995.8494536554663</v>
      </c>
      <c r="J119" s="79">
        <f>(References!$D$57*I119)</f>
        <v>2.6081945123401566</v>
      </c>
      <c r="K119" s="79">
        <f>J119/References!$H$60</f>
        <v>2.6594555174387895</v>
      </c>
      <c r="L119" s="79">
        <f t="shared" si="87"/>
        <v>5.1182746678960535E-2</v>
      </c>
      <c r="M119" s="79">
        <f>'Proposed Rates'!C112*5</f>
        <v>19.55</v>
      </c>
      <c r="N119" s="79">
        <f t="shared" si="82"/>
        <v>19.601182746678962</v>
      </c>
      <c r="O119" s="79">
        <f>'Proposed Rates'!E112*5</f>
        <v>19.600000000000001</v>
      </c>
      <c r="P119" s="73"/>
      <c r="Q119" s="73"/>
      <c r="R119" s="142"/>
      <c r="S119" s="208"/>
      <c r="T119" s="137"/>
      <c r="U119" s="137"/>
      <c r="V119" s="137"/>
      <c r="W119" s="137"/>
      <c r="X119" s="137"/>
      <c r="Y119" s="137"/>
      <c r="Z119" s="137"/>
      <c r="AC119" s="332"/>
    </row>
    <row r="120" spans="1:29" s="66" customFormat="1">
      <c r="A120" s="436"/>
      <c r="B120" s="50"/>
      <c r="C120" s="121" t="s">
        <v>136</v>
      </c>
      <c r="D120" s="152">
        <v>0</v>
      </c>
      <c r="E120" s="75">
        <f>References!$C$9</f>
        <v>1</v>
      </c>
      <c r="F120" s="74">
        <f t="shared" si="83"/>
        <v>12</v>
      </c>
      <c r="G120" s="74">
        <f>References!C22</f>
        <v>68</v>
      </c>
      <c r="H120" s="74">
        <f t="shared" si="79"/>
        <v>816</v>
      </c>
      <c r="I120" s="49">
        <f t="shared" si="80"/>
        <v>649.38721485796248</v>
      </c>
      <c r="J120" s="73">
        <f>(References!$D$57*I120)</f>
        <v>0.28248343846321683</v>
      </c>
      <c r="K120" s="73">
        <f>J120/References!$H$60</f>
        <v>0.28803531924159864</v>
      </c>
      <c r="L120" s="73">
        <f t="shared" si="87"/>
        <v>2.400294327013322E-2</v>
      </c>
      <c r="M120" s="73">
        <f>'Proposed Rates'!C75</f>
        <v>22.96</v>
      </c>
      <c r="N120" s="73">
        <f t="shared" si="82"/>
        <v>22.984002943270134</v>
      </c>
      <c r="O120" s="73">
        <f>'Proposed Rates'!E75</f>
        <v>22.98</v>
      </c>
      <c r="P120" s="73"/>
      <c r="Q120" s="73"/>
      <c r="R120" s="142"/>
      <c r="S120" s="208"/>
      <c r="T120" s="137"/>
      <c r="U120" s="137"/>
      <c r="V120" s="137"/>
      <c r="W120" s="137"/>
      <c r="X120" s="137"/>
      <c r="Y120" s="137"/>
      <c r="Z120" s="137"/>
      <c r="AC120" s="332"/>
    </row>
    <row r="121" spans="1:29" s="66" customFormat="1">
      <c r="A121" s="436"/>
      <c r="B121" s="50"/>
      <c r="C121" s="118" t="s">
        <v>261</v>
      </c>
      <c r="D121" s="207">
        <v>0</v>
      </c>
      <c r="E121" s="75">
        <v>1</v>
      </c>
      <c r="F121" s="74">
        <v>12</v>
      </c>
      <c r="G121" s="74">
        <f>References!C33*2.25</f>
        <v>1890</v>
      </c>
      <c r="H121" s="129">
        <f t="shared" si="79"/>
        <v>22680</v>
      </c>
      <c r="I121" s="49">
        <f t="shared" si="80"/>
        <v>18049.144648258072</v>
      </c>
      <c r="J121" s="73">
        <f>(References!$D$57*I121)</f>
        <v>7.8513779219923485</v>
      </c>
      <c r="K121" s="73">
        <f>J121/References!$H$60</f>
        <v>8.0056875495091369</v>
      </c>
      <c r="L121" s="73">
        <f t="shared" ref="L121" si="88">K121/F121</f>
        <v>0.66714062912576144</v>
      </c>
      <c r="M121" s="73">
        <f>'Proposed Rates'!C121</f>
        <v>188.75</v>
      </c>
      <c r="N121" s="73">
        <f t="shared" ref="N121" si="89">L121+M121</f>
        <v>189.41714062912575</v>
      </c>
      <c r="O121" s="73">
        <f>'Proposed Rates'!E121</f>
        <v>189.42</v>
      </c>
      <c r="P121" s="73"/>
      <c r="Q121" s="73"/>
      <c r="R121" s="142"/>
      <c r="S121" s="208"/>
      <c r="T121" s="137"/>
      <c r="U121" s="137"/>
      <c r="V121" s="137"/>
      <c r="W121" s="137"/>
      <c r="X121" s="137"/>
      <c r="Y121" s="137"/>
      <c r="Z121" s="137"/>
      <c r="AC121" s="332"/>
    </row>
    <row r="122" spans="1:29" s="66" customFormat="1">
      <c r="A122" s="436"/>
      <c r="B122" s="50"/>
      <c r="C122" s="118" t="s">
        <v>263</v>
      </c>
      <c r="D122" s="207">
        <v>0</v>
      </c>
      <c r="E122" s="75">
        <v>1</v>
      </c>
      <c r="F122" s="74">
        <v>12</v>
      </c>
      <c r="G122" s="74">
        <f>References!C30*3</f>
        <v>972</v>
      </c>
      <c r="H122" s="129">
        <f t="shared" ref="H122" si="90">F122*G122</f>
        <v>11664</v>
      </c>
      <c r="I122" s="49">
        <f t="shared" si="80"/>
        <v>9282.4172476755812</v>
      </c>
      <c r="J122" s="73">
        <f>(References!$D$57*I122)</f>
        <v>4.0378515027389223</v>
      </c>
      <c r="K122" s="73">
        <f>J122/References!$H$60</f>
        <v>4.1172107397475566</v>
      </c>
      <c r="L122" s="73">
        <f t="shared" ref="L122" si="91">K122/F122</f>
        <v>0.34310089497896307</v>
      </c>
      <c r="M122" s="73">
        <f>'Proposed Rates'!C128</f>
        <v>94.02</v>
      </c>
      <c r="N122" s="73">
        <f t="shared" ref="N122" si="92">L122+M122</f>
        <v>94.363100894978956</v>
      </c>
      <c r="O122" s="73">
        <f>'Proposed Rates'!E128</f>
        <v>94.36</v>
      </c>
      <c r="P122" s="73"/>
      <c r="Q122" s="73"/>
      <c r="R122" s="142"/>
      <c r="S122" s="208"/>
      <c r="T122" s="137"/>
      <c r="U122" s="137"/>
      <c r="V122" s="137"/>
      <c r="W122" s="137"/>
      <c r="X122" s="137"/>
      <c r="Y122" s="137"/>
      <c r="Z122" s="137"/>
      <c r="AC122" s="332"/>
    </row>
    <row r="123" spans="1:29" s="66" customFormat="1">
      <c r="A123" s="436"/>
      <c r="B123" s="50"/>
      <c r="C123" s="118" t="s">
        <v>262</v>
      </c>
      <c r="D123" s="207">
        <v>0</v>
      </c>
      <c r="E123" s="75">
        <v>1</v>
      </c>
      <c r="F123" s="74">
        <v>12</v>
      </c>
      <c r="G123" s="74">
        <f>References!C32*3</f>
        <v>1839</v>
      </c>
      <c r="H123" s="129">
        <f t="shared" ref="H123" si="93">F123*G123</f>
        <v>22068</v>
      </c>
      <c r="I123" s="49">
        <f t="shared" si="80"/>
        <v>17562.104237114603</v>
      </c>
      <c r="J123" s="73">
        <f>(References!$D$57*I123)</f>
        <v>7.6395153431449367</v>
      </c>
      <c r="K123" s="73">
        <f>J123/References!$H$60</f>
        <v>7.7896610600779397</v>
      </c>
      <c r="L123" s="73">
        <f t="shared" ref="L123" si="94">K123/F123</f>
        <v>0.6491384216731616</v>
      </c>
      <c r="M123" s="73">
        <f>'Proposed Rates'!C130</f>
        <v>158.15</v>
      </c>
      <c r="N123" s="73">
        <f t="shared" ref="N123" si="95">L123+M123</f>
        <v>158.79913842167318</v>
      </c>
      <c r="O123" s="73">
        <f>'Proposed Rates'!E130</f>
        <v>158.80000000000001</v>
      </c>
      <c r="P123" s="73"/>
      <c r="Q123" s="73"/>
      <c r="R123" s="142"/>
      <c r="S123" s="208"/>
      <c r="T123" s="137"/>
      <c r="U123" s="137"/>
      <c r="V123" s="137"/>
      <c r="W123" s="137"/>
      <c r="X123" s="137"/>
      <c r="Y123" s="137"/>
      <c r="Z123" s="137"/>
      <c r="AC123" s="332"/>
    </row>
    <row r="124" spans="1:29" s="66" customFormat="1">
      <c r="A124" s="436"/>
      <c r="B124" s="50"/>
      <c r="C124" s="118" t="s">
        <v>264</v>
      </c>
      <c r="D124" s="207">
        <v>0</v>
      </c>
      <c r="E124" s="75">
        <v>1</v>
      </c>
      <c r="F124" s="74">
        <v>12</v>
      </c>
      <c r="G124" s="74">
        <f>References!C31*4</f>
        <v>1892</v>
      </c>
      <c r="H124" s="129">
        <f t="shared" ref="H124" si="96">F124*G124</f>
        <v>22704</v>
      </c>
      <c r="I124" s="49">
        <f t="shared" ref="I124" si="97">$D$137*H124</f>
        <v>18068.244272224485</v>
      </c>
      <c r="J124" s="73">
        <f>(References!$D$57*I124)</f>
        <v>7.8596862584177378</v>
      </c>
      <c r="K124" s="73">
        <f>J124/References!$H$60</f>
        <v>8.0141591765456557</v>
      </c>
      <c r="L124" s="73">
        <f t="shared" ref="L124" si="98">K124/F124</f>
        <v>0.66784659804547131</v>
      </c>
      <c r="M124" s="73">
        <f>'Proposed Rates'!C139</f>
        <v>161.77000000000001</v>
      </c>
      <c r="N124" s="73">
        <f t="shared" ref="N124" si="99">L124+M124</f>
        <v>162.43784659804547</v>
      </c>
      <c r="O124" s="73">
        <f>'Proposed Rates'!E139</f>
        <v>162.44</v>
      </c>
      <c r="P124" s="73"/>
      <c r="Q124" s="73"/>
      <c r="R124" s="142"/>
      <c r="S124" s="208"/>
      <c r="T124" s="137"/>
      <c r="U124" s="137"/>
      <c r="V124" s="137"/>
      <c r="W124" s="137"/>
      <c r="X124" s="137"/>
      <c r="Y124" s="137"/>
      <c r="Z124" s="137"/>
      <c r="AC124" s="332"/>
    </row>
    <row r="125" spans="1:29" s="66" customFormat="1">
      <c r="A125" s="436"/>
      <c r="B125" s="50"/>
      <c r="C125" s="118" t="s">
        <v>706</v>
      </c>
      <c r="D125" s="207">
        <v>0</v>
      </c>
      <c r="E125" s="75">
        <f>References!$C$9</f>
        <v>1</v>
      </c>
      <c r="F125" s="74">
        <f t="shared" si="83"/>
        <v>12</v>
      </c>
      <c r="G125" s="74">
        <f>References!C33*5</f>
        <v>4200</v>
      </c>
      <c r="H125" s="129">
        <f t="shared" si="79"/>
        <v>50400</v>
      </c>
      <c r="I125" s="49">
        <f>$D$137*H125</f>
        <v>40109.210329462388</v>
      </c>
      <c r="J125" s="73">
        <f>(References!$D$57*I125)</f>
        <v>17.447506493316332</v>
      </c>
      <c r="K125" s="73">
        <f>J125/References!$H$60</f>
        <v>17.790416776686975</v>
      </c>
      <c r="L125" s="73">
        <f t="shared" si="87"/>
        <v>1.4825347313905812</v>
      </c>
      <c r="M125" s="73">
        <v>340.44</v>
      </c>
      <c r="N125" s="73">
        <f t="shared" si="82"/>
        <v>341.92253473139056</v>
      </c>
      <c r="O125" s="73">
        <f>'Proposed Rates'!E152</f>
        <v>347.92</v>
      </c>
      <c r="P125" s="73"/>
      <c r="Q125" s="73"/>
      <c r="R125" s="142"/>
      <c r="S125" s="208"/>
      <c r="T125" s="137"/>
      <c r="U125" s="137"/>
      <c r="V125" s="137"/>
      <c r="W125" s="137"/>
      <c r="X125" s="137"/>
      <c r="Y125" s="137"/>
      <c r="Z125" s="137"/>
      <c r="AC125" s="332"/>
    </row>
    <row r="126" spans="1:29" s="66" customFormat="1">
      <c r="A126" s="436"/>
      <c r="B126" s="50"/>
      <c r="C126" s="118" t="s">
        <v>250</v>
      </c>
      <c r="D126" s="207">
        <v>0</v>
      </c>
      <c r="E126" s="75">
        <f>References!$C$9</f>
        <v>1</v>
      </c>
      <c r="F126" s="74">
        <f t="shared" si="83"/>
        <v>12</v>
      </c>
      <c r="G126" s="74">
        <f>References!C29</f>
        <v>250</v>
      </c>
      <c r="H126" s="129">
        <f t="shared" si="79"/>
        <v>3000</v>
      </c>
      <c r="I126" s="49">
        <f>$D$137*H126</f>
        <v>2387.4529958013327</v>
      </c>
      <c r="J126" s="73">
        <f>(References!$D$57*I126)</f>
        <v>1.0385420531735912</v>
      </c>
      <c r="K126" s="73">
        <f>J126/References!$H$60</f>
        <v>1.0589533795647008</v>
      </c>
      <c r="L126" s="73">
        <f t="shared" si="87"/>
        <v>8.8246114963725072E-2</v>
      </c>
      <c r="M126" s="73">
        <f>'Proposed Rates'!C106</f>
        <v>30</v>
      </c>
      <c r="N126" s="73">
        <f t="shared" si="82"/>
        <v>30.088246114963724</v>
      </c>
      <c r="O126" s="73">
        <f>'Proposed Rates'!E106</f>
        <v>30.09</v>
      </c>
      <c r="P126" s="73"/>
      <c r="Q126" s="73"/>
      <c r="R126" s="142"/>
      <c r="S126" s="208"/>
      <c r="T126" s="137"/>
      <c r="U126" s="137"/>
      <c r="V126" s="137"/>
      <c r="W126" s="137"/>
      <c r="X126" s="137"/>
      <c r="Y126" s="137"/>
      <c r="Z126" s="137"/>
      <c r="AC126" s="332"/>
    </row>
    <row r="127" spans="1:29" s="66" customFormat="1">
      <c r="A127" s="436"/>
      <c r="B127" s="50"/>
      <c r="C127" s="121" t="s">
        <v>252</v>
      </c>
      <c r="D127" s="152">
        <v>0</v>
      </c>
      <c r="E127" s="75">
        <f>References!$C$9</f>
        <v>1</v>
      </c>
      <c r="F127" s="74">
        <f t="shared" si="83"/>
        <v>12</v>
      </c>
      <c r="G127" s="74">
        <f>References!C28</f>
        <v>175</v>
      </c>
      <c r="H127" s="129">
        <f t="shared" si="79"/>
        <v>2100</v>
      </c>
      <c r="I127" s="49">
        <f>$D$137*H127</f>
        <v>1671.2170970609327</v>
      </c>
      <c r="J127" s="73">
        <f>(References!$D$57*I127)</f>
        <v>0.72697943722151381</v>
      </c>
      <c r="K127" s="73">
        <f>J127/References!$H$60</f>
        <v>0.74126736569529061</v>
      </c>
      <c r="L127" s="73">
        <f t="shared" si="87"/>
        <v>6.1772280474607554E-2</v>
      </c>
      <c r="M127" s="73">
        <f>'Proposed Rates'!C98</f>
        <v>22.28</v>
      </c>
      <c r="N127" s="73">
        <f t="shared" si="82"/>
        <v>22.341772280474608</v>
      </c>
      <c r="O127" s="73">
        <f>'Proposed Rates'!E98</f>
        <v>22.34</v>
      </c>
      <c r="P127" s="73"/>
      <c r="Q127" s="73"/>
      <c r="R127" s="142"/>
      <c r="S127" s="208"/>
      <c r="T127" s="137"/>
      <c r="U127" s="137"/>
      <c r="V127" s="137"/>
      <c r="W127" s="137"/>
      <c r="X127" s="137"/>
      <c r="Y127" s="137"/>
      <c r="Z127" s="137"/>
      <c r="AC127" s="332"/>
    </row>
    <row r="128" spans="1:29" s="66" customFormat="1">
      <c r="A128" s="437"/>
      <c r="B128" s="128"/>
      <c r="C128" s="130" t="s">
        <v>254</v>
      </c>
      <c r="D128" s="158">
        <v>0</v>
      </c>
      <c r="E128" s="103">
        <f>References!$C$9</f>
        <v>1</v>
      </c>
      <c r="F128" s="89">
        <f t="shared" si="83"/>
        <v>12</v>
      </c>
      <c r="G128" s="89">
        <f>References!C30</f>
        <v>324</v>
      </c>
      <c r="H128" s="89">
        <f t="shared" si="79"/>
        <v>3888</v>
      </c>
      <c r="I128" s="104">
        <f>$D$137*H128</f>
        <v>3094.1390825585268</v>
      </c>
      <c r="J128" s="97">
        <f>(References!$D$57*I128)</f>
        <v>1.345950500912974</v>
      </c>
      <c r="K128" s="97">
        <f>J128/References!$H$60</f>
        <v>1.372403579915852</v>
      </c>
      <c r="L128" s="97">
        <f t="shared" si="87"/>
        <v>0.11436696499298767</v>
      </c>
      <c r="M128" s="97">
        <f>'Proposed Rates'!C100</f>
        <v>36.85</v>
      </c>
      <c r="N128" s="97">
        <f t="shared" si="82"/>
        <v>36.96436696499299</v>
      </c>
      <c r="O128" s="97">
        <f>'Proposed Rates'!E100</f>
        <v>36.96</v>
      </c>
      <c r="P128" s="73"/>
      <c r="Q128" s="73"/>
      <c r="R128" s="142"/>
      <c r="S128" s="208"/>
      <c r="T128" s="137"/>
      <c r="U128" s="137"/>
      <c r="V128" s="137"/>
      <c r="W128" s="137"/>
      <c r="X128" s="137"/>
      <c r="Y128" s="137"/>
      <c r="Z128" s="137"/>
      <c r="AC128" s="332"/>
    </row>
    <row r="129" spans="1:29">
      <c r="A129" s="69"/>
      <c r="C129" s="95"/>
      <c r="D129" s="159"/>
      <c r="E129" s="32"/>
      <c r="F129" s="63"/>
      <c r="G129" s="74"/>
      <c r="H129" s="63"/>
      <c r="J129" s="73"/>
      <c r="K129" s="98"/>
      <c r="L129" s="98"/>
      <c r="M129" s="98"/>
      <c r="N129" s="98"/>
      <c r="O129" s="73"/>
      <c r="T129" s="138"/>
      <c r="U129" s="138"/>
      <c r="V129" s="138"/>
      <c r="W129" s="138"/>
      <c r="X129" s="138"/>
      <c r="Y129" s="138"/>
      <c r="AC129" s="332"/>
    </row>
    <row r="130" spans="1:29">
      <c r="A130" s="69"/>
      <c r="C130" s="72"/>
      <c r="T130" s="138"/>
      <c r="U130" s="138"/>
      <c r="V130" s="138"/>
      <c r="W130" s="138"/>
      <c r="X130" s="138"/>
      <c r="Y130" s="138"/>
      <c r="AC130" s="332"/>
    </row>
    <row r="131" spans="1:29">
      <c r="A131" s="69"/>
      <c r="C131" s="72"/>
      <c r="T131" s="138"/>
      <c r="U131" s="138"/>
      <c r="V131" s="138"/>
      <c r="W131" s="138"/>
      <c r="X131" s="138"/>
      <c r="Y131" s="138"/>
      <c r="AC131" s="332"/>
    </row>
    <row r="132" spans="1:29">
      <c r="A132" s="69"/>
      <c r="C132" s="438" t="s">
        <v>88</v>
      </c>
      <c r="D132" s="438"/>
      <c r="E132" s="94"/>
      <c r="F132" s="94"/>
      <c r="H132" s="322"/>
      <c r="I132" s="74"/>
      <c r="J132" s="66"/>
      <c r="T132" s="138"/>
      <c r="U132" s="138"/>
      <c r="V132" s="138"/>
      <c r="W132" s="138"/>
      <c r="X132" s="138"/>
      <c r="Y132" s="138"/>
      <c r="AC132" s="332"/>
    </row>
    <row r="133" spans="1:29">
      <c r="A133" s="69"/>
      <c r="D133" s="61" t="s">
        <v>17</v>
      </c>
      <c r="E133" s="39"/>
      <c r="F133" s="39"/>
      <c r="H133" s="322"/>
      <c r="I133" s="74"/>
      <c r="J133" s="323"/>
      <c r="P133" s="65"/>
      <c r="T133" s="138"/>
      <c r="U133" s="138"/>
      <c r="V133" s="138"/>
      <c r="W133" s="138"/>
      <c r="X133" s="138"/>
      <c r="Y133" s="138"/>
      <c r="AC133" s="332"/>
    </row>
    <row r="134" spans="1:29">
      <c r="A134" s="69"/>
      <c r="C134" s="64" t="s">
        <v>33</v>
      </c>
      <c r="D134" s="431">
        <f>'Disposal Schedule'!G25</f>
        <v>65230.76112481716</v>
      </c>
      <c r="E134" s="63"/>
      <c r="F134" s="63"/>
      <c r="G134" s="46"/>
      <c r="H134" s="96"/>
      <c r="I134" s="74"/>
      <c r="J134" s="323"/>
      <c r="P134" s="65"/>
      <c r="T134" s="138"/>
      <c r="U134" s="138"/>
      <c r="V134" s="138"/>
      <c r="W134" s="138"/>
      <c r="X134" s="138"/>
      <c r="Y134" s="138"/>
      <c r="AC134" s="332"/>
    </row>
    <row r="135" spans="1:29">
      <c r="A135" s="69"/>
      <c r="C135" s="64" t="s">
        <v>34</v>
      </c>
      <c r="D135" s="37">
        <f>D134*References!$H$16</f>
        <v>130461522.24963433</v>
      </c>
      <c r="E135" s="37"/>
      <c r="F135" s="37"/>
      <c r="G135" s="37"/>
      <c r="H135" s="324"/>
      <c r="I135" s="74"/>
      <c r="J135" s="323"/>
      <c r="T135" s="138"/>
      <c r="U135" s="138"/>
      <c r="V135" s="138"/>
      <c r="W135" s="138"/>
      <c r="X135" s="138"/>
      <c r="Y135" s="138"/>
      <c r="AC135" s="332"/>
    </row>
    <row r="136" spans="1:29">
      <c r="A136" s="69"/>
      <c r="C136" s="64" t="s">
        <v>5</v>
      </c>
      <c r="D136" s="37">
        <f>F19+F53+F104</f>
        <v>3024800.0828138771</v>
      </c>
      <c r="E136" s="63"/>
      <c r="F136" s="63"/>
      <c r="G136" s="63"/>
      <c r="H136" s="325"/>
      <c r="I136" s="74"/>
      <c r="J136" s="323"/>
      <c r="P136" s="65"/>
      <c r="T136" s="138"/>
      <c r="U136" s="138"/>
      <c r="V136" s="138"/>
      <c r="W136" s="138"/>
      <c r="X136" s="138"/>
      <c r="Y136" s="138"/>
      <c r="AC136" s="332"/>
    </row>
    <row r="137" spans="1:29">
      <c r="C137" s="43" t="s">
        <v>12</v>
      </c>
      <c r="D137" s="36">
        <f>D135/$H$105</f>
        <v>0.79581766526711084</v>
      </c>
      <c r="E137" s="36"/>
      <c r="F137" s="36"/>
      <c r="G137" s="36"/>
      <c r="H137" s="326"/>
      <c r="I137" s="74"/>
      <c r="J137" s="323"/>
      <c r="M137" s="41"/>
      <c r="N137" s="41"/>
      <c r="O137" s="41"/>
      <c r="P137" s="40"/>
      <c r="T137" s="138"/>
      <c r="U137" s="138"/>
      <c r="V137" s="138"/>
      <c r="W137" s="138"/>
      <c r="X137" s="138"/>
      <c r="Y137" s="138"/>
      <c r="AC137" s="332"/>
    </row>
    <row r="138" spans="1:29">
      <c r="G138" s="45"/>
      <c r="H138" s="32"/>
      <c r="I138" s="74"/>
      <c r="J138" s="323"/>
      <c r="M138" s="44"/>
      <c r="N138" s="31"/>
      <c r="O138" s="31"/>
      <c r="P138" s="67"/>
      <c r="T138" s="138"/>
      <c r="U138" s="138"/>
      <c r="V138" s="138"/>
      <c r="W138" s="138"/>
      <c r="X138" s="138"/>
      <c r="Y138" s="138"/>
      <c r="AC138" s="332"/>
    </row>
    <row r="139" spans="1:29">
      <c r="D139" s="35"/>
      <c r="E139" s="34"/>
      <c r="G139" s="45"/>
      <c r="H139" s="32"/>
      <c r="I139" s="74"/>
      <c r="J139" s="323"/>
      <c r="M139" s="44"/>
      <c r="N139" s="31"/>
      <c r="O139" s="31"/>
      <c r="P139" s="67"/>
      <c r="T139" s="138"/>
      <c r="U139" s="138"/>
      <c r="V139" s="138"/>
      <c r="W139" s="138"/>
      <c r="X139" s="138"/>
      <c r="Y139" s="138"/>
      <c r="AC139" s="332"/>
    </row>
    <row r="140" spans="1:29">
      <c r="D140" s="35"/>
      <c r="E140" s="34"/>
      <c r="G140" s="45"/>
      <c r="H140" s="33"/>
      <c r="J140" s="42"/>
      <c r="M140" s="44"/>
      <c r="N140" s="31"/>
      <c r="O140" s="31"/>
      <c r="P140" s="67"/>
      <c r="T140" s="138"/>
      <c r="U140" s="138"/>
      <c r="V140" s="138"/>
      <c r="W140" s="138"/>
      <c r="X140" s="138"/>
      <c r="Y140" s="138"/>
    </row>
    <row r="141" spans="1:29">
      <c r="D141" s="64"/>
      <c r="I141" s="64"/>
      <c r="T141" s="138"/>
      <c r="U141" s="138"/>
      <c r="V141" s="138"/>
      <c r="W141" s="138"/>
      <c r="X141" s="138"/>
      <c r="Y141" s="138"/>
    </row>
    <row r="142" spans="1:29">
      <c r="D142" s="64"/>
      <c r="E142" s="42"/>
      <c r="I142" s="64"/>
      <c r="T142" s="138"/>
      <c r="U142" s="138"/>
      <c r="V142" s="138"/>
      <c r="W142" s="138"/>
      <c r="X142" s="138"/>
      <c r="Y142" s="138"/>
    </row>
    <row r="143" spans="1:29">
      <c r="D143" s="64"/>
      <c r="I143" s="64"/>
      <c r="T143" s="138"/>
      <c r="U143" s="138"/>
      <c r="V143" s="138"/>
      <c r="W143" s="138"/>
      <c r="X143" s="138"/>
      <c r="Y143" s="138"/>
    </row>
    <row r="144" spans="1:29">
      <c r="D144" s="64"/>
      <c r="I144" s="64"/>
      <c r="T144" s="138"/>
      <c r="U144" s="138"/>
      <c r="V144" s="138"/>
      <c r="W144" s="138"/>
      <c r="X144" s="138"/>
      <c r="Y144" s="138"/>
    </row>
    <row r="145" spans="4:4">
      <c r="D145" s="64"/>
    </row>
  </sheetData>
  <mergeCells count="7">
    <mergeCell ref="A3:A18"/>
    <mergeCell ref="A20:A52"/>
    <mergeCell ref="A54:A103"/>
    <mergeCell ref="C132:D132"/>
    <mergeCell ref="A114:A118"/>
    <mergeCell ref="A109:A110"/>
    <mergeCell ref="A119:A128"/>
  </mergeCells>
  <pageMargins left="0.45" right="0.45" top="0.75" bottom="0.75" header="0.3" footer="0.3"/>
  <pageSetup scale="25" pageOrder="overThenDown" orientation="landscape" r:id="rId1"/>
  <headerFooter>
    <oddHeader>&amp;C&amp;"-,Bold"&amp;12Murrey's Disposal Co, Inc
American Disposal, Inc.&amp;"-,Regular"
Dump Fee Calculation</oddHeader>
    <oddFooter>&amp;L&amp;F - &amp;A&amp;C&amp;D&amp;R&amp;P of &amp;N</oddFooter>
  </headerFooter>
  <rowBreaks count="1" manualBreakCount="1">
    <brk id="37" max="25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96"/>
  <sheetViews>
    <sheetView zoomScaleNormal="100" workbookViewId="0">
      <pane xSplit="1" ySplit="4" topLeftCell="B5" activePane="bottomRight" state="frozen"/>
      <selection pane="topRight" activeCell="C1" sqref="C1"/>
      <selection pane="bottomLeft" activeCell="A10" sqref="A10"/>
      <selection pane="bottomRight" activeCell="G287" sqref="G287"/>
    </sheetView>
  </sheetViews>
  <sheetFormatPr defaultColWidth="9.1796875" defaultRowHeight="14.5"/>
  <cols>
    <col min="1" max="1" width="32.54296875" style="125" customWidth="1"/>
    <col min="2" max="2" width="17.54296875" style="125" customWidth="1"/>
    <col min="3" max="3" width="15.81640625" style="125" bestFit="1" customWidth="1"/>
    <col min="4" max="5" width="15.81640625" style="125" customWidth="1"/>
    <col min="6" max="6" width="2.26953125" style="125" customWidth="1"/>
    <col min="7" max="7" width="15.54296875" style="125" customWidth="1"/>
    <col min="8" max="8" width="13.81640625" style="125" customWidth="1"/>
    <col min="9" max="16384" width="9.1796875" style="125"/>
  </cols>
  <sheetData>
    <row r="1" spans="1:5">
      <c r="A1" s="127" t="s">
        <v>162</v>
      </c>
      <c r="B1" s="338" t="s">
        <v>667</v>
      </c>
      <c r="C1" s="339" t="s">
        <v>444</v>
      </c>
      <c r="D1" s="339" t="s">
        <v>17</v>
      </c>
      <c r="E1" s="127"/>
    </row>
    <row r="2" spans="1:5">
      <c r="A2" s="127" t="s">
        <v>438</v>
      </c>
      <c r="B2" s="124" t="s">
        <v>82</v>
      </c>
      <c r="C2" s="124" t="s">
        <v>82</v>
      </c>
      <c r="D2" s="124" t="s">
        <v>82</v>
      </c>
      <c r="E2" s="124" t="s">
        <v>274</v>
      </c>
    </row>
    <row r="3" spans="1:5">
      <c r="A3" s="123"/>
      <c r="B3" s="124" t="s">
        <v>163</v>
      </c>
      <c r="C3" s="124" t="s">
        <v>163</v>
      </c>
      <c r="D3" s="124" t="s">
        <v>163</v>
      </c>
      <c r="E3" s="124" t="s">
        <v>163</v>
      </c>
    </row>
    <row r="4" spans="1:5">
      <c r="A4" s="122" t="s">
        <v>91</v>
      </c>
      <c r="B4" s="124" t="s">
        <v>84</v>
      </c>
      <c r="C4" s="124" t="s">
        <v>84</v>
      </c>
      <c r="D4" s="124" t="s">
        <v>84</v>
      </c>
      <c r="E4" s="124" t="s">
        <v>84</v>
      </c>
    </row>
    <row r="5" spans="1:5">
      <c r="A5" s="176" t="s">
        <v>164</v>
      </c>
      <c r="B5" s="183"/>
      <c r="C5" s="199"/>
      <c r="D5" s="199"/>
      <c r="E5" s="199"/>
    </row>
    <row r="6" spans="1:5">
      <c r="A6" s="177" t="s">
        <v>282</v>
      </c>
      <c r="B6" s="200">
        <f>'Murrey''s Rev 2015'!J6</f>
        <v>345593.61428571423</v>
      </c>
      <c r="C6" s="201">
        <f>'American Rev 2015'!J6</f>
        <v>186093.68516674964</v>
      </c>
      <c r="D6" s="201">
        <f>SUM(B6:C6)</f>
        <v>531687.29945246386</v>
      </c>
      <c r="E6" s="202">
        <f>ROUND(D6/References!$H$19,0)</f>
        <v>44307</v>
      </c>
    </row>
    <row r="7" spans="1:5">
      <c r="A7" s="177" t="s">
        <v>283</v>
      </c>
      <c r="B7" s="200">
        <f>'Murrey''s Rev 2015'!J7</f>
        <v>389729.47887323948</v>
      </c>
      <c r="C7" s="201">
        <f>'American Rev 2015'!J7</f>
        <v>208994.31267605635</v>
      </c>
      <c r="D7" s="201">
        <f t="shared" ref="D7:D48" si="0">SUM(B7:C7)</f>
        <v>598723.79154929589</v>
      </c>
      <c r="E7" s="202">
        <f>ROUND(D7/References!$H$19,0)</f>
        <v>49894</v>
      </c>
    </row>
    <row r="8" spans="1:5">
      <c r="A8" s="177" t="s">
        <v>284</v>
      </c>
      <c r="B8" s="200">
        <f>'Murrey''s Rev 2015'!J8</f>
        <v>8522.1690140845076</v>
      </c>
      <c r="C8" s="201">
        <f>'American Rev 2015'!J8</f>
        <v>4954.4471830985922</v>
      </c>
      <c r="D8" s="201">
        <f t="shared" si="0"/>
        <v>13476.616197183099</v>
      </c>
      <c r="E8" s="202">
        <f>ROUND(D8/References!$H$19,0)</f>
        <v>1123</v>
      </c>
    </row>
    <row r="9" spans="1:5">
      <c r="A9" s="177"/>
      <c r="B9" s="200"/>
      <c r="C9" s="201"/>
      <c r="D9" s="201"/>
      <c r="E9" s="202"/>
    </row>
    <row r="10" spans="1:5">
      <c r="A10" s="177" t="s">
        <v>285</v>
      </c>
      <c r="B10" s="200">
        <f>'Murrey''s Rev 2015'!J10</f>
        <v>2049.029126213592</v>
      </c>
      <c r="C10" s="201">
        <f>'American Rev 2015'!J10</f>
        <v>957.99999999999989</v>
      </c>
      <c r="D10" s="201">
        <f t="shared" si="0"/>
        <v>3007.029126213592</v>
      </c>
      <c r="E10" s="202">
        <f>ROUND(D10/References!$H$19,0)</f>
        <v>251</v>
      </c>
    </row>
    <row r="11" spans="1:5">
      <c r="A11" s="177"/>
      <c r="B11" s="200"/>
      <c r="C11" s="201"/>
      <c r="D11" s="201"/>
      <c r="E11" s="201"/>
    </row>
    <row r="12" spans="1:5">
      <c r="A12" s="177" t="s">
        <v>286</v>
      </c>
      <c r="B12" s="200">
        <f>'Murrey''s Rev 2015'!J12</f>
        <v>109702.44284798634</v>
      </c>
      <c r="C12" s="201">
        <f>'American Rev 2015'!J12</f>
        <v>53254.84063312324</v>
      </c>
      <c r="D12" s="201">
        <f t="shared" si="0"/>
        <v>162957.2834811096</v>
      </c>
      <c r="E12" s="202">
        <f>ROUND(D12/References!$H$19,0)</f>
        <v>13580</v>
      </c>
    </row>
    <row r="13" spans="1:5">
      <c r="A13" s="177" t="s">
        <v>287</v>
      </c>
      <c r="B13" s="200">
        <f>'Murrey''s Rev 2015'!J13</f>
        <v>274.86666666666667</v>
      </c>
      <c r="C13" s="201">
        <f>'American Rev 2015'!J13</f>
        <v>164</v>
      </c>
      <c r="D13" s="201">
        <f t="shared" si="0"/>
        <v>438.86666666666667</v>
      </c>
      <c r="E13" s="202">
        <f>ROUND(D13/References!$H$19,0)</f>
        <v>37</v>
      </c>
    </row>
    <row r="14" spans="1:5" s="119" customFormat="1">
      <c r="A14" s="177" t="s">
        <v>288</v>
      </c>
      <c r="B14" s="200">
        <f>'Murrey''s Rev 2015'!J14</f>
        <v>1985.566017316017</v>
      </c>
      <c r="C14" s="201">
        <f>'American Rev 2015'!J14</f>
        <v>1766.3062770562772</v>
      </c>
      <c r="D14" s="201">
        <f t="shared" si="0"/>
        <v>3751.8722943722942</v>
      </c>
      <c r="E14" s="202">
        <f>ROUND(D14/References!$H$19,0)</f>
        <v>313</v>
      </c>
    </row>
    <row r="15" spans="1:5" s="119" customFormat="1">
      <c r="A15" s="177" t="s">
        <v>289</v>
      </c>
      <c r="B15" s="200">
        <f>'Murrey''s Rev 2015'!J15</f>
        <v>717.22330097087365</v>
      </c>
      <c r="C15" s="201">
        <f>'American Rev 2015'!J15</f>
        <v>446.99029126213594</v>
      </c>
      <c r="D15" s="201">
        <f t="shared" si="0"/>
        <v>1164.2135922330096</v>
      </c>
      <c r="E15" s="202">
        <f>ROUND(D15/References!$H$19,0)</f>
        <v>97</v>
      </c>
    </row>
    <row r="16" spans="1:5" s="119" customFormat="1">
      <c r="A16" s="177" t="s">
        <v>290</v>
      </c>
      <c r="B16" s="200">
        <f>'Murrey''s Rev 2015'!J16</f>
        <v>48</v>
      </c>
      <c r="C16" s="201">
        <f>'American Rev 2015'!J16</f>
        <v>31.000000000000004</v>
      </c>
      <c r="D16" s="201">
        <f t="shared" si="0"/>
        <v>79</v>
      </c>
      <c r="E16" s="202">
        <f>ROUND(D16/References!$H$19,0)</f>
        <v>7</v>
      </c>
    </row>
    <row r="17" spans="1:8">
      <c r="A17" s="177" t="s">
        <v>291</v>
      </c>
      <c r="B17" s="200">
        <f>'Murrey''s Rev 2015'!J17</f>
        <v>0</v>
      </c>
      <c r="C17" s="201">
        <f>'American Rev 2015'!J17</f>
        <v>0</v>
      </c>
      <c r="D17" s="201">
        <f t="shared" si="0"/>
        <v>0</v>
      </c>
      <c r="E17" s="202">
        <f>ROUND(D17/References!$H$19,0)</f>
        <v>0</v>
      </c>
    </row>
    <row r="18" spans="1:8">
      <c r="A18" s="177" t="s">
        <v>292</v>
      </c>
      <c r="B18" s="200">
        <f>'Murrey''s Rev 2015'!J18</f>
        <v>33</v>
      </c>
      <c r="C18" s="201">
        <f>'American Rev 2015'!J18</f>
        <v>7.7532467532467528</v>
      </c>
      <c r="D18" s="201">
        <f t="shared" si="0"/>
        <v>40.753246753246756</v>
      </c>
      <c r="E18" s="202">
        <f>ROUND(D18/References!$H$19,0)</f>
        <v>3</v>
      </c>
    </row>
    <row r="19" spans="1:8">
      <c r="A19" s="177" t="s">
        <v>293</v>
      </c>
      <c r="B19" s="200">
        <f>'Murrey''s Rev 2015'!J19</f>
        <v>99.739436619718319</v>
      </c>
      <c r="C19" s="201">
        <f>'American Rev 2015'!J19</f>
        <v>79.544174135723438</v>
      </c>
      <c r="D19" s="201"/>
      <c r="E19" s="202"/>
    </row>
    <row r="20" spans="1:8">
      <c r="A20" s="177"/>
      <c r="B20" s="200"/>
      <c r="C20" s="201"/>
      <c r="D20" s="201"/>
      <c r="E20" s="202"/>
    </row>
    <row r="21" spans="1:8">
      <c r="A21" s="189" t="s">
        <v>294</v>
      </c>
      <c r="B21" s="200">
        <f>'Murrey''s Rev 2015'!J21</f>
        <v>2647.5830206378987</v>
      </c>
      <c r="C21" s="201">
        <f>'American Rev 2015'!J21</f>
        <v>1086.3287992495309</v>
      </c>
      <c r="D21" s="201">
        <f t="shared" si="0"/>
        <v>3733.9118198874294</v>
      </c>
      <c r="E21" s="202">
        <f>ROUND(D21/References!$H$19,0)</f>
        <v>311</v>
      </c>
    </row>
    <row r="22" spans="1:8">
      <c r="A22" s="177" t="s">
        <v>295</v>
      </c>
      <c r="B22" s="200">
        <f>'Murrey''s Rev 2015'!J22</f>
        <v>67.887065637065646</v>
      </c>
      <c r="C22" s="201">
        <f>'American Rev 2015'!J22</f>
        <v>22.999999999999996</v>
      </c>
      <c r="D22" s="201">
        <f t="shared" si="0"/>
        <v>90.887065637065646</v>
      </c>
      <c r="E22" s="202">
        <f>ROUND(D22/References!$H$19,0)</f>
        <v>8</v>
      </c>
    </row>
    <row r="23" spans="1:8">
      <c r="A23" s="177" t="s">
        <v>166</v>
      </c>
      <c r="B23" s="200">
        <f>'Murrey''s Rev 2015'!J23</f>
        <v>39.933226065969436</v>
      </c>
      <c r="C23" s="201">
        <f>'American Rev 2015'!J23</f>
        <v>36</v>
      </c>
      <c r="D23" s="201">
        <f t="shared" si="0"/>
        <v>75.933226065969436</v>
      </c>
      <c r="E23" s="202">
        <f>ROUND(D23/References!$H$19,0)</f>
        <v>6</v>
      </c>
    </row>
    <row r="24" spans="1:8">
      <c r="A24" s="177" t="s">
        <v>296</v>
      </c>
      <c r="B24" s="200">
        <f>'Murrey''s Rev 2015'!J24</f>
        <v>910.7894144144143</v>
      </c>
      <c r="C24" s="201">
        <f>'American Rev 2015'!J24</f>
        <v>818.04054054054029</v>
      </c>
      <c r="D24" s="201">
        <f t="shared" si="0"/>
        <v>1728.8299549549547</v>
      </c>
      <c r="E24" s="202">
        <f>ROUND(D24/References!$H$19,0)</f>
        <v>144</v>
      </c>
    </row>
    <row r="25" spans="1:8">
      <c r="A25" s="177"/>
      <c r="B25" s="200"/>
      <c r="C25" s="201"/>
      <c r="D25" s="201"/>
      <c r="E25" s="202"/>
    </row>
    <row r="26" spans="1:8">
      <c r="A26" s="177" t="s">
        <v>297</v>
      </c>
      <c r="B26" s="200">
        <f>'Murrey''s Rev 2015'!J26</f>
        <v>98.96255506607929</v>
      </c>
      <c r="C26" s="201">
        <f>'American Rev 2015'!J26</f>
        <v>42.654185022026425</v>
      </c>
      <c r="D26" s="201">
        <f t="shared" si="0"/>
        <v>141.6167400881057</v>
      </c>
      <c r="E26" s="202">
        <f>ROUND(D26/References!$H$19,0)</f>
        <v>12</v>
      </c>
    </row>
    <row r="27" spans="1:8">
      <c r="A27" s="177" t="s">
        <v>298</v>
      </c>
      <c r="B27" s="200">
        <f>'Murrey''s Rev 2015'!J27</f>
        <v>15</v>
      </c>
      <c r="C27" s="201">
        <f>'American Rev 2015'!J27</f>
        <v>10</v>
      </c>
      <c r="D27" s="201">
        <f t="shared" si="0"/>
        <v>25</v>
      </c>
      <c r="E27" s="202">
        <f>ROUND(D27/References!$H$19,0)</f>
        <v>2</v>
      </c>
    </row>
    <row r="28" spans="1:8">
      <c r="A28" s="177" t="s">
        <v>299</v>
      </c>
      <c r="B28" s="200">
        <f>'Murrey''s Rev 2015'!J28</f>
        <v>236389.22970903522</v>
      </c>
      <c r="C28" s="201">
        <f>'American Rev 2015'!J28</f>
        <v>100992.11026033689</v>
      </c>
      <c r="D28" s="201">
        <f t="shared" si="0"/>
        <v>337381.33996937214</v>
      </c>
      <c r="E28" s="202">
        <f>ROUND(D28/References!$H$19,0)</f>
        <v>28115</v>
      </c>
    </row>
    <row r="29" spans="1:8">
      <c r="A29" s="177" t="s">
        <v>300</v>
      </c>
      <c r="B29" s="200">
        <f>'Murrey''s Rev 2015'!J29</f>
        <v>47</v>
      </c>
      <c r="C29" s="201">
        <f>'American Rev 2015'!J29</f>
        <v>15.000000000000002</v>
      </c>
      <c r="D29" s="201"/>
      <c r="E29" s="202">
        <f>ROUND(D29/References!$H$19,0)</f>
        <v>0</v>
      </c>
    </row>
    <row r="30" spans="1:8">
      <c r="A30" s="177" t="s">
        <v>301</v>
      </c>
      <c r="B30" s="200">
        <f>'Murrey''s Rev 2015'!J30</f>
        <v>412</v>
      </c>
      <c r="C30" s="201">
        <f>'American Rev 2015'!J30</f>
        <v>303.99999999999994</v>
      </c>
      <c r="D30" s="201"/>
      <c r="E30" s="202">
        <f>ROUND(D30/References!$H$19,0)</f>
        <v>0</v>
      </c>
    </row>
    <row r="31" spans="1:8">
      <c r="A31" s="177"/>
      <c r="B31" s="200"/>
      <c r="C31" s="201"/>
      <c r="D31" s="201"/>
      <c r="E31" s="202"/>
    </row>
    <row r="32" spans="1:8">
      <c r="A32" s="177" t="s">
        <v>302</v>
      </c>
      <c r="B32" s="200">
        <f>'Murrey''s Rev 2015'!J32</f>
        <v>10328.246284188732</v>
      </c>
      <c r="C32" s="201">
        <f>'American Rev 2015'!J32</f>
        <v>6371.5252642475753</v>
      </c>
      <c r="D32" s="201">
        <f t="shared" si="0"/>
        <v>16699.771548436307</v>
      </c>
      <c r="E32" s="202">
        <f>ROUND(D32/References!$H$19,0)</f>
        <v>1392</v>
      </c>
      <c r="G32" s="336"/>
      <c r="H32" s="336"/>
    </row>
    <row r="33" spans="1:8">
      <c r="A33" s="177" t="s">
        <v>303</v>
      </c>
      <c r="B33" s="200">
        <f>'Murrey''s Rev 2015'!J33</f>
        <v>144.60717489455971</v>
      </c>
      <c r="C33" s="201">
        <f>'American Rev 2015'!J33</f>
        <v>65.704808869373011</v>
      </c>
      <c r="D33" s="201">
        <f t="shared" si="0"/>
        <v>210.31198376393272</v>
      </c>
      <c r="E33" s="202">
        <f>ROUND(D33/References!$H$19,0)</f>
        <v>18</v>
      </c>
      <c r="G33" s="336"/>
      <c r="H33" s="336"/>
    </row>
    <row r="34" spans="1:8">
      <c r="A34" s="177" t="s">
        <v>304</v>
      </c>
      <c r="B34" s="200">
        <f>'Murrey''s Rev 2015'!J34</f>
        <v>5449.462982945648</v>
      </c>
      <c r="C34" s="201">
        <f>'American Rev 2015'!J34</f>
        <v>3282.85543660849</v>
      </c>
      <c r="D34" s="201">
        <f t="shared" si="0"/>
        <v>8732.318419554138</v>
      </c>
      <c r="E34" s="202">
        <f>ROUND(D34/References!$H$19,0)</f>
        <v>728</v>
      </c>
      <c r="G34" s="336"/>
      <c r="H34" s="336"/>
    </row>
    <row r="35" spans="1:8">
      <c r="A35" s="177" t="s">
        <v>305</v>
      </c>
      <c r="B35" s="200">
        <f>'Murrey''s Rev 2015'!J35</f>
        <v>277734.7579097547</v>
      </c>
      <c r="C35" s="201">
        <f>'American Rev 2015'!J35</f>
        <v>150061.2662750179</v>
      </c>
      <c r="D35" s="201">
        <f t="shared" si="0"/>
        <v>427796.02418477263</v>
      </c>
      <c r="E35" s="202">
        <f>ROUND(D35/References!$H$19,0)</f>
        <v>35650</v>
      </c>
      <c r="G35" s="336"/>
      <c r="H35" s="336"/>
    </row>
    <row r="36" spans="1:8">
      <c r="A36" s="177" t="s">
        <v>306</v>
      </c>
      <c r="B36" s="200">
        <f>'Murrey''s Rev 2015'!J36</f>
        <v>4464.3257530525607</v>
      </c>
      <c r="C36" s="201">
        <f>'American Rev 2015'!J36</f>
        <v>2465.9006862931637</v>
      </c>
      <c r="D36" s="201">
        <f t="shared" si="0"/>
        <v>6930.2264393457244</v>
      </c>
      <c r="E36" s="202">
        <f>ROUND(D36/References!$H$19,0)</f>
        <v>578</v>
      </c>
      <c r="G36" s="336"/>
      <c r="H36" s="336"/>
    </row>
    <row r="37" spans="1:8">
      <c r="A37" s="177" t="s">
        <v>307</v>
      </c>
      <c r="B37" s="200">
        <f>'Murrey''s Rev 2015'!J37</f>
        <v>89485.74259909564</v>
      </c>
      <c r="C37" s="201">
        <f>'American Rev 2015'!J37</f>
        <v>45486.718695018353</v>
      </c>
      <c r="D37" s="201">
        <f t="shared" si="0"/>
        <v>134972.46129411401</v>
      </c>
      <c r="E37" s="202">
        <f>ROUND(D37/References!$H$19,0)</f>
        <v>11248</v>
      </c>
      <c r="G37" s="336"/>
      <c r="H37" s="336"/>
    </row>
    <row r="38" spans="1:8">
      <c r="A38" s="177" t="s">
        <v>308</v>
      </c>
      <c r="B38" s="200">
        <f>'Murrey''s Rev 2015'!J38</f>
        <v>1640.1721073486328</v>
      </c>
      <c r="C38" s="201">
        <f>'American Rev 2015'!J38</f>
        <v>660.92286049094332</v>
      </c>
      <c r="D38" s="201">
        <f t="shared" si="0"/>
        <v>2301.0949678395764</v>
      </c>
      <c r="E38" s="202">
        <f>ROUND(D38/References!$H$19,0)</f>
        <v>192</v>
      </c>
      <c r="G38" s="336"/>
      <c r="H38" s="336"/>
    </row>
    <row r="39" spans="1:8">
      <c r="A39" s="177" t="s">
        <v>309</v>
      </c>
      <c r="B39" s="200">
        <f>'Murrey''s Rev 2015'!J39</f>
        <v>4569.9710863748123</v>
      </c>
      <c r="C39" s="201">
        <f>'American Rev 2015'!J39</f>
        <v>3185.8465404172498</v>
      </c>
      <c r="D39" s="201">
        <f t="shared" si="0"/>
        <v>7755.8176267920626</v>
      </c>
      <c r="E39" s="202">
        <f>ROUND(D39/References!$H$19,0)</f>
        <v>646</v>
      </c>
      <c r="G39" s="336"/>
      <c r="H39" s="336"/>
    </row>
    <row r="40" spans="1:8">
      <c r="A40" s="177" t="s">
        <v>310</v>
      </c>
      <c r="B40" s="200">
        <f>'Murrey''s Rev 2015'!J40</f>
        <v>68.64505420054202</v>
      </c>
      <c r="C40" s="201">
        <f>'American Rev 2015'!J40</f>
        <v>53.244986449864491</v>
      </c>
      <c r="D40" s="201">
        <f t="shared" si="0"/>
        <v>121.89004065040652</v>
      </c>
      <c r="E40" s="202">
        <f>ROUND(D40/References!$H$19,0)</f>
        <v>10</v>
      </c>
      <c r="G40" s="336"/>
      <c r="H40" s="336"/>
    </row>
    <row r="41" spans="1:8">
      <c r="A41" s="177" t="s">
        <v>311</v>
      </c>
      <c r="B41" s="200">
        <f>'Murrey''s Rev 2015'!J41</f>
        <v>522.7403242091093</v>
      </c>
      <c r="C41" s="201">
        <f>'American Rev 2015'!J41</f>
        <v>309.76449966345075</v>
      </c>
      <c r="D41" s="201">
        <f t="shared" si="0"/>
        <v>832.50482387256011</v>
      </c>
      <c r="E41" s="202">
        <f>ROUND(D41/References!$H$19,0)</f>
        <v>69</v>
      </c>
      <c r="G41" s="336"/>
      <c r="H41" s="336"/>
    </row>
    <row r="42" spans="1:8">
      <c r="A42" s="177" t="s">
        <v>312</v>
      </c>
      <c r="B42" s="200">
        <f>'Murrey''s Rev 2015'!J42</f>
        <v>12</v>
      </c>
      <c r="C42" s="201">
        <f>'American Rev 2015'!J42</f>
        <v>13.773934527486102</v>
      </c>
      <c r="D42" s="201">
        <f t="shared" si="0"/>
        <v>25.773934527486102</v>
      </c>
      <c r="E42" s="202">
        <f>ROUND(D42/References!$H$19,0)</f>
        <v>2</v>
      </c>
      <c r="G42" s="336"/>
      <c r="H42" s="336"/>
    </row>
    <row r="43" spans="1:8">
      <c r="A43" s="177" t="s">
        <v>313</v>
      </c>
      <c r="B43" s="200">
        <f>'Murrey''s Rev 2015'!J43</f>
        <v>60.335920177383599</v>
      </c>
      <c r="C43" s="201">
        <f>'American Rev 2015'!J43</f>
        <v>28.500000000000004</v>
      </c>
      <c r="D43" s="201">
        <f t="shared" si="0"/>
        <v>88.835920177383599</v>
      </c>
      <c r="E43" s="202">
        <f>ROUND(D43/References!$H$19,0)</f>
        <v>7</v>
      </c>
      <c r="G43" s="336"/>
      <c r="H43" s="336"/>
    </row>
    <row r="44" spans="1:8">
      <c r="A44" s="177" t="s">
        <v>314</v>
      </c>
      <c r="B44" s="200">
        <f>'Murrey''s Rev 2015'!J44</f>
        <v>0</v>
      </c>
      <c r="C44" s="201">
        <f>'American Rev 2015'!J44</f>
        <v>0</v>
      </c>
      <c r="D44" s="201">
        <f t="shared" si="0"/>
        <v>0</v>
      </c>
      <c r="E44" s="202">
        <f>ROUND(D44/References!$H$19,0)</f>
        <v>0</v>
      </c>
      <c r="G44" s="336"/>
      <c r="H44" s="336"/>
    </row>
    <row r="45" spans="1:8">
      <c r="A45" s="177" t="s">
        <v>315</v>
      </c>
      <c r="B45" s="200">
        <f>'Murrey''s Rev 2015'!J45</f>
        <v>47.575595038551789</v>
      </c>
      <c r="C45" s="201">
        <f>'American Rev 2015'!J45</f>
        <v>19.962286288970837</v>
      </c>
      <c r="D45" s="201">
        <f t="shared" si="0"/>
        <v>67.537881327522626</v>
      </c>
      <c r="E45" s="202">
        <f>ROUND(D45/References!$H$19,0)</f>
        <v>6</v>
      </c>
      <c r="G45" s="336"/>
      <c r="H45" s="336"/>
    </row>
    <row r="46" spans="1:8">
      <c r="A46" s="177" t="s">
        <v>316</v>
      </c>
      <c r="B46" s="200">
        <f>'Murrey''s Rev 2015'!J46</f>
        <v>0</v>
      </c>
      <c r="C46" s="201">
        <f>'American Rev 2015'!J46</f>
        <v>0</v>
      </c>
      <c r="D46" s="201">
        <f t="shared" si="0"/>
        <v>0</v>
      </c>
      <c r="E46" s="202">
        <f>ROUND(D46/References!$H$19,0)</f>
        <v>0</v>
      </c>
      <c r="G46" s="336"/>
      <c r="H46" s="336"/>
    </row>
    <row r="47" spans="1:8">
      <c r="A47" s="177" t="s">
        <v>317</v>
      </c>
      <c r="B47" s="200">
        <f>'Murrey''s Rev 2015'!J47</f>
        <v>1437.4892706736705</v>
      </c>
      <c r="C47" s="201">
        <f>'American Rev 2015'!J47</f>
        <v>678.58168365789049</v>
      </c>
      <c r="D47" s="201">
        <f t="shared" si="0"/>
        <v>2116.0709543315611</v>
      </c>
      <c r="E47" s="202">
        <f>ROUND(D47/References!$H$19,0)</f>
        <v>176</v>
      </c>
      <c r="G47" s="336"/>
      <c r="H47" s="336"/>
    </row>
    <row r="48" spans="1:8">
      <c r="A48" s="177" t="s">
        <v>318</v>
      </c>
      <c r="B48" s="200">
        <f>'Murrey''s Rev 2015'!J48</f>
        <v>67.748160432616444</v>
      </c>
      <c r="C48" s="201">
        <f>'American Rev 2015'!J48</f>
        <v>43.752509432121215</v>
      </c>
      <c r="D48" s="201">
        <f t="shared" si="0"/>
        <v>111.50066986473766</v>
      </c>
      <c r="E48" s="202">
        <f>ROUND(D48/References!$H$19,0)</f>
        <v>9</v>
      </c>
      <c r="G48" s="336"/>
      <c r="H48" s="336"/>
    </row>
    <row r="49" spans="1:8">
      <c r="A49" s="185" t="s">
        <v>17</v>
      </c>
      <c r="B49" s="203"/>
      <c r="C49" s="204">
        <f t="shared" ref="C49:D49" si="1">SUM(C32:C48)+C12</f>
        <v>265983.16110010608</v>
      </c>
      <c r="D49" s="204">
        <f t="shared" si="1"/>
        <v>771719.42417047964</v>
      </c>
      <c r="E49" s="204">
        <f>SUM(E32:E48)+E12</f>
        <v>64311</v>
      </c>
      <c r="G49" s="336"/>
      <c r="H49" s="336"/>
    </row>
    <row r="50" spans="1:8">
      <c r="A50" s="185"/>
      <c r="B50" s="191"/>
      <c r="C50" s="199"/>
      <c r="D50" s="199"/>
      <c r="E50" s="204"/>
    </row>
    <row r="51" spans="1:8">
      <c r="A51" s="185"/>
      <c r="B51" s="191"/>
      <c r="C51" s="199"/>
      <c r="D51" s="199"/>
      <c r="E51" s="204"/>
    </row>
    <row r="52" spans="1:8">
      <c r="A52" s="185"/>
      <c r="B52" s="200"/>
      <c r="C52" s="201"/>
      <c r="D52" s="201"/>
      <c r="E52" s="202"/>
    </row>
    <row r="53" spans="1:8">
      <c r="A53" s="176" t="s">
        <v>184</v>
      </c>
      <c r="B53" s="200"/>
      <c r="C53" s="201"/>
      <c r="D53" s="201"/>
      <c r="E53" s="202"/>
    </row>
    <row r="54" spans="1:8">
      <c r="A54" s="177" t="s">
        <v>319</v>
      </c>
      <c r="B54" s="200">
        <f>'Murrey''s Rev 2015'!J54</f>
        <v>5953.3081134892991</v>
      </c>
      <c r="C54" s="201">
        <f>'American Rev 2015'!J54</f>
        <v>1250.7755102040815</v>
      </c>
      <c r="D54" s="201">
        <f t="shared" ref="D54:D56" si="2">SUM(B54:C54)</f>
        <v>7204.083623693381</v>
      </c>
      <c r="E54" s="202">
        <f>ROUND(D54/References!$H$19,0)</f>
        <v>600</v>
      </c>
    </row>
    <row r="55" spans="1:8">
      <c r="A55" s="177" t="s">
        <v>284</v>
      </c>
      <c r="B55" s="200">
        <f>'Murrey''s Rev 2015'!J55</f>
        <v>5946.0492957746474</v>
      </c>
      <c r="C55" s="201">
        <f>'American Rev 2015'!J55</f>
        <v>1244.4802816901408</v>
      </c>
      <c r="D55" s="201">
        <f t="shared" si="2"/>
        <v>7190.5295774647884</v>
      </c>
      <c r="E55" s="202">
        <f>ROUND(D55/References!$H$19,0)</f>
        <v>599</v>
      </c>
    </row>
    <row r="56" spans="1:8">
      <c r="A56" s="177" t="s">
        <v>284</v>
      </c>
      <c r="B56" s="200">
        <f>'Murrey''s Rev 2015'!J56</f>
        <v>0</v>
      </c>
      <c r="C56" s="201">
        <f>'American Rev 2015'!J56</f>
        <v>0</v>
      </c>
      <c r="D56" s="201">
        <f t="shared" si="2"/>
        <v>0</v>
      </c>
      <c r="E56" s="202">
        <f>ROUND(D56/References!$H$19,0)</f>
        <v>0</v>
      </c>
    </row>
    <row r="57" spans="1:8">
      <c r="A57" s="185"/>
      <c r="B57" s="200"/>
      <c r="C57" s="201"/>
      <c r="D57" s="201"/>
      <c r="E57" s="202"/>
    </row>
    <row r="58" spans="1:8">
      <c r="A58" s="177" t="s">
        <v>286</v>
      </c>
      <c r="B58" s="200">
        <f>'Murrey''s Rev 2015'!J58</f>
        <v>5522.7063466628688</v>
      </c>
      <c r="C58" s="201">
        <f>'American Rev 2015'!J58</f>
        <v>756.66294555424997</v>
      </c>
      <c r="D58" s="201">
        <f t="shared" ref="D58" si="3">SUM(B58:C58)</f>
        <v>6279.3692922171185</v>
      </c>
      <c r="E58" s="202">
        <f>ROUND(D58/References!$H$19,0)</f>
        <v>523</v>
      </c>
    </row>
    <row r="59" spans="1:8">
      <c r="A59" s="177"/>
      <c r="B59" s="200"/>
      <c r="C59" s="201"/>
      <c r="D59" s="201"/>
      <c r="E59" s="202"/>
    </row>
    <row r="60" spans="1:8">
      <c r="A60" s="177" t="s">
        <v>320</v>
      </c>
      <c r="B60" s="200">
        <f>'Murrey''s Rev 2015'!J60</f>
        <v>128</v>
      </c>
      <c r="C60" s="201">
        <f>'American Rev 2015'!J60</f>
        <v>58.668167492120666</v>
      </c>
      <c r="D60" s="201">
        <f t="shared" ref="D60:D61" si="4">SUM(B60:C60)</f>
        <v>186.66816749212066</v>
      </c>
      <c r="E60" s="202">
        <f>ROUND(D60/References!$H$19,0)</f>
        <v>16</v>
      </c>
    </row>
    <row r="61" spans="1:8">
      <c r="A61" s="177" t="s">
        <v>321</v>
      </c>
      <c r="B61" s="200">
        <f>'Murrey''s Rev 2015'!J61</f>
        <v>172.00025575447569</v>
      </c>
      <c r="C61" s="201">
        <f>'American Rev 2015'!J61</f>
        <v>96.999999999999986</v>
      </c>
      <c r="D61" s="201">
        <f t="shared" si="4"/>
        <v>269.00025575447569</v>
      </c>
      <c r="E61" s="202">
        <f>ROUND(D61/References!$H$19,0)</f>
        <v>22</v>
      </c>
    </row>
    <row r="62" spans="1:8">
      <c r="A62" s="177"/>
      <c r="B62" s="200"/>
      <c r="C62" s="201"/>
      <c r="D62" s="201"/>
      <c r="E62" s="202"/>
    </row>
    <row r="63" spans="1:8">
      <c r="A63" s="177" t="s">
        <v>322</v>
      </c>
      <c r="B63" s="200">
        <f>'Murrey''s Rev 2015'!J63</f>
        <v>12062.0466779736</v>
      </c>
      <c r="C63" s="201">
        <f>'American Rev 2015'!J63</f>
        <v>4156.4880761005825</v>
      </c>
      <c r="D63" s="201">
        <f t="shared" ref="D63:D64" si="5">SUM(B63:C63)</f>
        <v>16218.534754074182</v>
      </c>
      <c r="E63" s="202">
        <f>ROUND(D63/References!$H$19,0)</f>
        <v>1352</v>
      </c>
    </row>
    <row r="64" spans="1:8">
      <c r="A64" s="177" t="s">
        <v>323</v>
      </c>
      <c r="B64" s="200">
        <f>'Murrey''s Rev 2015'!J64</f>
        <v>4238</v>
      </c>
      <c r="C64" s="201">
        <f>'American Rev 2015'!J64</f>
        <v>1688</v>
      </c>
      <c r="D64" s="201">
        <f t="shared" si="5"/>
        <v>5926</v>
      </c>
      <c r="E64" s="202">
        <f>ROUND(D64/References!$H$19,0)</f>
        <v>494</v>
      </c>
    </row>
    <row r="65" spans="1:8">
      <c r="A65" s="177"/>
      <c r="B65" s="200"/>
      <c r="C65" s="201"/>
      <c r="D65" s="201"/>
      <c r="E65" s="202"/>
    </row>
    <row r="66" spans="1:8">
      <c r="A66" s="177" t="s">
        <v>288</v>
      </c>
      <c r="B66" s="200">
        <f>'Murrey''s Rev 2015'!J66</f>
        <v>125.85064935064932</v>
      </c>
      <c r="C66" s="201">
        <f>'American Rev 2015'!J66</f>
        <v>97.688311688311714</v>
      </c>
      <c r="D66" s="201">
        <f t="shared" ref="D66:D70" si="6">SUM(B66:C66)</f>
        <v>223.53896103896102</v>
      </c>
      <c r="E66" s="202">
        <f>ROUND(D66/References!$H$19,0)</f>
        <v>19</v>
      </c>
    </row>
    <row r="67" spans="1:8">
      <c r="A67" s="177" t="s">
        <v>289</v>
      </c>
      <c r="B67" s="200">
        <f>'Murrey''s Rev 2015'!J67</f>
        <v>36</v>
      </c>
      <c r="C67" s="201">
        <f>'American Rev 2015'!J67</f>
        <v>306.61165048543694</v>
      </c>
      <c r="D67" s="201">
        <f t="shared" si="6"/>
        <v>342.61165048543694</v>
      </c>
      <c r="E67" s="202">
        <f>ROUND(D67/References!$H$19,0)</f>
        <v>29</v>
      </c>
    </row>
    <row r="68" spans="1:8">
      <c r="A68" s="177" t="s">
        <v>324</v>
      </c>
      <c r="B68" s="200">
        <f>'Murrey''s Rev 2015'!J68</f>
        <v>47.938461538461546</v>
      </c>
      <c r="C68" s="201">
        <f>'American Rev 2015'!J68</f>
        <v>111.42820512820514</v>
      </c>
      <c r="D68" s="201">
        <f t="shared" si="6"/>
        <v>159.36666666666667</v>
      </c>
      <c r="E68" s="202">
        <f>ROUND(D68/References!$H$19,0)</f>
        <v>13</v>
      </c>
    </row>
    <row r="69" spans="1:8">
      <c r="A69" s="177" t="s">
        <v>292</v>
      </c>
      <c r="B69" s="200">
        <f>'Murrey''s Rev 2015'!J69</f>
        <v>0</v>
      </c>
      <c r="C69" s="201">
        <f>'American Rev 2015'!J69</f>
        <v>0</v>
      </c>
      <c r="D69" s="201">
        <f t="shared" si="6"/>
        <v>0</v>
      </c>
      <c r="E69" s="202">
        <f>ROUND(D69/References!$H$19,0)</f>
        <v>0</v>
      </c>
    </row>
    <row r="70" spans="1:8">
      <c r="A70" s="177" t="s">
        <v>290</v>
      </c>
      <c r="B70" s="200">
        <f>'Murrey''s Rev 2015'!J70</f>
        <v>0</v>
      </c>
      <c r="C70" s="201">
        <f>'American Rev 2015'!J70</f>
        <v>0</v>
      </c>
      <c r="D70" s="201">
        <f t="shared" si="6"/>
        <v>0</v>
      </c>
      <c r="E70" s="202">
        <f>ROUND(D70/References!$H$19,0)</f>
        <v>0</v>
      </c>
    </row>
    <row r="71" spans="1:8">
      <c r="A71" s="177"/>
      <c r="B71" s="200"/>
      <c r="C71" s="201"/>
      <c r="D71" s="201"/>
      <c r="E71" s="202"/>
    </row>
    <row r="72" spans="1:8">
      <c r="A72" s="177" t="s">
        <v>299</v>
      </c>
      <c r="B72" s="200">
        <f>'Murrey''s Rev 2015'!J72</f>
        <v>4385.8728943338429</v>
      </c>
      <c r="C72" s="201">
        <f>'American Rev 2015'!J72</f>
        <v>534.30321592649318</v>
      </c>
      <c r="D72" s="201">
        <f t="shared" ref="D72:D74" si="7">SUM(B72:C72)</f>
        <v>4920.1761102603359</v>
      </c>
      <c r="E72" s="202">
        <f>ROUND(D72/References!$H$19,0)</f>
        <v>410</v>
      </c>
    </row>
    <row r="73" spans="1:8">
      <c r="A73" s="177" t="s">
        <v>325</v>
      </c>
      <c r="B73" s="200">
        <f>'Murrey''s Rev 2015'!J73</f>
        <v>0</v>
      </c>
      <c r="C73" s="201">
        <f>'American Rev 2015'!J73</f>
        <v>0</v>
      </c>
      <c r="D73" s="201">
        <f t="shared" si="7"/>
        <v>0</v>
      </c>
      <c r="E73" s="202">
        <f>ROUND(D73/References!$H$19,0)</f>
        <v>0</v>
      </c>
    </row>
    <row r="74" spans="1:8">
      <c r="A74" s="177" t="s">
        <v>301</v>
      </c>
      <c r="B74" s="200">
        <f>'Murrey''s Rev 2015'!J74</f>
        <v>0</v>
      </c>
      <c r="C74" s="201">
        <f>'American Rev 2015'!J74</f>
        <v>0</v>
      </c>
      <c r="D74" s="201">
        <f t="shared" si="7"/>
        <v>0</v>
      </c>
      <c r="E74" s="202">
        <f>ROUND(D74/References!$H$19,0)</f>
        <v>0</v>
      </c>
    </row>
    <row r="75" spans="1:8">
      <c r="A75" s="177"/>
      <c r="B75" s="200"/>
      <c r="C75" s="201"/>
      <c r="D75" s="201"/>
      <c r="E75" s="202"/>
    </row>
    <row r="76" spans="1:8">
      <c r="A76" s="177" t="s">
        <v>305</v>
      </c>
      <c r="B76" s="200">
        <f>'Murrey''s Rev 2015'!J76</f>
        <v>5273.5292601673182</v>
      </c>
      <c r="C76" s="201">
        <f>'American Rev 2015'!J76</f>
        <v>1172.7399226946436</v>
      </c>
      <c r="D76" s="201">
        <f t="shared" ref="D76:D85" si="8">SUM(B76:C76)</f>
        <v>6446.2691828619618</v>
      </c>
      <c r="E76" s="202">
        <f>ROUND(D76/References!$H$19,0)</f>
        <v>537</v>
      </c>
      <c r="G76" s="336"/>
      <c r="H76" s="336"/>
    </row>
    <row r="77" spans="1:8">
      <c r="A77" s="177" t="s">
        <v>306</v>
      </c>
      <c r="B77" s="200">
        <f>'Murrey''s Rev 2015'!J77</f>
        <v>25</v>
      </c>
      <c r="C77" s="201">
        <f>'American Rev 2015'!J77</f>
        <v>0</v>
      </c>
      <c r="D77" s="201">
        <f t="shared" si="8"/>
        <v>25</v>
      </c>
      <c r="E77" s="202">
        <f>ROUND(D77/References!$H$19,0)</f>
        <v>2</v>
      </c>
      <c r="G77" s="336"/>
      <c r="H77" s="336"/>
    </row>
    <row r="78" spans="1:8">
      <c r="A78" s="177" t="s">
        <v>307</v>
      </c>
      <c r="B78" s="200">
        <f>'Murrey''s Rev 2015'!J78</f>
        <v>670.58381910042658</v>
      </c>
      <c r="C78" s="201">
        <f>'American Rev 2015'!J78</f>
        <v>43.750175685172174</v>
      </c>
      <c r="D78" s="201">
        <f t="shared" si="8"/>
        <v>714.33399478559875</v>
      </c>
      <c r="E78" s="202">
        <f>ROUND(D78/References!$H$19,0)</f>
        <v>60</v>
      </c>
      <c r="G78" s="336"/>
      <c r="H78" s="336"/>
    </row>
    <row r="79" spans="1:8">
      <c r="A79" s="177" t="s">
        <v>308</v>
      </c>
      <c r="B79" s="200">
        <f>'Murrey''s Rev 2015'!J79</f>
        <v>0</v>
      </c>
      <c r="C79" s="201">
        <f>'American Rev 2015'!J79</f>
        <v>0</v>
      </c>
      <c r="D79" s="201">
        <f t="shared" si="8"/>
        <v>0</v>
      </c>
      <c r="E79" s="202">
        <f>ROUND(D79/References!$H$19,0)</f>
        <v>0</v>
      </c>
      <c r="G79" s="336"/>
      <c r="H79" s="336"/>
    </row>
    <row r="80" spans="1:8">
      <c r="A80" s="177" t="s">
        <v>309</v>
      </c>
      <c r="B80" s="200">
        <f>'Murrey''s Rev 2015'!J80</f>
        <v>83.499999999999986</v>
      </c>
      <c r="C80" s="201">
        <f>'American Rev 2015'!J80</f>
        <v>24</v>
      </c>
      <c r="D80" s="201">
        <f t="shared" si="8"/>
        <v>107.49999999999999</v>
      </c>
      <c r="E80" s="202">
        <f>ROUND(D80/References!$H$19,0)</f>
        <v>9</v>
      </c>
      <c r="G80" s="336"/>
      <c r="H80" s="336"/>
    </row>
    <row r="81" spans="1:8">
      <c r="A81" s="177" t="s">
        <v>310</v>
      </c>
      <c r="B81" s="200">
        <f>'Murrey''s Rev 2015'!J81</f>
        <v>12</v>
      </c>
      <c r="C81" s="201">
        <f>'American Rev 2015'!J81</f>
        <v>0</v>
      </c>
      <c r="D81" s="201">
        <f t="shared" si="8"/>
        <v>12</v>
      </c>
      <c r="E81" s="202">
        <f>ROUND(D81/References!$H$19,0)</f>
        <v>1</v>
      </c>
      <c r="G81" s="336"/>
      <c r="H81" s="336"/>
    </row>
    <row r="82" spans="1:8">
      <c r="A82" s="177" t="s">
        <v>311</v>
      </c>
      <c r="B82" s="200">
        <f>'Murrey''s Rev 2015'!J82</f>
        <v>45</v>
      </c>
      <c r="C82" s="201">
        <f>'American Rev 2015'!J82</f>
        <v>12</v>
      </c>
      <c r="D82" s="201">
        <f t="shared" si="8"/>
        <v>57</v>
      </c>
      <c r="E82" s="202">
        <f>ROUND(D82/References!$H$19,0)</f>
        <v>5</v>
      </c>
      <c r="G82" s="336"/>
      <c r="H82" s="336"/>
    </row>
    <row r="83" spans="1:8">
      <c r="A83" s="177" t="s">
        <v>312</v>
      </c>
      <c r="B83" s="200">
        <f>'Murrey''s Rev 2015'!J83</f>
        <v>12</v>
      </c>
      <c r="C83" s="201">
        <f>'American Rev 2015'!J83</f>
        <v>0</v>
      </c>
      <c r="D83" s="201">
        <f t="shared" si="8"/>
        <v>12</v>
      </c>
      <c r="E83" s="202">
        <f>ROUND(D83/References!$H$19,0)</f>
        <v>1</v>
      </c>
      <c r="G83" s="336"/>
      <c r="H83" s="336"/>
    </row>
    <row r="84" spans="1:8">
      <c r="A84" s="177" t="s">
        <v>315</v>
      </c>
      <c r="B84" s="200">
        <f>'Murrey''s Rev 2015'!J84</f>
        <v>0</v>
      </c>
      <c r="C84" s="201">
        <f>'American Rev 2015'!J84</f>
        <v>0</v>
      </c>
      <c r="D84" s="201">
        <f t="shared" si="8"/>
        <v>0</v>
      </c>
      <c r="E84" s="202">
        <f>ROUND(D84/References!$H$19,0)</f>
        <v>0</v>
      </c>
      <c r="G84" s="336"/>
      <c r="H84" s="336"/>
    </row>
    <row r="85" spans="1:8">
      <c r="A85" s="177" t="s">
        <v>317</v>
      </c>
      <c r="B85" s="200">
        <f>'Murrey''s Rev 2015'!J85</f>
        <v>11</v>
      </c>
      <c r="C85" s="201">
        <f>'American Rev 2015'!J85</f>
        <v>0</v>
      </c>
      <c r="D85" s="201">
        <f t="shared" si="8"/>
        <v>11</v>
      </c>
      <c r="E85" s="202">
        <f>ROUND(D85/References!$H$19,0)</f>
        <v>1</v>
      </c>
      <c r="G85" s="336"/>
      <c r="H85" s="336"/>
    </row>
    <row r="86" spans="1:8">
      <c r="A86" s="177"/>
      <c r="B86" s="200"/>
      <c r="C86" s="201"/>
      <c r="D86" s="201"/>
      <c r="E86" s="202"/>
      <c r="G86" s="336"/>
      <c r="H86" s="336"/>
    </row>
    <row r="87" spans="1:8">
      <c r="A87" s="185" t="s">
        <v>326</v>
      </c>
      <c r="B87" s="200"/>
      <c r="C87" s="201"/>
      <c r="D87" s="201"/>
      <c r="E87" s="202"/>
      <c r="G87" s="336"/>
      <c r="H87" s="336"/>
    </row>
    <row r="88" spans="1:8">
      <c r="A88" s="177" t="s">
        <v>327</v>
      </c>
      <c r="B88" s="200">
        <f>'Murrey''s Rev 2015'!J88</f>
        <v>3119.6526536042479</v>
      </c>
      <c r="C88" s="201">
        <f>'American Rev 2015'!J88</f>
        <v>568.23442555875363</v>
      </c>
      <c r="D88" s="201">
        <f t="shared" ref="D88:D111" si="9">SUM(B88:C88)</f>
        <v>3687.8870791630015</v>
      </c>
      <c r="E88" s="202">
        <f>ROUND(D88/References!$H$19,0)</f>
        <v>307</v>
      </c>
      <c r="G88" s="336"/>
      <c r="H88" s="336"/>
    </row>
    <row r="89" spans="1:8">
      <c r="A89" s="177" t="s">
        <v>328</v>
      </c>
      <c r="B89" s="200">
        <f>'Murrey''s Rev 2015'!J89</f>
        <v>0</v>
      </c>
      <c r="C89" s="201">
        <f>'American Rev 2015'!J89</f>
        <v>0</v>
      </c>
      <c r="D89" s="201">
        <f t="shared" si="9"/>
        <v>0</v>
      </c>
      <c r="E89" s="202">
        <f>ROUND(D89/References!$H$19,0)</f>
        <v>0</v>
      </c>
      <c r="G89" s="336"/>
      <c r="H89" s="336"/>
    </row>
    <row r="90" spans="1:8">
      <c r="A90" s="177" t="s">
        <v>329</v>
      </c>
      <c r="B90" s="200">
        <f>'Murrey''s Rev 2015'!J90</f>
        <v>475.49450112179204</v>
      </c>
      <c r="C90" s="201">
        <f>'American Rev 2015'!J90</f>
        <v>191.24998329881757</v>
      </c>
      <c r="D90" s="201">
        <f t="shared" si="9"/>
        <v>666.74448442060964</v>
      </c>
      <c r="E90" s="202">
        <f>ROUND(D90/References!$H$19,0)</f>
        <v>56</v>
      </c>
      <c r="G90" s="336"/>
      <c r="H90" s="336"/>
    </row>
    <row r="91" spans="1:8">
      <c r="A91" s="177" t="s">
        <v>330</v>
      </c>
      <c r="B91" s="200">
        <f>'Murrey''s Rev 2015'!J91</f>
        <v>0</v>
      </c>
      <c r="C91" s="201">
        <f>'American Rev 2015'!J91</f>
        <v>24.000000000000004</v>
      </c>
      <c r="D91" s="201">
        <f t="shared" si="9"/>
        <v>24.000000000000004</v>
      </c>
      <c r="E91" s="202">
        <f>ROUND(D91/References!$H$19,0)</f>
        <v>2</v>
      </c>
      <c r="G91" s="336"/>
      <c r="H91" s="336"/>
    </row>
    <row r="92" spans="1:8">
      <c r="A92" s="178" t="s">
        <v>331</v>
      </c>
      <c r="B92" s="200">
        <f>'Murrey''s Rev 2015'!J92</f>
        <v>0</v>
      </c>
      <c r="C92" s="201">
        <f>'American Rev 2015'!J92</f>
        <v>0</v>
      </c>
      <c r="D92" s="201">
        <f t="shared" si="9"/>
        <v>0</v>
      </c>
      <c r="E92" s="202">
        <f>ROUND(D92/References!$H$19,0)</f>
        <v>0</v>
      </c>
      <c r="G92" s="336"/>
      <c r="H92" s="336"/>
    </row>
    <row r="93" spans="1:8">
      <c r="A93" s="177" t="s">
        <v>332</v>
      </c>
      <c r="B93" s="200">
        <f>'Murrey''s Rev 2015'!J93</f>
        <v>937.74179118926463</v>
      </c>
      <c r="C93" s="201">
        <f>'American Rev 2015'!J93</f>
        <v>806.0498814204401</v>
      </c>
      <c r="D93" s="201">
        <f t="shared" si="9"/>
        <v>1743.7916726097046</v>
      </c>
      <c r="E93" s="202">
        <f>ROUND(D93/References!$H$19,0)</f>
        <v>145</v>
      </c>
      <c r="G93" s="336"/>
      <c r="H93" s="336"/>
    </row>
    <row r="94" spans="1:8">
      <c r="A94" s="177" t="s">
        <v>333</v>
      </c>
      <c r="B94" s="200">
        <f>'Murrey''s Rev 2015'!J94</f>
        <v>50.750013468013471</v>
      </c>
      <c r="C94" s="201">
        <f>'American Rev 2015'!J94</f>
        <v>72</v>
      </c>
      <c r="D94" s="201">
        <f t="shared" si="9"/>
        <v>122.75001346801346</v>
      </c>
      <c r="E94" s="202">
        <f>ROUND(D94/References!$H$19,0)</f>
        <v>10</v>
      </c>
      <c r="G94" s="336"/>
      <c r="H94" s="336"/>
    </row>
    <row r="95" spans="1:8">
      <c r="A95" s="177" t="s">
        <v>334</v>
      </c>
      <c r="B95" s="200">
        <f>'Murrey''s Rev 2015'!J95</f>
        <v>22.58066369774458</v>
      </c>
      <c r="C95" s="201">
        <f>'American Rev 2015'!J95</f>
        <v>0</v>
      </c>
      <c r="D95" s="201">
        <f t="shared" si="9"/>
        <v>22.58066369774458</v>
      </c>
      <c r="E95" s="202">
        <f>ROUND(D95/References!$H$19,0)</f>
        <v>2</v>
      </c>
      <c r="G95" s="336"/>
      <c r="H95" s="336"/>
    </row>
    <row r="96" spans="1:8">
      <c r="A96" s="177" t="s">
        <v>335</v>
      </c>
      <c r="B96" s="200">
        <f>'Murrey''s Rev 2015'!J96</f>
        <v>230.49893765724232</v>
      </c>
      <c r="C96" s="201">
        <f>'American Rev 2015'!J96</f>
        <v>40.999999999999993</v>
      </c>
      <c r="D96" s="201">
        <f t="shared" si="9"/>
        <v>271.49893765724232</v>
      </c>
      <c r="E96" s="202">
        <f>ROUND(D96/References!$H$19,0)</f>
        <v>23</v>
      </c>
      <c r="G96" s="336"/>
      <c r="H96" s="336"/>
    </row>
    <row r="97" spans="1:8">
      <c r="A97" s="177" t="s">
        <v>336</v>
      </c>
      <c r="B97" s="200">
        <f>'Murrey''s Rev 2015'!J97</f>
        <v>11.999971677004559</v>
      </c>
      <c r="C97" s="201">
        <f>'American Rev 2015'!J97</f>
        <v>12</v>
      </c>
      <c r="D97" s="201">
        <f t="shared" si="9"/>
        <v>23.999971677004559</v>
      </c>
      <c r="E97" s="202">
        <f>ROUND(D97/References!$H$19,0)</f>
        <v>2</v>
      </c>
      <c r="G97" s="336"/>
      <c r="H97" s="336"/>
    </row>
    <row r="98" spans="1:8">
      <c r="A98" s="177" t="s">
        <v>337</v>
      </c>
      <c r="B98" s="200">
        <f>'Murrey''s Rev 2015'!J98</f>
        <v>0</v>
      </c>
      <c r="C98" s="201">
        <f>'American Rev 2015'!J98</f>
        <v>0</v>
      </c>
      <c r="D98" s="201">
        <f t="shared" si="9"/>
        <v>0</v>
      </c>
      <c r="E98" s="202">
        <f>ROUND(D98/References!$H$19,0)</f>
        <v>0</v>
      </c>
      <c r="G98" s="336"/>
      <c r="H98" s="336"/>
    </row>
    <row r="99" spans="1:8">
      <c r="A99" s="177" t="s">
        <v>338</v>
      </c>
      <c r="B99" s="200">
        <f>'Murrey''s Rev 2015'!J99</f>
        <v>266.99915505263021</v>
      </c>
      <c r="C99" s="201">
        <f>'American Rev 2015'!J99</f>
        <v>84</v>
      </c>
      <c r="D99" s="201">
        <f t="shared" si="9"/>
        <v>350.99915505263021</v>
      </c>
      <c r="E99" s="202">
        <f>ROUND(D99/References!$H$19,0)</f>
        <v>29</v>
      </c>
      <c r="G99" s="336"/>
      <c r="H99" s="336"/>
    </row>
    <row r="100" spans="1:8">
      <c r="A100" s="177" t="s">
        <v>339</v>
      </c>
      <c r="B100" s="200">
        <f>'Murrey''s Rev 2015'!J100</f>
        <v>174.67744400898127</v>
      </c>
      <c r="C100" s="201">
        <f>'American Rev 2015'!J100</f>
        <v>48.000000000000007</v>
      </c>
      <c r="D100" s="201">
        <f t="shared" si="9"/>
        <v>222.67744400898127</v>
      </c>
      <c r="E100" s="202">
        <f>ROUND(D100/References!$H$19,0)</f>
        <v>19</v>
      </c>
      <c r="G100" s="336"/>
      <c r="H100" s="336"/>
    </row>
    <row r="101" spans="1:8">
      <c r="A101" s="177" t="s">
        <v>340</v>
      </c>
      <c r="B101" s="200">
        <f>'Murrey''s Rev 2015'!J101</f>
        <v>23.999999999999996</v>
      </c>
      <c r="C101" s="201">
        <f>'American Rev 2015'!J101</f>
        <v>0</v>
      </c>
      <c r="D101" s="201">
        <f t="shared" si="9"/>
        <v>23.999999999999996</v>
      </c>
      <c r="E101" s="202">
        <f>ROUND(D101/References!$H$19,0)</f>
        <v>2</v>
      </c>
      <c r="G101" s="336"/>
      <c r="H101" s="336"/>
    </row>
    <row r="102" spans="1:8">
      <c r="A102" s="177" t="s">
        <v>341</v>
      </c>
      <c r="B102" s="200">
        <f>'Murrey''s Rev 2015'!J102</f>
        <v>0</v>
      </c>
      <c r="C102" s="201">
        <f>'American Rev 2015'!J102</f>
        <v>0</v>
      </c>
      <c r="D102" s="201">
        <f t="shared" si="9"/>
        <v>0</v>
      </c>
      <c r="E102" s="202">
        <f>ROUND(D102/References!$H$19,0)</f>
        <v>0</v>
      </c>
      <c r="G102" s="336"/>
      <c r="H102" s="336"/>
    </row>
    <row r="103" spans="1:8">
      <c r="A103" s="177" t="s">
        <v>342</v>
      </c>
      <c r="B103" s="200">
        <f>'Murrey''s Rev 2015'!J103</f>
        <v>101.95609756097561</v>
      </c>
      <c r="C103" s="201">
        <f>'American Rev 2015'!J103</f>
        <v>44.672045028142598</v>
      </c>
      <c r="D103" s="201">
        <f t="shared" si="9"/>
        <v>146.6281425891182</v>
      </c>
      <c r="E103" s="202">
        <f>ROUND(D103/References!$H$19,0)</f>
        <v>12</v>
      </c>
      <c r="G103" s="336"/>
      <c r="H103" s="336"/>
    </row>
    <row r="104" spans="1:8">
      <c r="A104" s="177" t="s">
        <v>343</v>
      </c>
      <c r="B104" s="200">
        <f>'Murrey''s Rev 2015'!J104</f>
        <v>4</v>
      </c>
      <c r="C104" s="201">
        <f>'American Rev 2015'!J104</f>
        <v>0</v>
      </c>
      <c r="D104" s="201">
        <f t="shared" si="9"/>
        <v>4</v>
      </c>
      <c r="E104" s="202">
        <f>ROUND(D104/References!$H$19,0)</f>
        <v>0</v>
      </c>
    </row>
    <row r="105" spans="1:8">
      <c r="A105" s="177" t="s">
        <v>344</v>
      </c>
      <c r="B105" s="200">
        <f>'Murrey''s Rev 2015'!J105</f>
        <v>240.24221149627033</v>
      </c>
      <c r="C105" s="201">
        <f>'American Rev 2015'!J105</f>
        <v>71.765508138033795</v>
      </c>
      <c r="D105" s="201">
        <f t="shared" si="9"/>
        <v>312.00771963430412</v>
      </c>
      <c r="E105" s="202">
        <f>ROUND(D105/References!$H$19,0)</f>
        <v>26</v>
      </c>
    </row>
    <row r="106" spans="1:8">
      <c r="A106" s="177"/>
      <c r="B106" s="200"/>
      <c r="C106" s="201"/>
      <c r="D106" s="201"/>
      <c r="E106" s="202"/>
    </row>
    <row r="107" spans="1:8">
      <c r="A107" s="177" t="s">
        <v>345</v>
      </c>
      <c r="B107" s="200">
        <f>'Murrey''s Rev 2015'!J107</f>
        <v>15</v>
      </c>
      <c r="C107" s="201">
        <f>'American Rev 2015'!J107</f>
        <v>7.0000000000000009</v>
      </c>
      <c r="D107" s="201">
        <f t="shared" si="9"/>
        <v>22</v>
      </c>
      <c r="E107" s="202">
        <f>ROUND(D107/References!$H$19,0)</f>
        <v>2</v>
      </c>
    </row>
    <row r="108" spans="1:8">
      <c r="A108" s="177" t="s">
        <v>346</v>
      </c>
      <c r="B108" s="200">
        <f>'Murrey''s Rev 2015'!J108</f>
        <v>1</v>
      </c>
      <c r="C108" s="201">
        <f>'American Rev 2015'!J108</f>
        <v>0</v>
      </c>
      <c r="D108" s="201">
        <f t="shared" si="9"/>
        <v>1</v>
      </c>
      <c r="E108" s="202">
        <f>ROUND(D108/References!$H$19,0)</f>
        <v>0</v>
      </c>
    </row>
    <row r="109" spans="1:8">
      <c r="A109" s="177" t="s">
        <v>347</v>
      </c>
      <c r="B109" s="200">
        <f>'Murrey''s Rev 2015'!J109</f>
        <v>13</v>
      </c>
      <c r="C109" s="201">
        <f>'American Rev 2015'!J109</f>
        <v>15.031154014918826</v>
      </c>
      <c r="D109" s="201">
        <f t="shared" si="9"/>
        <v>28.031154014918826</v>
      </c>
      <c r="E109" s="202">
        <f>ROUND(D109/References!$H$19,0)</f>
        <v>2</v>
      </c>
    </row>
    <row r="110" spans="1:8">
      <c r="A110" s="177" t="s">
        <v>348</v>
      </c>
      <c r="B110" s="200">
        <f>'Murrey''s Rev 2015'!J110</f>
        <v>4</v>
      </c>
      <c r="C110" s="201">
        <f>'American Rev 2015'!J110</f>
        <v>0</v>
      </c>
      <c r="D110" s="201">
        <f t="shared" si="9"/>
        <v>4</v>
      </c>
      <c r="E110" s="202">
        <f>ROUND(D110/References!$H$19,0)</f>
        <v>0</v>
      </c>
    </row>
    <row r="111" spans="1:8">
      <c r="A111" s="177" t="s">
        <v>349</v>
      </c>
      <c r="B111" s="200">
        <f>'Murrey''s Rev 2015'!J111</f>
        <v>5.0000000000000009</v>
      </c>
      <c r="C111" s="201">
        <f>'American Rev 2015'!J111</f>
        <v>0</v>
      </c>
      <c r="D111" s="201">
        <f t="shared" si="9"/>
        <v>5.0000000000000009</v>
      </c>
      <c r="E111" s="202">
        <f>ROUND(D111/References!$H$19,0)</f>
        <v>0</v>
      </c>
    </row>
    <row r="112" spans="1:8">
      <c r="A112" s="177"/>
      <c r="B112" s="200"/>
      <c r="C112" s="201"/>
      <c r="D112" s="201">
        <f t="shared" ref="D112" si="10">SUM(B112:C112)</f>
        <v>0</v>
      </c>
      <c r="E112" s="202"/>
    </row>
    <row r="113" spans="1:5">
      <c r="A113" s="185"/>
      <c r="B113" s="200"/>
      <c r="C113" s="201"/>
      <c r="D113" s="201"/>
      <c r="E113" s="202"/>
    </row>
    <row r="114" spans="1:5">
      <c r="A114" s="176" t="s">
        <v>350</v>
      </c>
      <c r="B114" s="200"/>
      <c r="C114" s="205"/>
      <c r="D114" s="205"/>
      <c r="E114" s="202"/>
    </row>
    <row r="115" spans="1:5">
      <c r="A115" s="177"/>
      <c r="B115" s="200"/>
      <c r="C115" s="205"/>
      <c r="D115" s="205"/>
      <c r="E115" s="202"/>
    </row>
    <row r="116" spans="1:5">
      <c r="A116" s="177" t="s">
        <v>351</v>
      </c>
      <c r="B116" s="200">
        <f>'Murrey''s Rev 2015'!J116</f>
        <v>4373.3961604131091</v>
      </c>
      <c r="C116" s="201">
        <f>'American Rev 2015'!J116</f>
        <v>1567.2692410658515</v>
      </c>
      <c r="D116" s="201">
        <f t="shared" ref="D116:D127" si="11">SUM(B116:C116)</f>
        <v>5940.6654014789601</v>
      </c>
      <c r="E116" s="202">
        <f>ROUND(D116/References!$H$19,0)</f>
        <v>495</v>
      </c>
    </row>
    <row r="117" spans="1:5">
      <c r="A117" s="177"/>
      <c r="B117" s="200"/>
      <c r="C117" s="201"/>
      <c r="D117" s="201"/>
      <c r="E117" s="202"/>
    </row>
    <row r="118" spans="1:5">
      <c r="A118" s="177" t="s">
        <v>352</v>
      </c>
      <c r="B118" s="200">
        <f>'Murrey''s Rev 2015'!J118</f>
        <v>1292.6460649177413</v>
      </c>
      <c r="C118" s="201">
        <f>'American Rev 2015'!J118</f>
        <v>630.50022232103163</v>
      </c>
      <c r="D118" s="201">
        <f t="shared" si="11"/>
        <v>1923.1462872387729</v>
      </c>
      <c r="E118" s="202">
        <f>ROUND(D118/References!$H$19,0)</f>
        <v>160</v>
      </c>
    </row>
    <row r="119" spans="1:5">
      <c r="A119" s="177" t="s">
        <v>353</v>
      </c>
      <c r="B119" s="200">
        <f>'Murrey''s Rev 2015'!J119</f>
        <v>173.21410256410255</v>
      </c>
      <c r="C119" s="201">
        <f>'American Rev 2015'!J119</f>
        <v>296.82179487179485</v>
      </c>
      <c r="D119" s="201">
        <f t="shared" si="11"/>
        <v>470.03589743589737</v>
      </c>
      <c r="E119" s="202">
        <f>ROUND(D119/References!$H$19,0)</f>
        <v>39</v>
      </c>
    </row>
    <row r="120" spans="1:5">
      <c r="A120" s="177" t="s">
        <v>354</v>
      </c>
      <c r="B120" s="200">
        <f>'Murrey''s Rev 2015'!J120</f>
        <v>57.691558441558435</v>
      </c>
      <c r="C120" s="201">
        <f>'American Rev 2015'!J120</f>
        <v>38.311688311688314</v>
      </c>
      <c r="D120" s="201">
        <f t="shared" si="11"/>
        <v>96.003246753246742</v>
      </c>
      <c r="E120" s="202">
        <f>ROUND(D120/References!$H$19,0)</f>
        <v>8</v>
      </c>
    </row>
    <row r="121" spans="1:5">
      <c r="A121" s="177"/>
      <c r="B121" s="200"/>
      <c r="C121" s="201"/>
      <c r="D121" s="201"/>
      <c r="E121" s="202"/>
    </row>
    <row r="122" spans="1:5">
      <c r="A122" s="177" t="s">
        <v>288</v>
      </c>
      <c r="B122" s="200">
        <f>'Murrey''s Rev 2015'!J122</f>
        <v>151.96320346320343</v>
      </c>
      <c r="C122" s="201">
        <f>'American Rev 2015'!J122</f>
        <v>127.59523809523809</v>
      </c>
      <c r="D122" s="201">
        <f t="shared" si="11"/>
        <v>279.55844155844153</v>
      </c>
      <c r="E122" s="202">
        <f>ROUND(D122/References!$H$19,0)</f>
        <v>23</v>
      </c>
    </row>
    <row r="123" spans="1:5">
      <c r="A123" s="177" t="s">
        <v>289</v>
      </c>
      <c r="B123" s="200">
        <f>'Murrey''s Rev 2015'!J123</f>
        <v>76.999999999999986</v>
      </c>
      <c r="C123" s="201">
        <f>'American Rev 2015'!J123</f>
        <v>67.582524271844648</v>
      </c>
      <c r="D123" s="201">
        <f t="shared" si="11"/>
        <v>144.58252427184465</v>
      </c>
      <c r="E123" s="202">
        <f>ROUND(D123/References!$H$19,0)</f>
        <v>12</v>
      </c>
    </row>
    <row r="124" spans="1:5">
      <c r="A124" s="177" t="s">
        <v>291</v>
      </c>
      <c r="B124" s="200">
        <f>'Murrey''s Rev 2015'!J124</f>
        <v>0</v>
      </c>
      <c r="C124" s="201">
        <f>'American Rev 2015'!J124</f>
        <v>0</v>
      </c>
      <c r="D124" s="201">
        <f t="shared" si="11"/>
        <v>0</v>
      </c>
      <c r="E124" s="202">
        <f>ROUND(D124/References!$H$19,0)</f>
        <v>0</v>
      </c>
    </row>
    <row r="125" spans="1:5">
      <c r="A125" s="177" t="s">
        <v>355</v>
      </c>
      <c r="B125" s="200">
        <f>'Murrey''s Rev 2015'!J125</f>
        <v>4.5066666666666668</v>
      </c>
      <c r="C125" s="201">
        <f>'American Rev 2015'!J125</f>
        <v>0</v>
      </c>
      <c r="D125" s="201">
        <f t="shared" si="11"/>
        <v>4.5066666666666668</v>
      </c>
      <c r="E125" s="202">
        <f>ROUND(D125/References!$H$19,0)</f>
        <v>0</v>
      </c>
    </row>
    <row r="126" spans="1:5">
      <c r="A126" s="178" t="s">
        <v>356</v>
      </c>
      <c r="B126" s="200">
        <f>'Murrey''s Rev 2015'!J126</f>
        <v>52.190624999999997</v>
      </c>
      <c r="C126" s="201">
        <f>'American Rev 2015'!J126</f>
        <v>0.29062500000000002</v>
      </c>
      <c r="D126" s="201">
        <f t="shared" si="11"/>
        <v>52.481249999999996</v>
      </c>
      <c r="E126" s="202">
        <f>ROUND(D126/References!$H$19,0)</f>
        <v>4</v>
      </c>
    </row>
    <row r="127" spans="1:5">
      <c r="A127" s="177" t="s">
        <v>357</v>
      </c>
      <c r="B127" s="200">
        <f>'Murrey''s Rev 2015'!J127</f>
        <v>73.999999999999986</v>
      </c>
      <c r="C127" s="201">
        <f>'American Rev 2015'!J127</f>
        <v>27</v>
      </c>
      <c r="D127" s="201">
        <f t="shared" si="11"/>
        <v>100.99999999999999</v>
      </c>
      <c r="E127" s="202">
        <f>ROUND(D127/References!$H$19,0)</f>
        <v>8</v>
      </c>
    </row>
    <row r="128" spans="1:5">
      <c r="A128" s="177"/>
      <c r="B128" s="200"/>
      <c r="C128" s="201"/>
      <c r="D128" s="201"/>
      <c r="E128" s="202"/>
    </row>
    <row r="129" spans="1:8">
      <c r="A129" s="177" t="s">
        <v>294</v>
      </c>
      <c r="B129" s="200">
        <f>'Murrey''s Rev 2015'!J129</f>
        <v>0</v>
      </c>
      <c r="C129" s="201">
        <f>'American Rev 2015'!J129</f>
        <v>0</v>
      </c>
      <c r="D129" s="201"/>
      <c r="E129" s="202"/>
    </row>
    <row r="130" spans="1:8">
      <c r="A130" s="177"/>
      <c r="B130" s="200"/>
      <c r="C130" s="201"/>
      <c r="D130" s="201"/>
      <c r="E130" s="202"/>
    </row>
    <row r="131" spans="1:8">
      <c r="A131" s="177" t="s">
        <v>358</v>
      </c>
      <c r="B131" s="200">
        <f>'Murrey''s Rev 2015'!J131</f>
        <v>848.97596111742132</v>
      </c>
      <c r="C131" s="201">
        <f>'American Rev 2015'!J131</f>
        <v>665.50142636275336</v>
      </c>
      <c r="D131" s="201">
        <f t="shared" ref="D131:D136" si="12">SUM(B131:C131)</f>
        <v>1514.4773874801747</v>
      </c>
      <c r="E131" s="202">
        <f>ROUND(D131/References!$H$19,0)</f>
        <v>126</v>
      </c>
      <c r="G131" s="336"/>
      <c r="H131" s="336"/>
    </row>
    <row r="132" spans="1:8">
      <c r="A132" s="177" t="s">
        <v>359</v>
      </c>
      <c r="B132" s="200">
        <f>'Murrey''s Rev 2015'!J132</f>
        <v>331.23951795583002</v>
      </c>
      <c r="C132" s="201">
        <f>'American Rev 2015'!J132</f>
        <v>274.23508794992335</v>
      </c>
      <c r="D132" s="201">
        <f t="shared" si="12"/>
        <v>605.47460590575338</v>
      </c>
      <c r="E132" s="202">
        <f>ROUND(D132/References!$H$19,0)</f>
        <v>50</v>
      </c>
      <c r="G132" s="336"/>
      <c r="H132" s="336"/>
    </row>
    <row r="133" spans="1:8">
      <c r="A133" s="177" t="s">
        <v>360</v>
      </c>
      <c r="B133" s="200">
        <f>'Murrey''s Rev 2015'!J133</f>
        <v>57</v>
      </c>
      <c r="C133" s="201">
        <f>'American Rev 2015'!J133</f>
        <v>48.250049222287856</v>
      </c>
      <c r="D133" s="201">
        <f t="shared" si="12"/>
        <v>105.25004922228786</v>
      </c>
      <c r="E133" s="202">
        <f>ROUND(D133/References!$H$19,0)</f>
        <v>9</v>
      </c>
      <c r="G133" s="336"/>
      <c r="H133" s="336"/>
    </row>
    <row r="134" spans="1:8">
      <c r="A134" s="177" t="s">
        <v>361</v>
      </c>
      <c r="B134" s="200">
        <f>'Murrey''s Rev 2015'!J134</f>
        <v>0</v>
      </c>
      <c r="C134" s="201">
        <f>'American Rev 2015'!J134</f>
        <v>12.000000000000002</v>
      </c>
      <c r="D134" s="201">
        <f t="shared" si="12"/>
        <v>12.000000000000002</v>
      </c>
      <c r="E134" s="202">
        <f>ROUND(D134/References!$H$19,0)</f>
        <v>1</v>
      </c>
      <c r="G134" s="336"/>
      <c r="H134" s="336"/>
    </row>
    <row r="135" spans="1:8">
      <c r="A135" s="177" t="s">
        <v>362</v>
      </c>
      <c r="B135" s="200">
        <f>'Murrey''s Rev 2015'!J135</f>
        <v>0</v>
      </c>
      <c r="C135" s="201">
        <f>'American Rev 2015'!J135</f>
        <v>0</v>
      </c>
      <c r="D135" s="201">
        <f t="shared" si="12"/>
        <v>0</v>
      </c>
      <c r="E135" s="202">
        <f>ROUND(D135/References!$H$19,0)</f>
        <v>0</v>
      </c>
      <c r="G135" s="336"/>
      <c r="H135" s="336"/>
    </row>
    <row r="136" spans="1:8">
      <c r="A136" s="177" t="s">
        <v>363</v>
      </c>
      <c r="B136" s="200">
        <f>'Murrey''s Rev 2015'!J136</f>
        <v>1</v>
      </c>
      <c r="C136" s="201">
        <f>'American Rev 2015'!J136</f>
        <v>2</v>
      </c>
      <c r="D136" s="201">
        <f t="shared" si="12"/>
        <v>3</v>
      </c>
      <c r="E136" s="202">
        <f>ROUND(D136/References!$H$19,0)</f>
        <v>0</v>
      </c>
      <c r="G136" s="336"/>
      <c r="H136" s="336"/>
    </row>
    <row r="137" spans="1:8">
      <c r="A137" s="177"/>
      <c r="B137" s="200"/>
      <c r="C137" s="201"/>
      <c r="D137" s="201"/>
      <c r="E137" s="202"/>
      <c r="G137" s="336"/>
      <c r="H137" s="336"/>
    </row>
    <row r="138" spans="1:8">
      <c r="A138" s="177"/>
      <c r="B138" s="200"/>
      <c r="C138" s="201"/>
      <c r="D138" s="201"/>
      <c r="E138" s="202"/>
      <c r="G138" s="336"/>
      <c r="H138" s="336"/>
    </row>
    <row r="139" spans="1:8">
      <c r="A139" s="177" t="s">
        <v>364</v>
      </c>
      <c r="B139" s="200">
        <f>'Murrey''s Rev 2015'!J139</f>
        <v>100.49997152943854</v>
      </c>
      <c r="C139" s="201">
        <f>'American Rev 2015'!J139</f>
        <v>36</v>
      </c>
      <c r="D139" s="201">
        <f t="shared" ref="D139:D171" si="13">SUM(B139:C139)</f>
        <v>136.49997152943854</v>
      </c>
      <c r="E139" s="202">
        <f>ROUND(D139/References!$H$19,0)</f>
        <v>11</v>
      </c>
      <c r="G139" s="336"/>
      <c r="H139" s="336"/>
    </row>
    <row r="140" spans="1:8">
      <c r="A140" s="177" t="s">
        <v>365</v>
      </c>
      <c r="B140" s="200">
        <f>'Murrey''s Rev 2015'!J140</f>
        <v>25.242659188386668</v>
      </c>
      <c r="C140" s="201">
        <f>'American Rev 2015'!J140</f>
        <v>12</v>
      </c>
      <c r="D140" s="201">
        <f t="shared" si="13"/>
        <v>37.242659188386668</v>
      </c>
      <c r="E140" s="202">
        <f>ROUND(D140/References!$H$19,0)</f>
        <v>3</v>
      </c>
      <c r="G140" s="336"/>
      <c r="H140" s="336"/>
    </row>
    <row r="141" spans="1:8">
      <c r="A141" s="177" t="s">
        <v>331</v>
      </c>
      <c r="B141" s="200">
        <f>'Murrey''s Rev 2015'!J141</f>
        <v>0</v>
      </c>
      <c r="C141" s="201">
        <f>'American Rev 2015'!J141</f>
        <v>0</v>
      </c>
      <c r="D141" s="201">
        <f t="shared" si="13"/>
        <v>0</v>
      </c>
      <c r="E141" s="202">
        <f>ROUND(D141/References!$H$19,0)</f>
        <v>0</v>
      </c>
      <c r="G141" s="336"/>
      <c r="H141" s="336"/>
    </row>
    <row r="142" spans="1:8">
      <c r="A142" s="177" t="s">
        <v>366</v>
      </c>
      <c r="B142" s="200">
        <f>'Murrey''s Rev 2015'!J142</f>
        <v>398.91441420699459</v>
      </c>
      <c r="C142" s="201">
        <f>'American Rev 2015'!J142</f>
        <v>108.5</v>
      </c>
      <c r="D142" s="201">
        <f t="shared" si="13"/>
        <v>507.41441420699459</v>
      </c>
      <c r="E142" s="202">
        <f>ROUND(D142/References!$H$19,0)</f>
        <v>42</v>
      </c>
      <c r="G142" s="336"/>
      <c r="H142" s="336"/>
    </row>
    <row r="143" spans="1:8">
      <c r="A143" s="177" t="s">
        <v>367</v>
      </c>
      <c r="B143" s="200">
        <f>'Murrey''s Rev 2015'!J143</f>
        <v>40.375033479152137</v>
      </c>
      <c r="C143" s="201">
        <f>'American Rev 2015'!J143</f>
        <v>0</v>
      </c>
      <c r="D143" s="201">
        <f t="shared" si="13"/>
        <v>40.375033479152137</v>
      </c>
      <c r="E143" s="202">
        <f>ROUND(D143/References!$H$19,0)</f>
        <v>3</v>
      </c>
      <c r="G143" s="336"/>
      <c r="H143" s="336"/>
    </row>
    <row r="144" spans="1:8">
      <c r="A144" s="177" t="s">
        <v>334</v>
      </c>
      <c r="B144" s="200">
        <f>'Murrey''s Rev 2015'!J144</f>
        <v>23.999999999999996</v>
      </c>
      <c r="C144" s="201">
        <f>'American Rev 2015'!J144</f>
        <v>0</v>
      </c>
      <c r="D144" s="201">
        <f t="shared" si="13"/>
        <v>23.999999999999996</v>
      </c>
      <c r="E144" s="202">
        <f>ROUND(D144/References!$H$19,0)</f>
        <v>2</v>
      </c>
      <c r="G144" s="336"/>
      <c r="H144" s="336"/>
    </row>
    <row r="145" spans="1:8">
      <c r="A145" s="177" t="s">
        <v>368</v>
      </c>
      <c r="B145" s="200">
        <f>'Murrey''s Rev 2015'!J145</f>
        <v>1687.0002140453096</v>
      </c>
      <c r="C145" s="201">
        <f>'American Rev 2015'!J145</f>
        <v>568.73454654569855</v>
      </c>
      <c r="D145" s="201">
        <f t="shared" si="13"/>
        <v>2255.7347605910081</v>
      </c>
      <c r="E145" s="202">
        <f>ROUND(D145/References!$H$19,0)</f>
        <v>188</v>
      </c>
      <c r="G145" s="336"/>
      <c r="H145" s="336"/>
    </row>
    <row r="146" spans="1:8">
      <c r="A146" s="177" t="s">
        <v>369</v>
      </c>
      <c r="B146" s="200">
        <f>'Murrey''s Rev 2015'!J146</f>
        <v>262.22224379567194</v>
      </c>
      <c r="C146" s="201">
        <f>'American Rev 2015'!J146</f>
        <v>130.37501323825325</v>
      </c>
      <c r="D146" s="201">
        <f t="shared" si="13"/>
        <v>392.59725703392519</v>
      </c>
      <c r="E146" s="202">
        <f>ROUND(D146/References!$H$19,0)</f>
        <v>33</v>
      </c>
      <c r="G146" s="336"/>
      <c r="H146" s="336"/>
    </row>
    <row r="147" spans="1:8">
      <c r="A147" s="177" t="s">
        <v>337</v>
      </c>
      <c r="B147" s="200">
        <f>'Murrey''s Rev 2015'!J147</f>
        <v>37.16667849600173</v>
      </c>
      <c r="C147" s="201">
        <f>'American Rev 2015'!J147</f>
        <v>0</v>
      </c>
      <c r="D147" s="201">
        <f t="shared" si="13"/>
        <v>37.16667849600173</v>
      </c>
      <c r="E147" s="202">
        <f>ROUND(D147/References!$H$19,0)</f>
        <v>3</v>
      </c>
      <c r="G147" s="336"/>
      <c r="H147" s="336"/>
    </row>
    <row r="148" spans="1:8">
      <c r="A148" s="177" t="s">
        <v>575</v>
      </c>
      <c r="B148" s="200">
        <f>'Murrey''s Rev 2015'!J148</f>
        <v>11.750002252881435</v>
      </c>
      <c r="C148" s="201">
        <f>'American Rev 2015'!J148</f>
        <v>0</v>
      </c>
      <c r="D148" s="201">
        <f t="shared" si="13"/>
        <v>11.750002252881435</v>
      </c>
      <c r="E148" s="202">
        <f>ROUND(D148/References!$H$19,0)</f>
        <v>1</v>
      </c>
      <c r="G148" s="336"/>
      <c r="H148" s="336"/>
    </row>
    <row r="149" spans="1:8">
      <c r="A149" s="177" t="s">
        <v>371</v>
      </c>
      <c r="B149" s="200">
        <f>'Murrey''s Rev 2015'!J149</f>
        <v>1099.1254531066525</v>
      </c>
      <c r="C149" s="201">
        <f>'American Rev 2015'!J149</f>
        <v>490.83337162403637</v>
      </c>
      <c r="D149" s="201">
        <f t="shared" si="13"/>
        <v>1589.9588247306888</v>
      </c>
      <c r="E149" s="202">
        <f>ROUND(D149/References!$H$19,0)</f>
        <v>132</v>
      </c>
      <c r="G149" s="336"/>
      <c r="H149" s="336"/>
    </row>
    <row r="150" spans="1:8">
      <c r="A150" s="177" t="s">
        <v>372</v>
      </c>
      <c r="B150" s="200">
        <f>'Murrey''s Rev 2015'!J150</f>
        <v>689.69451313865659</v>
      </c>
      <c r="C150" s="201">
        <f>'American Rev 2015'!J150</f>
        <v>401.75002233652845</v>
      </c>
      <c r="D150" s="201">
        <f t="shared" si="13"/>
        <v>1091.4445354751851</v>
      </c>
      <c r="E150" s="202">
        <f>ROUND(D150/References!$H$19,0)</f>
        <v>91</v>
      </c>
      <c r="G150" s="336"/>
      <c r="H150" s="336"/>
    </row>
    <row r="151" spans="1:8">
      <c r="A151" s="177" t="s">
        <v>340</v>
      </c>
      <c r="B151" s="200">
        <f>'Murrey''s Rev 2015'!J151</f>
        <v>167.4935883799491</v>
      </c>
      <c r="C151" s="201">
        <f>'American Rev 2015'!J151</f>
        <v>0</v>
      </c>
      <c r="D151" s="201">
        <f t="shared" si="13"/>
        <v>167.4935883799491</v>
      </c>
      <c r="E151" s="202">
        <f>ROUND(D151/References!$H$19,0)</f>
        <v>14</v>
      </c>
      <c r="G151" s="336"/>
      <c r="H151" s="336"/>
    </row>
    <row r="152" spans="1:8">
      <c r="A152" s="177" t="s">
        <v>341</v>
      </c>
      <c r="B152" s="200">
        <f>'Murrey''s Rev 2015'!J152</f>
        <v>47.375004853007525</v>
      </c>
      <c r="C152" s="201">
        <f>'American Rev 2015'!J152</f>
        <v>0</v>
      </c>
      <c r="D152" s="201">
        <f t="shared" si="13"/>
        <v>47.375004853007525</v>
      </c>
      <c r="E152" s="202">
        <f>ROUND(D152/References!$H$19,0)</f>
        <v>4</v>
      </c>
      <c r="G152" s="336"/>
      <c r="H152" s="336"/>
    </row>
    <row r="153" spans="1:8">
      <c r="A153" s="177" t="s">
        <v>373</v>
      </c>
      <c r="B153" s="200">
        <f>'Murrey''s Rev 2015'!J153</f>
        <v>39.649998978904165</v>
      </c>
      <c r="C153" s="201">
        <f>'American Rev 2015'!J153</f>
        <v>0</v>
      </c>
      <c r="D153" s="201">
        <f t="shared" si="13"/>
        <v>39.649998978904165</v>
      </c>
      <c r="E153" s="202">
        <f>D153/References!H19</f>
        <v>3.3041665815753469</v>
      </c>
      <c r="G153" s="336"/>
      <c r="H153" s="336"/>
    </row>
    <row r="154" spans="1:8">
      <c r="A154" s="177" t="s">
        <v>374</v>
      </c>
      <c r="B154" s="200">
        <f>'Murrey''s Rev 2015'!J154</f>
        <v>11.999999999999998</v>
      </c>
      <c r="C154" s="201">
        <f>'American Rev 2015'!J154</f>
        <v>0</v>
      </c>
      <c r="D154" s="201">
        <f t="shared" si="13"/>
        <v>11.999999999999998</v>
      </c>
      <c r="E154" s="202">
        <f>ROUND(D154/References!$H$19,0)</f>
        <v>1</v>
      </c>
      <c r="G154" s="336"/>
      <c r="H154" s="336"/>
    </row>
    <row r="155" spans="1:8">
      <c r="A155" s="177" t="s">
        <v>375</v>
      </c>
      <c r="B155" s="200">
        <f>'Murrey''s Rev 2015'!J155</f>
        <v>0</v>
      </c>
      <c r="C155" s="201">
        <f>'American Rev 2015'!J155</f>
        <v>0</v>
      </c>
      <c r="D155" s="201">
        <f t="shared" si="13"/>
        <v>0</v>
      </c>
      <c r="E155" s="202">
        <f>ROUND(D155/References!$H$19,0)</f>
        <v>0</v>
      </c>
      <c r="G155" s="336"/>
      <c r="H155" s="336"/>
    </row>
    <row r="156" spans="1:8">
      <c r="A156" s="177" t="s">
        <v>376</v>
      </c>
      <c r="B156" s="200">
        <f>'Murrey''s Rev 2015'!J156</f>
        <v>12.241522137619855</v>
      </c>
      <c r="C156" s="201">
        <f>'American Rev 2015'!J156</f>
        <v>0</v>
      </c>
      <c r="D156" s="201">
        <f t="shared" si="13"/>
        <v>12.241522137619855</v>
      </c>
      <c r="E156" s="202">
        <f>ROUND(D156/References!$H$19,0)</f>
        <v>1</v>
      </c>
      <c r="G156" s="336"/>
      <c r="H156" s="336"/>
    </row>
    <row r="157" spans="1:8">
      <c r="A157" s="177" t="s">
        <v>377</v>
      </c>
      <c r="B157" s="200">
        <f>'Murrey''s Rev 2015'!J157</f>
        <v>11.999999999999998</v>
      </c>
      <c r="C157" s="201">
        <f>'American Rev 2015'!J157</f>
        <v>0</v>
      </c>
      <c r="D157" s="201">
        <f t="shared" si="13"/>
        <v>11.999999999999998</v>
      </c>
      <c r="E157" s="202">
        <f>ROUND(D157/References!$H$19,0)</f>
        <v>1</v>
      </c>
      <c r="G157" s="336"/>
      <c r="H157" s="336"/>
    </row>
    <row r="158" spans="1:8">
      <c r="A158" s="177" t="s">
        <v>378</v>
      </c>
      <c r="B158" s="200">
        <f>'Murrey''s Rev 2015'!J158</f>
        <v>13</v>
      </c>
      <c r="C158" s="201">
        <f>'American Rev 2015'!J158</f>
        <v>0</v>
      </c>
      <c r="D158" s="201">
        <f t="shared" si="13"/>
        <v>13</v>
      </c>
      <c r="E158" s="202">
        <f>ROUND(D158/References!$H$19,0)</f>
        <v>1</v>
      </c>
      <c r="G158" s="336"/>
      <c r="H158" s="336"/>
    </row>
    <row r="159" spans="1:8">
      <c r="A159" s="177" t="s">
        <v>379</v>
      </c>
      <c r="B159" s="200">
        <f>'Murrey''s Rev 2015'!J159</f>
        <v>0</v>
      </c>
      <c r="C159" s="201">
        <f>'American Rev 2015'!J159</f>
        <v>0</v>
      </c>
      <c r="D159" s="201">
        <f t="shared" si="13"/>
        <v>0</v>
      </c>
      <c r="E159" s="202">
        <f>ROUND(D159/References!$H$19,0)</f>
        <v>0</v>
      </c>
      <c r="G159" s="336"/>
      <c r="H159" s="336"/>
    </row>
    <row r="160" spans="1:8">
      <c r="A160" s="177" t="s">
        <v>380</v>
      </c>
      <c r="B160" s="200">
        <f>'Murrey''s Rev 2015'!J160</f>
        <v>0</v>
      </c>
      <c r="C160" s="201">
        <f>'American Rev 2015'!J160</f>
        <v>0</v>
      </c>
      <c r="D160" s="201">
        <f t="shared" si="13"/>
        <v>0</v>
      </c>
      <c r="E160" s="202">
        <f>ROUND(D160/References!$H$19,0)</f>
        <v>0</v>
      </c>
      <c r="G160" s="336"/>
      <c r="H160" s="336"/>
    </row>
    <row r="161" spans="1:8">
      <c r="A161" s="179" t="s">
        <v>381</v>
      </c>
      <c r="B161" s="200">
        <f>'Murrey''s Rev 2015'!J161</f>
        <v>0</v>
      </c>
      <c r="C161" s="201">
        <f>'American Rev 2015'!J161</f>
        <v>12</v>
      </c>
      <c r="D161" s="201">
        <f t="shared" si="13"/>
        <v>12</v>
      </c>
      <c r="E161" s="202">
        <f>ROUND(D161/References!$H$19,0)</f>
        <v>1</v>
      </c>
      <c r="G161" s="336"/>
      <c r="H161" s="336"/>
    </row>
    <row r="162" spans="1:8">
      <c r="A162" s="177" t="s">
        <v>382</v>
      </c>
      <c r="B162" s="200">
        <f>'Murrey''s Rev 2015'!J162</f>
        <v>0</v>
      </c>
      <c r="C162" s="201">
        <f>'American Rev 2015'!J162</f>
        <v>0</v>
      </c>
      <c r="D162" s="201">
        <f t="shared" si="13"/>
        <v>0</v>
      </c>
      <c r="E162" s="202">
        <f>ROUND(D162/References!$H$19,0)</f>
        <v>0</v>
      </c>
      <c r="G162" s="336"/>
      <c r="H162" s="336"/>
    </row>
    <row r="163" spans="1:8">
      <c r="A163" s="177" t="s">
        <v>383</v>
      </c>
      <c r="B163" s="200">
        <f>'Murrey''s Rev 2015'!J163</f>
        <v>9.250001946418978</v>
      </c>
      <c r="C163" s="201">
        <f>'American Rev 2015'!J163</f>
        <v>0</v>
      </c>
      <c r="D163" s="201">
        <f t="shared" si="13"/>
        <v>9.250001946418978</v>
      </c>
      <c r="E163" s="202">
        <f>D163/References!H19</f>
        <v>0.77083349553491487</v>
      </c>
      <c r="G163" s="336"/>
      <c r="H163" s="336"/>
    </row>
    <row r="164" spans="1:8">
      <c r="A164" s="177" t="s">
        <v>384</v>
      </c>
      <c r="B164" s="200">
        <f>'Murrey''s Rev 2015'!J164</f>
        <v>0</v>
      </c>
      <c r="C164" s="201">
        <f>'American Rev 2015'!J164</f>
        <v>0</v>
      </c>
      <c r="D164" s="201">
        <f t="shared" si="13"/>
        <v>0</v>
      </c>
      <c r="E164" s="202">
        <f>ROUND(D164/References!$H$19,0)</f>
        <v>0</v>
      </c>
      <c r="G164" s="336"/>
      <c r="H164" s="336"/>
    </row>
    <row r="165" spans="1:8">
      <c r="A165" s="177" t="s">
        <v>385</v>
      </c>
      <c r="B165" s="200">
        <f>'Murrey''s Rev 2015'!J165</f>
        <v>0</v>
      </c>
      <c r="C165" s="201">
        <f>'American Rev 2015'!J165</f>
        <v>0</v>
      </c>
      <c r="D165" s="201">
        <f t="shared" si="13"/>
        <v>0</v>
      </c>
      <c r="E165" s="202">
        <f>ROUND(D165/References!$H$19,0)</f>
        <v>0</v>
      </c>
      <c r="G165" s="336"/>
      <c r="H165" s="336"/>
    </row>
    <row r="166" spans="1:8">
      <c r="A166" s="179" t="s">
        <v>386</v>
      </c>
      <c r="B166" s="200">
        <f>'Murrey''s Rev 2015'!J166</f>
        <v>0</v>
      </c>
      <c r="C166" s="201">
        <f>'American Rev 2015'!J166</f>
        <v>0</v>
      </c>
      <c r="D166" s="201">
        <f t="shared" si="13"/>
        <v>0</v>
      </c>
      <c r="E166" s="202">
        <f>ROUND(D166/References!$H$19,0)</f>
        <v>0</v>
      </c>
      <c r="G166" s="336"/>
      <c r="H166" s="336"/>
    </row>
    <row r="167" spans="1:8">
      <c r="A167" s="179" t="s">
        <v>387</v>
      </c>
      <c r="B167" s="200">
        <f>'Murrey''s Rev 2015'!J167</f>
        <v>0</v>
      </c>
      <c r="C167" s="201">
        <f>'American Rev 2015'!J167</f>
        <v>12</v>
      </c>
      <c r="D167" s="201">
        <f t="shared" si="13"/>
        <v>12</v>
      </c>
      <c r="E167" s="202">
        <f>ROUND(D167/References!$H$19,0)</f>
        <v>1</v>
      </c>
      <c r="G167" s="336"/>
      <c r="H167" s="336"/>
    </row>
    <row r="168" spans="1:8">
      <c r="A168" s="179" t="s">
        <v>388</v>
      </c>
      <c r="B168" s="200">
        <f>'Murrey''s Rev 2015'!J168</f>
        <v>0</v>
      </c>
      <c r="C168" s="201">
        <f>'American Rev 2015'!J168</f>
        <v>0</v>
      </c>
      <c r="D168" s="201">
        <f t="shared" si="13"/>
        <v>0</v>
      </c>
      <c r="E168" s="202">
        <f>ROUND(D168/References!$H$19,0)</f>
        <v>0</v>
      </c>
      <c r="G168" s="336"/>
      <c r="H168" s="336"/>
    </row>
    <row r="169" spans="1:8">
      <c r="A169" s="179" t="s">
        <v>389</v>
      </c>
      <c r="B169" s="200">
        <f>'Murrey''s Rev 2015'!J169</f>
        <v>17.779278142352343</v>
      </c>
      <c r="C169" s="201">
        <f>'American Rev 2015'!J169</f>
        <v>0</v>
      </c>
      <c r="D169" s="201">
        <f t="shared" si="13"/>
        <v>17.779278142352343</v>
      </c>
      <c r="E169" s="202">
        <f>(D169/References!$H$19)</f>
        <v>1.4816065118626953</v>
      </c>
      <c r="G169" s="336"/>
      <c r="H169" s="336"/>
    </row>
    <row r="170" spans="1:8">
      <c r="A170" s="179" t="s">
        <v>390</v>
      </c>
      <c r="B170" s="200">
        <f>'Murrey''s Rev 2015'!J170</f>
        <v>0</v>
      </c>
      <c r="C170" s="201">
        <f>'American Rev 2015'!J170</f>
        <v>11.999999999999998</v>
      </c>
      <c r="D170" s="201">
        <f t="shared" si="13"/>
        <v>11.999999999999998</v>
      </c>
      <c r="E170" s="202">
        <f>ROUND(D170/References!$H$19,0)</f>
        <v>1</v>
      </c>
      <c r="G170" s="336"/>
      <c r="H170" s="336"/>
    </row>
    <row r="171" spans="1:8">
      <c r="A171" s="177" t="s">
        <v>391</v>
      </c>
      <c r="B171" s="200">
        <f>'Murrey''s Rev 2015'!J171</f>
        <v>2</v>
      </c>
      <c r="C171" s="201">
        <f>'American Rev 2015'!J171</f>
        <v>0</v>
      </c>
      <c r="D171" s="201">
        <f t="shared" si="13"/>
        <v>2</v>
      </c>
      <c r="E171" s="202">
        <f>ROUND(D171/References!$H$19,0)</f>
        <v>0</v>
      </c>
      <c r="G171" s="336"/>
      <c r="H171" s="336"/>
    </row>
    <row r="172" spans="1:8">
      <c r="A172" s="177"/>
      <c r="B172" s="200"/>
      <c r="C172" s="201"/>
      <c r="D172" s="201"/>
      <c r="E172" s="202"/>
      <c r="G172" s="336"/>
      <c r="H172" s="336"/>
    </row>
    <row r="173" spans="1:8">
      <c r="A173" s="177"/>
      <c r="B173" s="200"/>
      <c r="C173" s="201"/>
      <c r="D173" s="201"/>
      <c r="E173" s="202"/>
      <c r="G173" s="336"/>
      <c r="H173" s="336"/>
    </row>
    <row r="174" spans="1:8">
      <c r="A174" s="177" t="s">
        <v>364</v>
      </c>
      <c r="B174" s="200">
        <f>'Murrey''s Rev 2015'!J174</f>
        <v>3371.9789602550964</v>
      </c>
      <c r="C174" s="201">
        <f>'American Rev 2015'!J174</f>
        <v>1513.7471141456083</v>
      </c>
      <c r="D174" s="201">
        <f t="shared" ref="D174:D183" si="14">SUM(B174:C174)</f>
        <v>4885.7260744007044</v>
      </c>
      <c r="E174" s="202">
        <f>ROUND(D174/References!$H$19,0)</f>
        <v>407</v>
      </c>
      <c r="G174" s="336"/>
      <c r="H174" s="336"/>
    </row>
    <row r="175" spans="1:8">
      <c r="A175" s="177" t="s">
        <v>392</v>
      </c>
      <c r="B175" s="200">
        <f>'Murrey''s Rev 2015'!J175</f>
        <v>11</v>
      </c>
      <c r="C175" s="201">
        <f>'American Rev 2015'!J175</f>
        <v>57.000000000000007</v>
      </c>
      <c r="D175" s="201">
        <f t="shared" si="14"/>
        <v>68</v>
      </c>
      <c r="E175" s="202">
        <f>ROUND(D175/References!$H$19,0)</f>
        <v>6</v>
      </c>
      <c r="G175" s="336"/>
      <c r="H175" s="336"/>
    </row>
    <row r="176" spans="1:8">
      <c r="A176" s="177" t="s">
        <v>393</v>
      </c>
      <c r="B176" s="200">
        <f>'Murrey''s Rev 2015'!J176</f>
        <v>0</v>
      </c>
      <c r="C176" s="201">
        <f>'American Rev 2015'!J176</f>
        <v>72</v>
      </c>
      <c r="D176" s="201">
        <f t="shared" si="14"/>
        <v>72</v>
      </c>
      <c r="E176" s="202">
        <f>ROUND(D176/References!$H$19,0)</f>
        <v>6</v>
      </c>
      <c r="G176" s="336"/>
      <c r="H176" s="336"/>
    </row>
    <row r="177" spans="1:8">
      <c r="A177" s="177" t="s">
        <v>365</v>
      </c>
      <c r="B177" s="200">
        <f>'Murrey''s Rev 2015'!J177</f>
        <v>634.53619906820734</v>
      </c>
      <c r="C177" s="201">
        <f>'American Rev 2015'!J177</f>
        <v>224.25000000000003</v>
      </c>
      <c r="D177" s="201">
        <f t="shared" si="14"/>
        <v>858.78619906820734</v>
      </c>
      <c r="E177" s="202">
        <f>ROUND(D177/References!$H$19,0)</f>
        <v>72</v>
      </c>
      <c r="G177" s="336"/>
      <c r="H177" s="336"/>
    </row>
    <row r="178" spans="1:8">
      <c r="A178" s="177" t="s">
        <v>394</v>
      </c>
      <c r="B178" s="200">
        <f>'Murrey''s Rev 2015'!J178</f>
        <v>44.616332885662445</v>
      </c>
      <c r="C178" s="201">
        <f>'American Rev 2015'!J178</f>
        <v>48</v>
      </c>
      <c r="D178" s="201">
        <f t="shared" si="14"/>
        <v>92.616332885662445</v>
      </c>
      <c r="E178" s="202">
        <f>ROUND(D178/References!$H$19,0)</f>
        <v>8</v>
      </c>
      <c r="G178" s="336"/>
      <c r="H178" s="336"/>
    </row>
    <row r="179" spans="1:8">
      <c r="A179" s="177" t="s">
        <v>366</v>
      </c>
      <c r="B179" s="200">
        <f>'Murrey''s Rev 2015'!J179</f>
        <v>3350.1823433880913</v>
      </c>
      <c r="C179" s="201">
        <f>'American Rev 2015'!J179</f>
        <v>1730.7326368201757</v>
      </c>
      <c r="D179" s="201">
        <f t="shared" si="14"/>
        <v>5080.9149802082666</v>
      </c>
      <c r="E179" s="202">
        <f>ROUND(D179/References!$H$19,0)</f>
        <v>423</v>
      </c>
      <c r="G179" s="336"/>
      <c r="H179" s="336"/>
    </row>
    <row r="180" spans="1:8">
      <c r="A180" s="177" t="s">
        <v>367</v>
      </c>
      <c r="B180" s="200">
        <f>'Murrey''s Rev 2015'!J180</f>
        <v>414.87509974820455</v>
      </c>
      <c r="C180" s="201">
        <f>'American Rev 2015'!J180</f>
        <v>558.00003313452623</v>
      </c>
      <c r="D180" s="201">
        <f t="shared" si="14"/>
        <v>972.87513288273078</v>
      </c>
      <c r="E180" s="202">
        <f>ROUND(D180/References!$H$19,0)</f>
        <v>81</v>
      </c>
      <c r="G180" s="336"/>
      <c r="H180" s="336"/>
    </row>
    <row r="181" spans="1:8">
      <c r="A181" s="177" t="s">
        <v>334</v>
      </c>
      <c r="B181" s="200">
        <f>'Murrey''s Rev 2015'!J181</f>
        <v>62.249875751254983</v>
      </c>
      <c r="C181" s="201">
        <f>'American Rev 2015'!J181</f>
        <v>47.999999999999993</v>
      </c>
      <c r="D181" s="201">
        <f t="shared" si="14"/>
        <v>110.24987575125498</v>
      </c>
      <c r="E181" s="202">
        <f>ROUND(D181/References!$H$19,0)</f>
        <v>9</v>
      </c>
      <c r="G181" s="336"/>
      <c r="H181" s="336"/>
    </row>
    <row r="182" spans="1:8">
      <c r="A182" s="177" t="s">
        <v>395</v>
      </c>
      <c r="B182" s="200">
        <f>'Murrey''s Rev 2015'!J182</f>
        <v>12.000000000000002</v>
      </c>
      <c r="C182" s="201">
        <f>'American Rev 2015'!J182</f>
        <v>0</v>
      </c>
      <c r="D182" s="201">
        <f t="shared" si="14"/>
        <v>12.000000000000002</v>
      </c>
      <c r="E182" s="202">
        <f>ROUND(D182/References!$H$19,0)</f>
        <v>1</v>
      </c>
      <c r="G182" s="336"/>
      <c r="H182" s="336"/>
    </row>
    <row r="183" spans="1:8">
      <c r="A183" s="177" t="s">
        <v>396</v>
      </c>
      <c r="B183" s="200">
        <f>'Murrey''s Rev 2015'!J183</f>
        <v>36</v>
      </c>
      <c r="C183" s="201">
        <f>'American Rev 2015'!J183</f>
        <v>0</v>
      </c>
      <c r="D183" s="201">
        <f t="shared" si="14"/>
        <v>36</v>
      </c>
      <c r="E183" s="202">
        <f>ROUND(D183/References!$H$19,0)</f>
        <v>3</v>
      </c>
      <c r="G183" s="336"/>
      <c r="H183" s="336"/>
    </row>
    <row r="184" spans="1:8">
      <c r="A184" s="177"/>
      <c r="B184" s="200"/>
      <c r="C184" s="201"/>
      <c r="D184" s="201"/>
      <c r="E184" s="202"/>
      <c r="G184" s="336"/>
      <c r="H184" s="336"/>
    </row>
    <row r="185" spans="1:8">
      <c r="A185" s="177" t="s">
        <v>342</v>
      </c>
      <c r="B185" s="200">
        <f>'Murrey''s Rev 2015'!J185</f>
        <v>32.5435368043088</v>
      </c>
      <c r="C185" s="201">
        <f>'American Rev 2015'!J185</f>
        <v>47</v>
      </c>
      <c r="D185" s="201">
        <f t="shared" ref="D185:D187" si="15">SUM(B185:C185)</f>
        <v>79.5435368043088</v>
      </c>
      <c r="E185" s="202">
        <f>ROUND(D185/References!$H$19,0)</f>
        <v>7</v>
      </c>
    </row>
    <row r="186" spans="1:8">
      <c r="A186" s="177" t="s">
        <v>343</v>
      </c>
      <c r="B186" s="200">
        <f>'Murrey''s Rev 2015'!J186</f>
        <v>14</v>
      </c>
      <c r="C186" s="201">
        <f>'American Rev 2015'!J186</f>
        <v>0</v>
      </c>
      <c r="D186" s="201">
        <f t="shared" si="15"/>
        <v>14</v>
      </c>
      <c r="E186" s="202">
        <f>ROUND(D186/References!$H$19,0)</f>
        <v>1</v>
      </c>
    </row>
    <row r="187" spans="1:8">
      <c r="A187" s="177" t="s">
        <v>344</v>
      </c>
      <c r="B187" s="200">
        <f>'Murrey''s Rev 2015'!J187</f>
        <v>342.84531886024422</v>
      </c>
      <c r="C187" s="201">
        <f>'American Rev 2015'!J187</f>
        <v>171.79131614654005</v>
      </c>
      <c r="D187" s="201">
        <f t="shared" si="15"/>
        <v>514.63663500678422</v>
      </c>
      <c r="E187" s="202">
        <f>ROUND(D187/References!$H$19,0)</f>
        <v>43</v>
      </c>
    </row>
    <row r="188" spans="1:8">
      <c r="A188" s="177"/>
      <c r="B188" s="200">
        <f>'Murrey''s Rev 2015'!J188</f>
        <v>0</v>
      </c>
      <c r="C188" s="201"/>
      <c r="D188" s="201"/>
      <c r="E188" s="202"/>
    </row>
    <row r="189" spans="1:8">
      <c r="A189" s="177" t="s">
        <v>345</v>
      </c>
      <c r="B189" s="200">
        <f>'Murrey''s Rev 2015'!J189</f>
        <v>1</v>
      </c>
      <c r="C189" s="201">
        <f>'American Rev 2015'!J189</f>
        <v>0</v>
      </c>
      <c r="D189" s="201">
        <f t="shared" ref="D189:D193" si="16">SUM(B189:C189)</f>
        <v>1</v>
      </c>
      <c r="E189" s="202">
        <f>ROUND(D189/References!$H$19,0)</f>
        <v>0</v>
      </c>
    </row>
    <row r="190" spans="1:8">
      <c r="A190" s="177" t="s">
        <v>345</v>
      </c>
      <c r="B190" s="200">
        <f>'Murrey''s Rev 2015'!J190</f>
        <v>18.999999999999996</v>
      </c>
      <c r="C190" s="201">
        <f>'American Rev 2015'!J190</f>
        <v>7</v>
      </c>
      <c r="D190" s="201">
        <f t="shared" si="16"/>
        <v>25.999999999999996</v>
      </c>
      <c r="E190" s="202">
        <f>ROUND(D190/References!$H$19,0)</f>
        <v>2</v>
      </c>
    </row>
    <row r="191" spans="1:8">
      <c r="A191" s="177" t="s">
        <v>346</v>
      </c>
      <c r="B191" s="200">
        <f>'Murrey''s Rev 2015'!J191</f>
        <v>4</v>
      </c>
      <c r="C191" s="201">
        <f>'American Rev 2015'!J191</f>
        <v>0</v>
      </c>
      <c r="D191" s="201">
        <f t="shared" si="16"/>
        <v>4</v>
      </c>
      <c r="E191" s="202">
        <f>ROUND(D191/References!$H$19,0)</f>
        <v>0</v>
      </c>
    </row>
    <row r="192" spans="1:8">
      <c r="A192" s="177" t="s">
        <v>347</v>
      </c>
      <c r="B192" s="200">
        <f>'Murrey''s Rev 2015'!J192</f>
        <v>18</v>
      </c>
      <c r="C192" s="201">
        <f>'American Rev 2015'!J192</f>
        <v>7.9999999999999991</v>
      </c>
      <c r="D192" s="201">
        <f t="shared" si="16"/>
        <v>26</v>
      </c>
      <c r="E192" s="202">
        <f>ROUND(D192/References!$H$19,0)</f>
        <v>2</v>
      </c>
    </row>
    <row r="193" spans="1:5">
      <c r="A193" s="177" t="s">
        <v>347</v>
      </c>
      <c r="B193" s="200">
        <f>'Murrey''s Rev 2015'!J193</f>
        <v>33</v>
      </c>
      <c r="C193" s="201">
        <f>'American Rev 2015'!J193</f>
        <v>23.999999999999996</v>
      </c>
      <c r="D193" s="201">
        <f t="shared" si="16"/>
        <v>57</v>
      </c>
      <c r="E193" s="202">
        <f>ROUND(D193/References!$H$19,0)</f>
        <v>5</v>
      </c>
    </row>
    <row r="194" spans="1:5">
      <c r="A194" s="177" t="s">
        <v>348</v>
      </c>
      <c r="B194" s="200">
        <f>'Murrey''s Rev 2015'!J194</f>
        <v>41.979976268169686</v>
      </c>
      <c r="C194" s="206"/>
      <c r="D194" s="201">
        <f t="shared" ref="D194:D195" si="17">SUM(B194:C194)</f>
        <v>41.979976268169686</v>
      </c>
      <c r="E194" s="202">
        <f>ROUND(D194/References!$H$19,0)</f>
        <v>3</v>
      </c>
    </row>
    <row r="195" spans="1:5">
      <c r="A195" s="177" t="s">
        <v>349</v>
      </c>
      <c r="B195" s="200">
        <f>'Murrey''s Rev 2015'!J195</f>
        <v>118.09289499297068</v>
      </c>
      <c r="C195" s="183"/>
      <c r="D195" s="201">
        <f t="shared" si="17"/>
        <v>118.09289499297068</v>
      </c>
      <c r="E195" s="202">
        <f>ROUND(D195/References!$H$19,0)</f>
        <v>10</v>
      </c>
    </row>
    <row r="196" spans="1:5">
      <c r="A196" s="177"/>
      <c r="B196" s="187"/>
      <c r="C196" s="183"/>
      <c r="D196" s="183"/>
      <c r="E196" s="183"/>
    </row>
    <row r="197" spans="1:5">
      <c r="A197" s="180"/>
      <c r="B197" s="187"/>
      <c r="C197" s="183"/>
      <c r="D197" s="183"/>
      <c r="E197" s="183"/>
    </row>
    <row r="198" spans="1:5">
      <c r="A198" s="180"/>
      <c r="B198" s="187"/>
      <c r="C198" s="183"/>
      <c r="D198" s="183"/>
      <c r="E198" s="183"/>
    </row>
    <row r="199" spans="1:5">
      <c r="A199" s="181"/>
      <c r="B199" s="187"/>
      <c r="C199" s="183"/>
      <c r="D199" s="183"/>
      <c r="E199" s="183"/>
    </row>
    <row r="200" spans="1:5">
      <c r="A200" s="340" t="s">
        <v>397</v>
      </c>
      <c r="B200" s="187"/>
      <c r="C200" s="183"/>
      <c r="D200" s="183"/>
      <c r="E200" s="183"/>
    </row>
    <row r="201" spans="1:5">
      <c r="A201" s="180" t="s">
        <v>398</v>
      </c>
      <c r="B201" s="187"/>
      <c r="C201" s="183"/>
      <c r="D201" s="186" t="s">
        <v>439</v>
      </c>
      <c r="E201" s="183"/>
    </row>
    <row r="202" spans="1:5">
      <c r="A202" s="181" t="s">
        <v>399</v>
      </c>
      <c r="B202" s="200">
        <f>'Murrey''s Rev 2015'!J202</f>
        <v>370.31048192771084</v>
      </c>
      <c r="C202" s="201">
        <f>'American Rev 2015'!J202</f>
        <v>40.43397590361446</v>
      </c>
      <c r="D202" s="201">
        <f t="shared" ref="D202:D206" si="18">SUM(B202:C202)</f>
        <v>410.74445783132529</v>
      </c>
      <c r="E202" s="202">
        <f>ROUND(D202/References!$H$19,0)</f>
        <v>34</v>
      </c>
    </row>
    <row r="203" spans="1:5">
      <c r="A203" s="181" t="s">
        <v>400</v>
      </c>
      <c r="B203" s="200">
        <f>'Murrey''s Rev 2015'!J203</f>
        <v>466.49032258064517</v>
      </c>
      <c r="C203" s="201">
        <f>'American Rev 2015'!J203</f>
        <v>48.805376344086021</v>
      </c>
      <c r="D203" s="201">
        <f t="shared" si="18"/>
        <v>515.29569892473114</v>
      </c>
      <c r="E203" s="202">
        <f>ROUND(D203/References!$H$19,0)</f>
        <v>43</v>
      </c>
    </row>
    <row r="204" spans="1:5">
      <c r="A204" s="181" t="s">
        <v>401</v>
      </c>
      <c r="B204" s="200">
        <f>'Murrey''s Rev 2015'!J204</f>
        <v>1088.5683333333334</v>
      </c>
      <c r="C204" s="201">
        <f>'American Rev 2015'!J204</f>
        <v>69.290392156862737</v>
      </c>
      <c r="D204" s="201">
        <f t="shared" si="18"/>
        <v>1157.8587254901961</v>
      </c>
      <c r="E204" s="202">
        <f>ROUND(D204/References!$H$19,0)</f>
        <v>96</v>
      </c>
    </row>
    <row r="205" spans="1:5">
      <c r="A205" s="181" t="s">
        <v>402</v>
      </c>
      <c r="B205" s="200">
        <f>'Murrey''s Rev 2015'!J205</f>
        <v>60</v>
      </c>
      <c r="C205" s="201">
        <f>'American Rev 2015'!J205</f>
        <v>0</v>
      </c>
      <c r="D205" s="201">
        <f t="shared" si="18"/>
        <v>60</v>
      </c>
      <c r="E205" s="202">
        <f>ROUND(D205/References!$H$19,0)</f>
        <v>5</v>
      </c>
    </row>
    <row r="206" spans="1:5">
      <c r="A206" s="181" t="s">
        <v>403</v>
      </c>
      <c r="B206" s="200">
        <f>'Murrey''s Rev 2015'!J206</f>
        <v>0</v>
      </c>
      <c r="C206" s="201">
        <f>'American Rev 2015'!J206</f>
        <v>0</v>
      </c>
      <c r="D206" s="201">
        <f t="shared" si="18"/>
        <v>0</v>
      </c>
      <c r="E206" s="202">
        <f>ROUND(D206/References!$H$19,0)</f>
        <v>0</v>
      </c>
    </row>
    <row r="207" spans="1:5">
      <c r="A207" s="181"/>
      <c r="B207" s="190"/>
      <c r="C207" s="183"/>
      <c r="D207" s="183"/>
      <c r="E207" s="183"/>
    </row>
    <row r="208" spans="1:5">
      <c r="A208" s="180" t="s">
        <v>404</v>
      </c>
      <c r="B208" s="191"/>
      <c r="C208" s="183"/>
      <c r="D208" s="183"/>
      <c r="E208" s="183"/>
    </row>
    <row r="209" spans="1:5">
      <c r="A209" s="181" t="s">
        <v>399</v>
      </c>
      <c r="B209" s="200">
        <f>'Murrey''s Rev 2015'!J209</f>
        <v>702.00000000000011</v>
      </c>
      <c r="C209" s="201">
        <f>'American Rev 2015'!J209</f>
        <v>104</v>
      </c>
      <c r="D209" s="201">
        <f t="shared" ref="D209:D213" si="19">SUM(B209:C209)</f>
        <v>806.00000000000011</v>
      </c>
      <c r="E209" s="202">
        <f>ROUND(D209/References!$H$19,0)</f>
        <v>67</v>
      </c>
    </row>
    <row r="210" spans="1:5">
      <c r="A210" s="181" t="s">
        <v>400</v>
      </c>
      <c r="B210" s="200">
        <f>'Murrey''s Rev 2015'!J210</f>
        <v>1022.0367647058823</v>
      </c>
      <c r="C210" s="201">
        <f>'American Rev 2015'!J210</f>
        <v>86.999999999999986</v>
      </c>
      <c r="D210" s="201">
        <f t="shared" si="19"/>
        <v>1109.0367647058822</v>
      </c>
      <c r="E210" s="202">
        <f>ROUND(D210/References!$H$19,0)</f>
        <v>92</v>
      </c>
    </row>
    <row r="211" spans="1:5">
      <c r="A211" s="181" t="s">
        <v>401</v>
      </c>
      <c r="B211" s="200">
        <f>'Murrey''s Rev 2015'!J211</f>
        <v>2821.0000000000005</v>
      </c>
      <c r="C211" s="201">
        <f>'American Rev 2015'!J211</f>
        <v>87</v>
      </c>
      <c r="D211" s="201">
        <f t="shared" si="19"/>
        <v>2908.0000000000005</v>
      </c>
      <c r="E211" s="202">
        <f>ROUND(D211/References!$H$19,0)</f>
        <v>242</v>
      </c>
    </row>
    <row r="212" spans="1:5">
      <c r="A212" s="181" t="s">
        <v>402</v>
      </c>
      <c r="B212" s="200">
        <f>'Murrey''s Rev 2015'!J212</f>
        <v>236</v>
      </c>
      <c r="C212" s="201">
        <f>'American Rev 2015'!J212</f>
        <v>0</v>
      </c>
      <c r="D212" s="201">
        <f t="shared" si="19"/>
        <v>236</v>
      </c>
      <c r="E212" s="202">
        <f>ROUND(D212/References!$H$19,0)</f>
        <v>20</v>
      </c>
    </row>
    <row r="213" spans="1:5">
      <c r="A213" s="181" t="s">
        <v>403</v>
      </c>
      <c r="B213" s="200">
        <f>'Murrey''s Rev 2015'!J213</f>
        <v>0</v>
      </c>
      <c r="C213" s="201">
        <f>'American Rev 2015'!J213</f>
        <v>0</v>
      </c>
      <c r="D213" s="201">
        <f t="shared" si="19"/>
        <v>0</v>
      </c>
      <c r="E213" s="202">
        <f>ROUND(D213/References!$H$19,0)</f>
        <v>0</v>
      </c>
    </row>
    <row r="214" spans="1:5">
      <c r="A214" s="181"/>
      <c r="B214" s="191"/>
      <c r="C214" s="183"/>
      <c r="D214" s="183"/>
      <c r="E214" s="183"/>
    </row>
    <row r="215" spans="1:5">
      <c r="A215" s="180" t="s">
        <v>405</v>
      </c>
      <c r="B215" s="191"/>
      <c r="C215" s="183"/>
      <c r="D215" s="183"/>
      <c r="E215" s="183"/>
    </row>
    <row r="216" spans="1:5">
      <c r="A216" s="181" t="s">
        <v>399</v>
      </c>
      <c r="B216" s="200">
        <f>'Murrey''s Rev 2015'!J216</f>
        <v>4432.3489361702123</v>
      </c>
      <c r="C216" s="201">
        <f>'American Rev 2015'!J216</f>
        <v>2571.8702127659576</v>
      </c>
      <c r="D216" s="201">
        <f t="shared" ref="D216:D219" si="20">SUM(B216:C216)</f>
        <v>7004.2191489361703</v>
      </c>
      <c r="E216" s="202">
        <f>ROUND(D216/References!$H$19,0)</f>
        <v>584</v>
      </c>
    </row>
    <row r="217" spans="1:5">
      <c r="A217" s="181" t="s">
        <v>400</v>
      </c>
      <c r="B217" s="200">
        <f>'Murrey''s Rev 2015'!J217</f>
        <v>1819.7428571428572</v>
      </c>
      <c r="C217" s="201">
        <f>'American Rev 2015'!J217</f>
        <v>802.92040816326528</v>
      </c>
      <c r="D217" s="201">
        <f t="shared" si="20"/>
        <v>2622.6632653061224</v>
      </c>
      <c r="E217" s="202">
        <f>ROUND(D217/References!$H$19,0)</f>
        <v>219</v>
      </c>
    </row>
    <row r="218" spans="1:5">
      <c r="A218" s="181" t="s">
        <v>401</v>
      </c>
      <c r="B218" s="200">
        <f>'Murrey''s Rev 2015'!J218</f>
        <v>7889.2109375</v>
      </c>
      <c r="C218" s="201">
        <f>'American Rev 2015'!J218</f>
        <v>2658.978515625</v>
      </c>
      <c r="D218" s="201">
        <f t="shared" si="20"/>
        <v>10548.189453125</v>
      </c>
      <c r="E218" s="202">
        <f>ROUND(D218/References!$H$19,0)</f>
        <v>879</v>
      </c>
    </row>
    <row r="219" spans="1:5">
      <c r="A219" s="181" t="s">
        <v>402</v>
      </c>
      <c r="B219" s="200">
        <f>'Murrey''s Rev 2015'!J219</f>
        <v>63.387096774193544</v>
      </c>
      <c r="C219" s="201">
        <f>'American Rev 2015'!J219</f>
        <v>0</v>
      </c>
      <c r="D219" s="201">
        <f t="shared" si="20"/>
        <v>63.387096774193544</v>
      </c>
      <c r="E219" s="202">
        <f>ROUND(D219/References!$H$19,0)</f>
        <v>5</v>
      </c>
    </row>
    <row r="220" spans="1:5">
      <c r="A220" s="181"/>
      <c r="B220" s="191"/>
      <c r="C220" s="183"/>
      <c r="D220" s="183"/>
      <c r="E220" s="183"/>
    </row>
    <row r="221" spans="1:5">
      <c r="A221" s="180" t="s">
        <v>406</v>
      </c>
      <c r="B221" s="191"/>
      <c r="C221" s="183"/>
      <c r="D221" s="183"/>
      <c r="E221" s="183"/>
    </row>
    <row r="222" spans="1:5">
      <c r="A222" s="181" t="s">
        <v>399</v>
      </c>
      <c r="B222" s="200">
        <f>'Murrey''s Rev 2015'!J222</f>
        <v>264.12493970091651</v>
      </c>
      <c r="C222" s="201">
        <f>'American Rev 2015'!J222</f>
        <v>140</v>
      </c>
      <c r="D222" s="201">
        <f t="shared" ref="D222:D225" si="21">SUM(B222:C222)</f>
        <v>404.12493970091651</v>
      </c>
      <c r="E222" s="202">
        <f>ROUND(D222/References!$H$19,0)</f>
        <v>34</v>
      </c>
    </row>
    <row r="223" spans="1:5">
      <c r="A223" s="181" t="s">
        <v>400</v>
      </c>
      <c r="B223" s="200">
        <f>'Murrey''s Rev 2015'!J223</f>
        <v>138</v>
      </c>
      <c r="C223" s="201">
        <f>'American Rev 2015'!J223</f>
        <v>51</v>
      </c>
      <c r="D223" s="201">
        <f t="shared" si="21"/>
        <v>189</v>
      </c>
      <c r="E223" s="202">
        <f>ROUND(D223/References!$H$19,0)</f>
        <v>16</v>
      </c>
    </row>
    <row r="224" spans="1:5">
      <c r="A224" s="181" t="s">
        <v>401</v>
      </c>
      <c r="B224" s="200">
        <f>'Murrey''s Rev 2015'!J224</f>
        <v>743.74339622641514</v>
      </c>
      <c r="C224" s="201">
        <f>'American Rev 2015'!J224</f>
        <v>182.03001715265867</v>
      </c>
      <c r="D224" s="201">
        <f t="shared" si="21"/>
        <v>925.77341337907387</v>
      </c>
      <c r="E224" s="202">
        <f>ROUND(D224/References!$H$19,0)</f>
        <v>77</v>
      </c>
    </row>
    <row r="225" spans="1:5">
      <c r="A225" s="181" t="s">
        <v>402</v>
      </c>
      <c r="B225" s="200">
        <f>'Murrey''s Rev 2015'!J225</f>
        <v>0</v>
      </c>
      <c r="C225" s="201">
        <f>'American Rev 2015'!J225</f>
        <v>0</v>
      </c>
      <c r="D225" s="201">
        <f t="shared" si="21"/>
        <v>0</v>
      </c>
      <c r="E225" s="202">
        <f>ROUND(D225/References!$H$19,0)</f>
        <v>0</v>
      </c>
    </row>
    <row r="226" spans="1:5">
      <c r="A226" s="181"/>
      <c r="B226" s="191"/>
      <c r="C226" s="183"/>
      <c r="D226" s="183"/>
      <c r="E226" s="183"/>
    </row>
    <row r="227" spans="1:5">
      <c r="A227" s="180" t="s">
        <v>407</v>
      </c>
      <c r="B227" s="191"/>
      <c r="C227" s="183"/>
      <c r="D227" s="183"/>
      <c r="E227" s="183"/>
    </row>
    <row r="228" spans="1:5">
      <c r="A228" s="181" t="s">
        <v>408</v>
      </c>
      <c r="B228" s="200">
        <f>'Murrey''s Rev 2015'!J228</f>
        <v>0</v>
      </c>
      <c r="C228" s="201">
        <f>'American Rev 2015'!J228</f>
        <v>0</v>
      </c>
      <c r="D228" s="201">
        <f t="shared" ref="D228:D232" si="22">SUM(B228:C228)</f>
        <v>0</v>
      </c>
      <c r="E228" s="202">
        <f>ROUND(D228/References!$H$19,0)</f>
        <v>0</v>
      </c>
    </row>
    <row r="229" spans="1:5">
      <c r="A229" s="181" t="s">
        <v>399</v>
      </c>
      <c r="B229" s="200">
        <f>'Murrey''s Rev 2015'!J229</f>
        <v>20</v>
      </c>
      <c r="C229" s="201">
        <f>'American Rev 2015'!J229</f>
        <v>0</v>
      </c>
      <c r="D229" s="201">
        <f t="shared" si="22"/>
        <v>20</v>
      </c>
      <c r="E229" s="202">
        <f>ROUND(D229/References!$H$19,0)</f>
        <v>2</v>
      </c>
    </row>
    <row r="230" spans="1:5">
      <c r="A230" s="181" t="s">
        <v>400</v>
      </c>
      <c r="B230" s="200">
        <f>'Murrey''s Rev 2015'!J230</f>
        <v>0</v>
      </c>
      <c r="C230" s="201">
        <f>'American Rev 2015'!J230</f>
        <v>0</v>
      </c>
      <c r="D230" s="201">
        <f t="shared" si="22"/>
        <v>0</v>
      </c>
      <c r="E230" s="202">
        <f>ROUND(D230/References!$H$19,0)</f>
        <v>0</v>
      </c>
    </row>
    <row r="231" spans="1:5">
      <c r="A231" s="181" t="s">
        <v>401</v>
      </c>
      <c r="B231" s="200">
        <f>'Murrey''s Rev 2015'!J231</f>
        <v>0</v>
      </c>
      <c r="C231" s="201">
        <f>'American Rev 2015'!J231</f>
        <v>0</v>
      </c>
      <c r="D231" s="201">
        <f t="shared" si="22"/>
        <v>0</v>
      </c>
      <c r="E231" s="202">
        <f>ROUND(D231/References!$H$19,0)</f>
        <v>0</v>
      </c>
    </row>
    <row r="232" spans="1:5">
      <c r="A232" s="181" t="s">
        <v>402</v>
      </c>
      <c r="B232" s="200">
        <f>'Murrey''s Rev 2015'!J232</f>
        <v>0</v>
      </c>
      <c r="C232" s="201">
        <f>'American Rev 2015'!J232</f>
        <v>0</v>
      </c>
      <c r="D232" s="201">
        <f t="shared" si="22"/>
        <v>0</v>
      </c>
      <c r="E232" s="202">
        <f>ROUND(D232/References!$H$19,0)</f>
        <v>0</v>
      </c>
    </row>
    <row r="233" spans="1:5">
      <c r="A233" s="181"/>
      <c r="B233" s="191"/>
      <c r="C233" s="183"/>
      <c r="D233" s="183"/>
      <c r="E233" s="183"/>
    </row>
    <row r="234" spans="1:5">
      <c r="A234" s="180" t="s">
        <v>409</v>
      </c>
      <c r="B234" s="191"/>
      <c r="C234" s="183"/>
      <c r="D234" s="183"/>
      <c r="E234" s="183"/>
    </row>
    <row r="235" spans="1:5">
      <c r="A235" s="181" t="s">
        <v>408</v>
      </c>
      <c r="B235" s="200">
        <f>'Murrey''s Rev 2015'!J235</f>
        <v>0</v>
      </c>
      <c r="C235" s="201">
        <f>'American Rev 2015'!J235</f>
        <v>129</v>
      </c>
      <c r="D235" s="201">
        <f t="shared" ref="D235:D241" si="23">SUM(B235:C235)</f>
        <v>129</v>
      </c>
      <c r="E235" s="202">
        <f>ROUND(D235/References!$H$19,0)</f>
        <v>11</v>
      </c>
    </row>
    <row r="236" spans="1:5">
      <c r="A236" s="181" t="s">
        <v>410</v>
      </c>
      <c r="B236" s="200">
        <f>'Murrey''s Rev 2015'!J236</f>
        <v>22.999999999999996</v>
      </c>
      <c r="C236" s="201">
        <f>'American Rev 2015'!J236</f>
        <v>12.999999999999998</v>
      </c>
      <c r="D236" s="201">
        <f t="shared" si="23"/>
        <v>35.999999999999993</v>
      </c>
      <c r="E236" s="202">
        <f>ROUND(D236/References!$H$19,0)</f>
        <v>3</v>
      </c>
    </row>
    <row r="237" spans="1:5">
      <c r="A237" s="181" t="s">
        <v>399</v>
      </c>
      <c r="B237" s="200">
        <f>'Murrey''s Rev 2015'!J237</f>
        <v>245</v>
      </c>
      <c r="C237" s="201">
        <f>'American Rev 2015'!J237</f>
        <v>67</v>
      </c>
      <c r="D237" s="201">
        <f t="shared" si="23"/>
        <v>312</v>
      </c>
      <c r="E237" s="202">
        <f>ROUND(D237/References!$H$19,0)</f>
        <v>26</v>
      </c>
    </row>
    <row r="238" spans="1:5">
      <c r="A238" s="181" t="s">
        <v>400</v>
      </c>
      <c r="B238" s="200">
        <f>'Murrey''s Rev 2015'!J238</f>
        <v>528.99999999999989</v>
      </c>
      <c r="C238" s="201">
        <f>'American Rev 2015'!J238</f>
        <v>99.999999999999986</v>
      </c>
      <c r="D238" s="201">
        <f t="shared" si="23"/>
        <v>628.99999999999989</v>
      </c>
      <c r="E238" s="202">
        <f>ROUND(D238/References!$H$19,0)</f>
        <v>52</v>
      </c>
    </row>
    <row r="239" spans="1:5">
      <c r="A239" s="181" t="s">
        <v>401</v>
      </c>
      <c r="B239" s="200">
        <f>'Murrey''s Rev 2015'!J239</f>
        <v>813</v>
      </c>
      <c r="C239" s="201">
        <f>'American Rev 2015'!J239</f>
        <v>223</v>
      </c>
      <c r="D239" s="201">
        <f t="shared" si="23"/>
        <v>1036</v>
      </c>
      <c r="E239" s="202">
        <f>ROUND(D239/References!$H$19,0)</f>
        <v>86</v>
      </c>
    </row>
    <row r="240" spans="1:5">
      <c r="A240" s="181" t="s">
        <v>411</v>
      </c>
      <c r="B240" s="200">
        <f>'Murrey''s Rev 2015'!J240</f>
        <v>26</v>
      </c>
      <c r="C240" s="201">
        <f>'American Rev 2015'!J240</f>
        <v>0</v>
      </c>
      <c r="D240" s="201">
        <f t="shared" si="23"/>
        <v>26</v>
      </c>
      <c r="E240" s="202">
        <f>ROUND(D240/References!$H$19,0)</f>
        <v>2</v>
      </c>
    </row>
    <row r="241" spans="1:5">
      <c r="A241" s="181" t="s">
        <v>402</v>
      </c>
      <c r="B241" s="200">
        <f>'Murrey''s Rev 2015'!J241</f>
        <v>420</v>
      </c>
      <c r="C241" s="201">
        <f>'American Rev 2015'!J241</f>
        <v>28</v>
      </c>
      <c r="D241" s="201">
        <f t="shared" si="23"/>
        <v>448</v>
      </c>
      <c r="E241" s="202">
        <f>ROUND(D241/References!$H$19,0)</f>
        <v>37</v>
      </c>
    </row>
    <row r="242" spans="1:5">
      <c r="A242" s="181"/>
      <c r="B242" s="191"/>
      <c r="C242" s="183"/>
      <c r="D242" s="183"/>
      <c r="E242" s="183"/>
    </row>
    <row r="243" spans="1:5">
      <c r="A243" s="180" t="s">
        <v>412</v>
      </c>
      <c r="B243" s="191"/>
      <c r="C243" s="183"/>
      <c r="D243" s="183"/>
      <c r="E243" s="183"/>
    </row>
    <row r="244" spans="1:5">
      <c r="A244" s="181" t="s">
        <v>413</v>
      </c>
      <c r="B244" s="200">
        <f>'Murrey''s Rev 2015'!J244</f>
        <v>549.86955056179772</v>
      </c>
      <c r="C244" s="201">
        <f>'American Rev 2015'!J244</f>
        <v>219</v>
      </c>
      <c r="D244" s="201">
        <f t="shared" ref="D244:D253" si="24">SUM(B244:C244)</f>
        <v>768.86955056179772</v>
      </c>
      <c r="E244" s="202">
        <f>ROUND(D244/References!$H$19,0)</f>
        <v>64</v>
      </c>
    </row>
    <row r="245" spans="1:5">
      <c r="A245" s="181" t="s">
        <v>414</v>
      </c>
      <c r="B245" s="200">
        <f>'Murrey''s Rev 2015'!J245</f>
        <v>121651.38857142859</v>
      </c>
      <c r="C245" s="201">
        <f>'American Rev 2015'!J245</f>
        <v>2630</v>
      </c>
      <c r="D245" s="201">
        <f t="shared" si="24"/>
        <v>124281.38857142859</v>
      </c>
      <c r="E245" s="202">
        <f>ROUND(D245/References!$H$19,0)</f>
        <v>10357</v>
      </c>
    </row>
    <row r="246" spans="1:5">
      <c r="A246" s="181" t="s">
        <v>415</v>
      </c>
      <c r="B246" s="200">
        <f>'Murrey''s Rev 2015'!J246</f>
        <v>2016.2519083969466</v>
      </c>
      <c r="C246" s="201">
        <f>'American Rev 2015'!J246</f>
        <v>535.01374045801526</v>
      </c>
      <c r="D246" s="201">
        <f t="shared" si="24"/>
        <v>2551.2656488549619</v>
      </c>
      <c r="E246" s="202">
        <f>ROUND(D246/References!$H$19,0)</f>
        <v>213</v>
      </c>
    </row>
    <row r="247" spans="1:5">
      <c r="A247" s="181" t="s">
        <v>416</v>
      </c>
      <c r="B247" s="200">
        <f>'Murrey''s Rev 2015'!J247</f>
        <v>1852</v>
      </c>
      <c r="C247" s="201">
        <f>'American Rev 2015'!J247</f>
        <v>422</v>
      </c>
      <c r="D247" s="201">
        <f t="shared" si="24"/>
        <v>2274</v>
      </c>
      <c r="E247" s="202">
        <f>ROUND(D247/References!$H$19,0)</f>
        <v>190</v>
      </c>
    </row>
    <row r="248" spans="1:5">
      <c r="A248" s="181" t="s">
        <v>417</v>
      </c>
      <c r="B248" s="200">
        <f>'Murrey''s Rev 2015'!J248</f>
        <v>164.20771113831088</v>
      </c>
      <c r="C248" s="201">
        <f>'American Rev 2015'!J248</f>
        <v>12.579742962056303</v>
      </c>
      <c r="D248" s="201">
        <f t="shared" si="24"/>
        <v>176.7874541003672</v>
      </c>
      <c r="E248" s="202">
        <f>ROUND(D248/References!$H$19,0)</f>
        <v>15</v>
      </c>
    </row>
    <row r="249" spans="1:5">
      <c r="A249" s="181" t="s">
        <v>418</v>
      </c>
      <c r="B249" s="200">
        <f>'Murrey''s Rev 2015'!J249</f>
        <v>57.75</v>
      </c>
      <c r="C249" s="201">
        <f>'American Rev 2015'!J249</f>
        <v>14.418604651162791</v>
      </c>
      <c r="D249" s="201">
        <f t="shared" si="24"/>
        <v>72.168604651162795</v>
      </c>
      <c r="E249" s="202">
        <f>ROUND(D249/References!$H$19,0)</f>
        <v>6</v>
      </c>
    </row>
    <row r="250" spans="1:5">
      <c r="A250" s="181" t="s">
        <v>419</v>
      </c>
      <c r="B250" s="200">
        <f>'Murrey''s Rev 2015'!J250</f>
        <v>43</v>
      </c>
      <c r="C250" s="201">
        <f>'American Rev 2015'!J250</f>
        <v>4</v>
      </c>
      <c r="D250" s="201">
        <f t="shared" si="24"/>
        <v>47</v>
      </c>
      <c r="E250" s="202">
        <f>ROUND(D250/References!$H$19,0)</f>
        <v>4</v>
      </c>
    </row>
    <row r="251" spans="1:5">
      <c r="A251" s="181" t="s">
        <v>420</v>
      </c>
      <c r="B251" s="200">
        <f>'Murrey''s Rev 2015'!J251</f>
        <v>180.86956521739128</v>
      </c>
      <c r="C251" s="201">
        <f>'American Rev 2015'!J251</f>
        <v>30.869565217391301</v>
      </c>
      <c r="D251" s="201">
        <f t="shared" si="24"/>
        <v>211.7391304347826</v>
      </c>
      <c r="E251" s="202">
        <f>ROUND(D251/References!$H$19,0)</f>
        <v>18</v>
      </c>
    </row>
    <row r="252" spans="1:5">
      <c r="A252" s="181" t="s">
        <v>421</v>
      </c>
      <c r="B252" s="200">
        <f>'Murrey''s Rev 2015'!J252</f>
        <v>24488.45792584258</v>
      </c>
      <c r="C252" s="201">
        <f>'American Rev 2015'!J252</f>
        <v>4340.3148129281299</v>
      </c>
      <c r="D252" s="201">
        <f t="shared" si="24"/>
        <v>28828.772738770709</v>
      </c>
      <c r="E252" s="202">
        <f>ROUND(D252/References!$H$19,0)</f>
        <v>2402</v>
      </c>
    </row>
    <row r="253" spans="1:5">
      <c r="A253" s="192" t="s">
        <v>422</v>
      </c>
      <c r="B253" s="200">
        <f>'Murrey''s Rev 2015'!J253</f>
        <v>0</v>
      </c>
      <c r="C253" s="201">
        <f>'American Rev 2015'!J253</f>
        <v>0</v>
      </c>
      <c r="D253" s="201">
        <f t="shared" si="24"/>
        <v>0</v>
      </c>
      <c r="E253" s="202">
        <f>ROUND(D253/References!$H$19,0)</f>
        <v>0</v>
      </c>
    </row>
    <row r="254" spans="1:5">
      <c r="A254" s="181" t="s">
        <v>423</v>
      </c>
      <c r="B254" s="200">
        <f>'Murrey''s Rev 2015'!J254</f>
        <v>0</v>
      </c>
      <c r="C254" s="201">
        <f>'American Rev 2015'!J254</f>
        <v>0</v>
      </c>
      <c r="D254" s="201">
        <f t="shared" ref="D254:D255" si="25">SUM(B254:C254)</f>
        <v>0</v>
      </c>
      <c r="E254" s="202">
        <f>ROUND(D254/References!$H$19,0)</f>
        <v>0</v>
      </c>
    </row>
    <row r="255" spans="1:5">
      <c r="A255" s="181" t="s">
        <v>424</v>
      </c>
      <c r="B255" s="200">
        <f>'Murrey''s Rev 2015'!J255</f>
        <v>0</v>
      </c>
      <c r="C255" s="201">
        <f>'American Rev 2015'!J255</f>
        <v>0</v>
      </c>
      <c r="D255" s="201">
        <f t="shared" si="25"/>
        <v>0</v>
      </c>
      <c r="E255" s="202">
        <f>ROUND(D255/References!$H$19,0)</f>
        <v>0</v>
      </c>
    </row>
    <row r="256" spans="1:5">
      <c r="A256" s="181" t="s">
        <v>425</v>
      </c>
      <c r="B256" s="200">
        <f>'Murrey''s Rev 2015'!J256</f>
        <v>0</v>
      </c>
      <c r="C256" s="201">
        <f>'American Rev 2015'!J256</f>
        <v>0</v>
      </c>
      <c r="D256" s="183"/>
      <c r="E256" s="183"/>
    </row>
    <row r="257" spans="1:5">
      <c r="A257" s="181"/>
      <c r="B257" s="191"/>
      <c r="C257" s="183"/>
      <c r="D257" s="183"/>
      <c r="E257" s="183"/>
    </row>
    <row r="258" spans="1:5">
      <c r="A258" s="181" t="s">
        <v>426</v>
      </c>
      <c r="B258" s="200">
        <f>'Murrey''s Rev 2015'!J258</f>
        <v>11824.000000000002</v>
      </c>
      <c r="C258" s="201">
        <f>'American Rev 2015'!J258</f>
        <v>1629.9999999999998</v>
      </c>
      <c r="D258" s="201">
        <f t="shared" ref="D258:D260" si="26">SUM(B258:C258)</f>
        <v>13454.000000000002</v>
      </c>
      <c r="E258" s="202">
        <f>ROUND(D258/References!$H$19,0)</f>
        <v>1121</v>
      </c>
    </row>
    <row r="259" spans="1:5">
      <c r="A259" s="181" t="s">
        <v>427</v>
      </c>
      <c r="B259" s="200">
        <f>'Murrey''s Rev 2015'!J259</f>
        <v>41547.036649214657</v>
      </c>
      <c r="C259" s="201">
        <f>'American Rev 2015'!J259</f>
        <v>4905.0000000000009</v>
      </c>
      <c r="D259" s="201">
        <f t="shared" si="26"/>
        <v>46452.036649214657</v>
      </c>
      <c r="E259" s="202">
        <f>ROUND(D259/References!$H$19,0)</f>
        <v>3871</v>
      </c>
    </row>
    <row r="260" spans="1:5">
      <c r="A260" s="193" t="s">
        <v>319</v>
      </c>
      <c r="B260" s="200">
        <f>'Murrey''s Rev 2015'!J260</f>
        <v>11824</v>
      </c>
      <c r="C260" s="201">
        <f>'American Rev 2015'!J260</f>
        <v>1629.9999999999998</v>
      </c>
      <c r="D260" s="201">
        <f t="shared" si="26"/>
        <v>13454</v>
      </c>
      <c r="E260" s="202">
        <f>ROUND(D260/References!$H$19,0)</f>
        <v>1121</v>
      </c>
    </row>
    <row r="261" spans="1:5">
      <c r="A261" s="181"/>
      <c r="B261" s="191"/>
      <c r="C261" s="183"/>
      <c r="D261" s="183"/>
      <c r="E261" s="183"/>
    </row>
    <row r="262" spans="1:5">
      <c r="A262" s="193" t="s">
        <v>288</v>
      </c>
      <c r="B262" s="200">
        <f>'Murrey''s Rev 2015'!J262</f>
        <v>0</v>
      </c>
      <c r="C262" s="201">
        <f>'American Rev 2015'!J262</f>
        <v>0</v>
      </c>
      <c r="D262" s="201">
        <f t="shared" ref="D262:D263" si="27">SUM(B262:C262)</f>
        <v>0</v>
      </c>
      <c r="E262" s="202">
        <f>ROUND(D262/References!$H$19,0)</f>
        <v>0</v>
      </c>
    </row>
    <row r="263" spans="1:5">
      <c r="A263" s="193" t="s">
        <v>289</v>
      </c>
      <c r="B263" s="200">
        <f>'Murrey''s Rev 2015'!J263</f>
        <v>0</v>
      </c>
      <c r="C263" s="201">
        <f>'American Rev 2015'!J263</f>
        <v>0</v>
      </c>
      <c r="D263" s="201">
        <f t="shared" si="27"/>
        <v>0</v>
      </c>
      <c r="E263" s="202">
        <f>ROUND(D263/References!$H$19,0)</f>
        <v>0</v>
      </c>
    </row>
    <row r="264" spans="1:5">
      <c r="A264" s="193"/>
      <c r="B264" s="191"/>
      <c r="C264" s="183"/>
      <c r="D264" s="183"/>
      <c r="E264" s="183"/>
    </row>
    <row r="265" spans="1:5">
      <c r="A265" s="193"/>
      <c r="B265" s="191"/>
      <c r="C265" s="183"/>
      <c r="D265" s="183"/>
      <c r="E265" s="183"/>
    </row>
    <row r="266" spans="1:5">
      <c r="A266" s="180" t="s">
        <v>428</v>
      </c>
      <c r="B266" s="191"/>
      <c r="C266" s="183"/>
      <c r="D266" s="183"/>
      <c r="E266" s="183"/>
    </row>
    <row r="267" spans="1:5">
      <c r="A267" s="193" t="s">
        <v>429</v>
      </c>
      <c r="B267" s="200">
        <f>'Murrey''s Rev 2015'!J267</f>
        <v>1643.2304147465441</v>
      </c>
      <c r="C267" s="201">
        <f>'American Rev 2015'!J267</f>
        <v>103.91705069124424</v>
      </c>
      <c r="D267" s="201">
        <f t="shared" ref="D267:D274" si="28">SUM(B267:C267)</f>
        <v>1747.1474654377882</v>
      </c>
      <c r="E267" s="202">
        <f>ROUND(D267/References!$H$19,0)</f>
        <v>146</v>
      </c>
    </row>
    <row r="268" spans="1:5">
      <c r="A268" s="193" t="s">
        <v>430</v>
      </c>
      <c r="B268" s="200">
        <f>'Murrey''s Rev 2015'!J268</f>
        <v>246</v>
      </c>
      <c r="C268" s="201">
        <f>'American Rev 2015'!J268</f>
        <v>12.000000000000002</v>
      </c>
      <c r="D268" s="201">
        <f t="shared" si="28"/>
        <v>258</v>
      </c>
      <c r="E268" s="202">
        <f>ROUND(D268/References!$H$19,0)</f>
        <v>22</v>
      </c>
    </row>
    <row r="269" spans="1:5">
      <c r="A269" s="193" t="s">
        <v>431</v>
      </c>
      <c r="B269" s="200">
        <f>'Murrey''s Rev 2015'!J269</f>
        <v>2238.6065533382607</v>
      </c>
      <c r="C269" s="201">
        <f>'American Rev 2015'!J269</f>
        <v>415.67775314116778</v>
      </c>
      <c r="D269" s="201">
        <f t="shared" si="28"/>
        <v>2654.2843064794283</v>
      </c>
      <c r="E269" s="202">
        <f>ROUND(D269/References!$H$19,0)</f>
        <v>221</v>
      </c>
    </row>
    <row r="270" spans="1:5">
      <c r="A270" s="193" t="s">
        <v>432</v>
      </c>
      <c r="B270" s="200">
        <f>'Murrey''s Rev 2015'!J270</f>
        <v>265.99999999999994</v>
      </c>
      <c r="C270" s="201">
        <f>'American Rev 2015'!J270</f>
        <v>59.999999999999993</v>
      </c>
      <c r="D270" s="201">
        <f t="shared" si="28"/>
        <v>325.99999999999994</v>
      </c>
      <c r="E270" s="202">
        <f>ROUND(D270/References!$H$19,0)</f>
        <v>27</v>
      </c>
    </row>
    <row r="271" spans="1:5">
      <c r="A271" s="193" t="s">
        <v>433</v>
      </c>
      <c r="B271" s="200">
        <f>'Murrey''s Rev 2015'!J271</f>
        <v>3676.1130573248406</v>
      </c>
      <c r="C271" s="201">
        <f>'American Rev 2015'!J271</f>
        <v>1757.8248407643309</v>
      </c>
      <c r="D271" s="201">
        <f t="shared" si="28"/>
        <v>5433.9378980891715</v>
      </c>
      <c r="E271" s="202">
        <f>ROUND(D271/References!$H$19,0)</f>
        <v>453</v>
      </c>
    </row>
    <row r="272" spans="1:5">
      <c r="A272" s="193" t="s">
        <v>434</v>
      </c>
      <c r="B272" s="200">
        <f>'Murrey''s Rev 2015'!J272</f>
        <v>872.99999999999989</v>
      </c>
      <c r="C272" s="201">
        <f>'American Rev 2015'!J272</f>
        <v>406</v>
      </c>
      <c r="D272" s="201">
        <f t="shared" si="28"/>
        <v>1279</v>
      </c>
      <c r="E272" s="202">
        <f>ROUND(D272/References!$H$19,0)</f>
        <v>107</v>
      </c>
    </row>
    <row r="273" spans="1:5">
      <c r="A273" s="193" t="s">
        <v>319</v>
      </c>
      <c r="B273" s="200">
        <f>'Murrey''s Rev 2015'!J273</f>
        <v>18829.226718403548</v>
      </c>
      <c r="C273" s="201">
        <f>'American Rev 2015'!J273</f>
        <v>3481.0720620842571</v>
      </c>
      <c r="D273" s="201">
        <f t="shared" si="28"/>
        <v>22310.298780487807</v>
      </c>
      <c r="E273" s="202">
        <f>ROUND(D273/References!$H$19,0)</f>
        <v>1859</v>
      </c>
    </row>
    <row r="274" spans="1:5">
      <c r="A274" s="193" t="s">
        <v>323</v>
      </c>
      <c r="B274" s="200">
        <f>'Murrey''s Rev 2015'!J274</f>
        <v>8837.9999999999982</v>
      </c>
      <c r="C274" s="201">
        <f>'American Rev 2015'!J274</f>
        <v>2464</v>
      </c>
      <c r="D274" s="201">
        <f t="shared" si="28"/>
        <v>11301.999999999998</v>
      </c>
      <c r="E274" s="202">
        <f>ROUND(D274/References!$H$19,0)</f>
        <v>942</v>
      </c>
    </row>
    <row r="275" spans="1:5">
      <c r="A275" s="193"/>
      <c r="B275" s="191"/>
      <c r="C275" s="183"/>
      <c r="D275" s="183"/>
      <c r="E275" s="183"/>
    </row>
    <row r="276" spans="1:5">
      <c r="A276" s="193" t="s">
        <v>299</v>
      </c>
      <c r="B276" s="200">
        <f>'Murrey''s Rev 2015'!J276</f>
        <v>2150.2067381317001</v>
      </c>
      <c r="C276" s="201">
        <f>'American Rev 2015'!J276</f>
        <v>510.45022970903517</v>
      </c>
      <c r="D276" s="201">
        <f t="shared" ref="D276" si="29">SUM(B276:C276)</f>
        <v>2660.6569678407354</v>
      </c>
      <c r="E276" s="202">
        <f>ROUND(D276/References!$H$19,0)</f>
        <v>222</v>
      </c>
    </row>
    <row r="277" spans="1:5">
      <c r="A277" s="193"/>
      <c r="B277" s="191"/>
      <c r="C277" s="183"/>
      <c r="D277" s="183"/>
      <c r="E277" s="183"/>
    </row>
    <row r="278" spans="1:5">
      <c r="A278" s="193" t="s">
        <v>435</v>
      </c>
      <c r="B278" s="200">
        <f>'Murrey''s Rev 2015'!J278</f>
        <v>0</v>
      </c>
      <c r="C278" s="201">
        <f>'American Rev 2015'!J278</f>
        <v>0</v>
      </c>
      <c r="D278" s="183"/>
      <c r="E278" s="183"/>
    </row>
    <row r="279" spans="1:5">
      <c r="A279" s="193"/>
      <c r="B279" s="191"/>
      <c r="C279" s="183"/>
      <c r="D279" s="183"/>
      <c r="E279" s="183"/>
    </row>
    <row r="280" spans="1:5">
      <c r="A280" s="194"/>
      <c r="B280" s="191"/>
      <c r="C280" s="183"/>
      <c r="D280" s="183"/>
      <c r="E280" s="183"/>
    </row>
    <row r="281" spans="1:5">
      <c r="A281" s="194"/>
      <c r="B281" s="191"/>
      <c r="C281" s="183"/>
      <c r="D281" s="183"/>
      <c r="E281" s="183"/>
    </row>
    <row r="282" spans="1:5">
      <c r="A282" s="193"/>
      <c r="B282" s="191"/>
      <c r="C282" s="183"/>
      <c r="D282" s="183"/>
      <c r="E282" s="183"/>
    </row>
    <row r="283" spans="1:5">
      <c r="A283" s="341" t="s">
        <v>437</v>
      </c>
      <c r="B283" s="191"/>
      <c r="C283" s="183"/>
      <c r="D283" s="183"/>
      <c r="E283" s="183"/>
    </row>
    <row r="284" spans="1:5">
      <c r="A284" s="181" t="s">
        <v>674</v>
      </c>
      <c r="B284" s="200">
        <f>'Murrey''s Rev 2015'!J284</f>
        <v>345.64159292035396</v>
      </c>
      <c r="C284" s="183"/>
      <c r="D284" s="201">
        <f t="shared" ref="D284:D286" si="30">SUM(B284:C284)</f>
        <v>345.64159292035396</v>
      </c>
      <c r="E284" s="202">
        <f>ROUND(D284/References!$H$19,0)</f>
        <v>29</v>
      </c>
    </row>
    <row r="285" spans="1:5">
      <c r="A285" s="181" t="s">
        <v>675</v>
      </c>
      <c r="B285" s="200">
        <f>'Murrey''s Rev 2015'!J285</f>
        <v>1434.1056149732619</v>
      </c>
      <c r="C285" s="183"/>
      <c r="D285" s="201">
        <f t="shared" si="30"/>
        <v>1434.1056149732619</v>
      </c>
      <c r="E285" s="202">
        <f>ROUND(D285/References!$H$19,0)</f>
        <v>120</v>
      </c>
    </row>
    <row r="286" spans="1:5">
      <c r="A286" s="181" t="s">
        <v>676</v>
      </c>
      <c r="B286" s="200">
        <f>'Murrey''s Rev 2015'!J286</f>
        <v>593.3975155279503</v>
      </c>
      <c r="C286" s="183"/>
      <c r="D286" s="201">
        <f t="shared" si="30"/>
        <v>593.3975155279503</v>
      </c>
      <c r="E286" s="202">
        <f>ROUND(D286/References!$H$19,0)</f>
        <v>49</v>
      </c>
    </row>
    <row r="287" spans="1:5">
      <c r="A287" s="193"/>
      <c r="B287" s="191"/>
      <c r="C287" s="183"/>
      <c r="D287" s="183"/>
      <c r="E287" s="183"/>
    </row>
    <row r="288" spans="1:5">
      <c r="A288" s="193"/>
      <c r="B288" s="191"/>
      <c r="C288" s="183"/>
      <c r="D288" s="183"/>
      <c r="E288" s="183"/>
    </row>
    <row r="289" spans="1:5">
      <c r="A289" s="193"/>
      <c r="B289" s="191"/>
      <c r="C289" s="183"/>
      <c r="D289" s="183"/>
      <c r="E289" s="183"/>
    </row>
    <row r="290" spans="1:5">
      <c r="A290" s="193"/>
      <c r="B290" s="191"/>
      <c r="C290" s="183"/>
      <c r="D290" s="183"/>
      <c r="E290" s="183"/>
    </row>
    <row r="291" spans="1:5">
      <c r="A291" s="119"/>
      <c r="B291" s="119"/>
    </row>
    <row r="292" spans="1:5">
      <c r="A292" s="119"/>
      <c r="B292" s="119"/>
    </row>
    <row r="293" spans="1:5">
      <c r="A293" s="119"/>
      <c r="B293" s="119"/>
    </row>
    <row r="294" spans="1:5">
      <c r="A294" s="119"/>
      <c r="B294" s="119"/>
    </row>
    <row r="295" spans="1:5">
      <c r="A295" s="119"/>
      <c r="B295" s="119"/>
    </row>
    <row r="296" spans="1:5">
      <c r="A296" s="119"/>
      <c r="B296" s="119"/>
    </row>
    <row r="297" spans="1:5">
      <c r="A297" s="119"/>
      <c r="B297" s="119"/>
    </row>
    <row r="298" spans="1:5">
      <c r="A298" s="119"/>
      <c r="B298" s="119"/>
    </row>
    <row r="299" spans="1:5">
      <c r="A299" s="119"/>
      <c r="B299" s="119"/>
    </row>
    <row r="300" spans="1:5">
      <c r="A300" s="119"/>
      <c r="B300" s="119"/>
    </row>
    <row r="301" spans="1:5">
      <c r="A301" s="119"/>
      <c r="B301" s="119"/>
    </row>
    <row r="302" spans="1:5">
      <c r="A302" s="119"/>
      <c r="B302" s="119"/>
    </row>
    <row r="303" spans="1:5">
      <c r="A303" s="119"/>
      <c r="B303" s="119"/>
    </row>
    <row r="304" spans="1:5">
      <c r="A304" s="119"/>
      <c r="B304" s="119"/>
    </row>
    <row r="305" spans="1:2">
      <c r="A305" s="119"/>
      <c r="B305" s="119"/>
    </row>
    <row r="306" spans="1:2">
      <c r="A306" s="119"/>
      <c r="B306" s="119"/>
    </row>
    <row r="307" spans="1:2">
      <c r="A307" s="119"/>
      <c r="B307" s="119"/>
    </row>
    <row r="308" spans="1:2">
      <c r="A308" s="119"/>
      <c r="B308" s="119"/>
    </row>
    <row r="309" spans="1:2">
      <c r="A309" s="119"/>
      <c r="B309" s="119"/>
    </row>
    <row r="310" spans="1:2">
      <c r="A310" s="119"/>
      <c r="B310" s="119"/>
    </row>
    <row r="311" spans="1:2">
      <c r="A311" s="119"/>
      <c r="B311" s="119"/>
    </row>
    <row r="312" spans="1:2">
      <c r="A312" s="119"/>
      <c r="B312" s="119"/>
    </row>
    <row r="313" spans="1:2">
      <c r="A313" s="119"/>
      <c r="B313" s="119"/>
    </row>
    <row r="314" spans="1:2">
      <c r="A314" s="119"/>
      <c r="B314" s="119"/>
    </row>
    <row r="315" spans="1:2">
      <c r="A315" s="119"/>
      <c r="B315" s="119"/>
    </row>
    <row r="316" spans="1:2">
      <c r="A316" s="119"/>
      <c r="B316" s="119"/>
    </row>
    <row r="317" spans="1:2">
      <c r="A317" s="119"/>
      <c r="B317" s="119"/>
    </row>
    <row r="318" spans="1:2">
      <c r="A318" s="119"/>
      <c r="B318" s="119"/>
    </row>
    <row r="319" spans="1:2">
      <c r="A319" s="119"/>
      <c r="B319" s="119"/>
    </row>
    <row r="320" spans="1:2">
      <c r="A320" s="119"/>
      <c r="B320" s="119"/>
    </row>
    <row r="321" spans="1:2">
      <c r="A321" s="119"/>
      <c r="B321" s="119"/>
    </row>
    <row r="322" spans="1:2">
      <c r="A322" s="119"/>
      <c r="B322" s="119"/>
    </row>
    <row r="323" spans="1:2">
      <c r="A323" s="119"/>
      <c r="B323" s="119"/>
    </row>
    <row r="324" spans="1:2">
      <c r="A324" s="119"/>
      <c r="B324" s="119"/>
    </row>
    <row r="325" spans="1:2">
      <c r="A325" s="119"/>
      <c r="B325" s="119"/>
    </row>
    <row r="326" spans="1:2">
      <c r="A326" s="119"/>
      <c r="B326" s="119"/>
    </row>
    <row r="327" spans="1:2">
      <c r="A327" s="119"/>
      <c r="B327" s="119"/>
    </row>
    <row r="328" spans="1:2">
      <c r="A328" s="119"/>
      <c r="B328" s="119"/>
    </row>
    <row r="329" spans="1:2">
      <c r="A329" s="119"/>
      <c r="B329" s="119"/>
    </row>
    <row r="330" spans="1:2">
      <c r="A330" s="119"/>
      <c r="B330" s="119"/>
    </row>
    <row r="331" spans="1:2">
      <c r="A331" s="119"/>
      <c r="B331" s="119"/>
    </row>
    <row r="332" spans="1:2">
      <c r="A332" s="119"/>
      <c r="B332" s="119"/>
    </row>
    <row r="333" spans="1:2">
      <c r="A333" s="119"/>
      <c r="B333" s="119"/>
    </row>
    <row r="334" spans="1:2">
      <c r="A334" s="119"/>
      <c r="B334" s="119"/>
    </row>
    <row r="335" spans="1:2">
      <c r="A335" s="119"/>
      <c r="B335" s="119"/>
    </row>
    <row r="336" spans="1:2">
      <c r="A336" s="119"/>
      <c r="B336" s="119"/>
    </row>
    <row r="337" spans="1:2">
      <c r="A337" s="119"/>
      <c r="B337" s="119"/>
    </row>
    <row r="338" spans="1:2">
      <c r="A338" s="119"/>
      <c r="B338" s="119"/>
    </row>
    <row r="339" spans="1:2">
      <c r="A339" s="119"/>
      <c r="B339" s="119"/>
    </row>
    <row r="340" spans="1:2">
      <c r="A340" s="119"/>
      <c r="B340" s="119"/>
    </row>
    <row r="341" spans="1:2">
      <c r="A341" s="119"/>
      <c r="B341" s="119"/>
    </row>
    <row r="342" spans="1:2">
      <c r="A342" s="119"/>
      <c r="B342" s="119"/>
    </row>
    <row r="343" spans="1:2">
      <c r="A343" s="119"/>
      <c r="B343" s="119"/>
    </row>
    <row r="344" spans="1:2">
      <c r="A344" s="119"/>
      <c r="B344" s="119"/>
    </row>
    <row r="345" spans="1:2">
      <c r="A345" s="119"/>
      <c r="B345" s="119"/>
    </row>
    <row r="346" spans="1:2">
      <c r="A346" s="119"/>
      <c r="B346" s="119"/>
    </row>
    <row r="347" spans="1:2">
      <c r="A347" s="119"/>
      <c r="B347" s="119"/>
    </row>
    <row r="348" spans="1:2">
      <c r="A348" s="119"/>
      <c r="B348" s="119"/>
    </row>
    <row r="349" spans="1:2">
      <c r="A349" s="119"/>
      <c r="B349" s="119"/>
    </row>
    <row r="350" spans="1:2">
      <c r="A350" s="119"/>
      <c r="B350" s="119"/>
    </row>
    <row r="351" spans="1:2">
      <c r="A351" s="119"/>
      <c r="B351" s="119"/>
    </row>
    <row r="352" spans="1:2">
      <c r="A352" s="119"/>
      <c r="B352" s="119"/>
    </row>
    <row r="353" spans="1:2">
      <c r="A353" s="119"/>
      <c r="B353" s="119"/>
    </row>
    <row r="354" spans="1:2">
      <c r="A354" s="119"/>
      <c r="B354" s="119"/>
    </row>
    <row r="355" spans="1:2">
      <c r="A355" s="119"/>
      <c r="B355" s="119"/>
    </row>
    <row r="356" spans="1:2">
      <c r="A356" s="119"/>
      <c r="B356" s="119"/>
    </row>
    <row r="357" spans="1:2">
      <c r="A357" s="119"/>
      <c r="B357" s="119"/>
    </row>
    <row r="358" spans="1:2">
      <c r="A358" s="119"/>
      <c r="B358" s="119"/>
    </row>
    <row r="359" spans="1:2">
      <c r="A359" s="119"/>
      <c r="B359" s="119"/>
    </row>
    <row r="360" spans="1:2">
      <c r="A360" s="119"/>
      <c r="B360" s="119"/>
    </row>
    <row r="361" spans="1:2">
      <c r="A361" s="119"/>
      <c r="B361" s="119"/>
    </row>
    <row r="362" spans="1:2">
      <c r="A362" s="119"/>
      <c r="B362" s="119"/>
    </row>
    <row r="363" spans="1:2">
      <c r="A363" s="119"/>
      <c r="B363" s="119"/>
    </row>
    <row r="364" spans="1:2">
      <c r="A364" s="119"/>
      <c r="B364" s="119"/>
    </row>
    <row r="365" spans="1:2">
      <c r="A365" s="119"/>
      <c r="B365" s="119"/>
    </row>
    <row r="366" spans="1:2">
      <c r="A366" s="119"/>
      <c r="B366" s="119"/>
    </row>
    <row r="367" spans="1:2">
      <c r="A367" s="119"/>
      <c r="B367" s="119"/>
    </row>
    <row r="368" spans="1:2">
      <c r="A368" s="119"/>
      <c r="B368" s="119"/>
    </row>
    <row r="369" spans="1:2">
      <c r="A369" s="119"/>
      <c r="B369" s="119"/>
    </row>
    <row r="370" spans="1:2">
      <c r="A370" s="119"/>
      <c r="B370" s="119"/>
    </row>
    <row r="371" spans="1:2">
      <c r="A371" s="119"/>
      <c r="B371" s="119"/>
    </row>
    <row r="372" spans="1:2">
      <c r="A372" s="119"/>
      <c r="B372" s="119"/>
    </row>
    <row r="373" spans="1:2">
      <c r="A373" s="119"/>
      <c r="B373" s="119"/>
    </row>
    <row r="374" spans="1:2">
      <c r="A374" s="119"/>
      <c r="B374" s="119"/>
    </row>
    <row r="375" spans="1:2">
      <c r="A375" s="119"/>
      <c r="B375" s="119"/>
    </row>
    <row r="376" spans="1:2">
      <c r="A376" s="119"/>
      <c r="B376" s="119"/>
    </row>
    <row r="377" spans="1:2">
      <c r="A377" s="119"/>
      <c r="B377" s="119"/>
    </row>
    <row r="378" spans="1:2">
      <c r="A378" s="119"/>
      <c r="B378" s="119"/>
    </row>
    <row r="379" spans="1:2">
      <c r="A379" s="119"/>
      <c r="B379" s="119"/>
    </row>
    <row r="380" spans="1:2">
      <c r="A380" s="119"/>
      <c r="B380" s="119"/>
    </row>
    <row r="381" spans="1:2">
      <c r="A381" s="119"/>
      <c r="B381" s="119"/>
    </row>
    <row r="382" spans="1:2">
      <c r="A382" s="119"/>
      <c r="B382" s="119"/>
    </row>
    <row r="383" spans="1:2">
      <c r="A383" s="119"/>
      <c r="B383" s="119"/>
    </row>
    <row r="384" spans="1:2">
      <c r="A384" s="119"/>
      <c r="B384" s="119"/>
    </row>
    <row r="385" spans="1:2">
      <c r="A385" s="119"/>
      <c r="B385" s="119"/>
    </row>
    <row r="386" spans="1:2">
      <c r="A386" s="119"/>
      <c r="B386" s="119"/>
    </row>
    <row r="387" spans="1:2">
      <c r="A387" s="119"/>
      <c r="B387" s="119"/>
    </row>
    <row r="388" spans="1:2">
      <c r="A388" s="119"/>
      <c r="B388" s="119"/>
    </row>
    <row r="389" spans="1:2">
      <c r="A389" s="119"/>
      <c r="B389" s="119"/>
    </row>
    <row r="390" spans="1:2">
      <c r="A390" s="119"/>
      <c r="B390" s="119"/>
    </row>
    <row r="391" spans="1:2">
      <c r="A391" s="119"/>
      <c r="B391" s="119"/>
    </row>
    <row r="392" spans="1:2">
      <c r="A392" s="119"/>
      <c r="B392" s="119"/>
    </row>
    <row r="393" spans="1:2">
      <c r="A393" s="119"/>
      <c r="B393" s="119"/>
    </row>
    <row r="394" spans="1:2">
      <c r="A394" s="119"/>
      <c r="B394" s="119"/>
    </row>
    <row r="395" spans="1:2">
      <c r="A395" s="119"/>
      <c r="B395" s="119"/>
    </row>
    <row r="396" spans="1:2">
      <c r="A396" s="119"/>
      <c r="B396" s="119"/>
    </row>
    <row r="397" spans="1:2">
      <c r="A397" s="119"/>
      <c r="B397" s="119"/>
    </row>
    <row r="398" spans="1:2">
      <c r="A398" s="119"/>
      <c r="B398" s="119"/>
    </row>
    <row r="399" spans="1:2">
      <c r="A399" s="119"/>
      <c r="B399" s="119"/>
    </row>
    <row r="400" spans="1:2">
      <c r="A400" s="119"/>
      <c r="B400" s="119"/>
    </row>
    <row r="401" spans="1:2">
      <c r="A401" s="119"/>
      <c r="B401" s="119"/>
    </row>
    <row r="402" spans="1:2">
      <c r="A402" s="119"/>
      <c r="B402" s="119"/>
    </row>
    <row r="403" spans="1:2">
      <c r="A403" s="119"/>
      <c r="B403" s="119"/>
    </row>
    <row r="404" spans="1:2">
      <c r="A404" s="119"/>
      <c r="B404" s="119"/>
    </row>
    <row r="405" spans="1:2">
      <c r="A405" s="119"/>
      <c r="B405" s="119"/>
    </row>
    <row r="406" spans="1:2">
      <c r="A406" s="119"/>
      <c r="B406" s="119"/>
    </row>
    <row r="407" spans="1:2">
      <c r="A407" s="119"/>
      <c r="B407" s="119"/>
    </row>
    <row r="408" spans="1:2">
      <c r="A408" s="119"/>
      <c r="B408" s="119"/>
    </row>
    <row r="409" spans="1:2">
      <c r="A409" s="119"/>
      <c r="B409" s="119"/>
    </row>
    <row r="410" spans="1:2">
      <c r="A410" s="119"/>
      <c r="B410" s="119"/>
    </row>
    <row r="411" spans="1:2">
      <c r="A411" s="119"/>
      <c r="B411" s="119"/>
    </row>
    <row r="412" spans="1:2">
      <c r="A412" s="119"/>
      <c r="B412" s="119"/>
    </row>
    <row r="413" spans="1:2">
      <c r="A413" s="119"/>
      <c r="B413" s="119"/>
    </row>
    <row r="414" spans="1:2">
      <c r="A414" s="119"/>
      <c r="B414" s="119"/>
    </row>
    <row r="415" spans="1:2">
      <c r="A415" s="119"/>
      <c r="B415" s="119"/>
    </row>
    <row r="416" spans="1:2">
      <c r="A416" s="119"/>
      <c r="B416" s="119"/>
    </row>
    <row r="417" spans="1:2">
      <c r="A417" s="119"/>
      <c r="B417" s="119"/>
    </row>
    <row r="418" spans="1:2">
      <c r="A418" s="119"/>
      <c r="B418" s="119"/>
    </row>
    <row r="419" spans="1:2">
      <c r="A419" s="119"/>
      <c r="B419" s="119"/>
    </row>
    <row r="420" spans="1:2">
      <c r="A420" s="119"/>
      <c r="B420" s="119"/>
    </row>
    <row r="421" spans="1:2">
      <c r="A421" s="119"/>
      <c r="B421" s="119"/>
    </row>
    <row r="422" spans="1:2">
      <c r="A422" s="119"/>
      <c r="B422" s="119"/>
    </row>
    <row r="423" spans="1:2">
      <c r="A423" s="119"/>
      <c r="B423" s="119"/>
    </row>
    <row r="424" spans="1:2">
      <c r="A424" s="119"/>
      <c r="B424" s="119"/>
    </row>
    <row r="425" spans="1:2">
      <c r="A425" s="119"/>
      <c r="B425" s="119"/>
    </row>
    <row r="426" spans="1:2">
      <c r="A426" s="119"/>
      <c r="B426" s="119"/>
    </row>
    <row r="427" spans="1:2">
      <c r="A427" s="119"/>
      <c r="B427" s="119"/>
    </row>
    <row r="428" spans="1:2">
      <c r="A428" s="119"/>
      <c r="B428" s="119"/>
    </row>
    <row r="429" spans="1:2">
      <c r="A429" s="119"/>
      <c r="B429" s="119"/>
    </row>
    <row r="430" spans="1:2">
      <c r="A430" s="119"/>
      <c r="B430" s="119"/>
    </row>
    <row r="431" spans="1:2">
      <c r="A431" s="119"/>
      <c r="B431" s="119"/>
    </row>
    <row r="432" spans="1:2">
      <c r="A432" s="119"/>
      <c r="B432" s="119"/>
    </row>
    <row r="433" spans="1:2">
      <c r="A433" s="119"/>
      <c r="B433" s="119"/>
    </row>
    <row r="434" spans="1:2">
      <c r="A434" s="119"/>
      <c r="B434" s="119"/>
    </row>
    <row r="435" spans="1:2">
      <c r="A435" s="119"/>
      <c r="B435" s="119"/>
    </row>
    <row r="436" spans="1:2">
      <c r="A436" s="119"/>
      <c r="B436" s="119"/>
    </row>
    <row r="437" spans="1:2">
      <c r="A437" s="119"/>
      <c r="B437" s="119"/>
    </row>
    <row r="438" spans="1:2">
      <c r="A438" s="119"/>
      <c r="B438" s="119"/>
    </row>
    <row r="439" spans="1:2">
      <c r="A439" s="119"/>
      <c r="B439" s="119"/>
    </row>
    <row r="440" spans="1:2">
      <c r="A440" s="119"/>
      <c r="B440" s="119"/>
    </row>
    <row r="441" spans="1:2">
      <c r="A441" s="119"/>
      <c r="B441" s="119"/>
    </row>
    <row r="442" spans="1:2">
      <c r="A442" s="119"/>
      <c r="B442" s="119"/>
    </row>
    <row r="443" spans="1:2">
      <c r="A443" s="119"/>
      <c r="B443" s="119"/>
    </row>
    <row r="444" spans="1:2">
      <c r="A444" s="119"/>
      <c r="B444" s="119"/>
    </row>
    <row r="445" spans="1:2">
      <c r="A445" s="119"/>
      <c r="B445" s="119"/>
    </row>
    <row r="446" spans="1:2">
      <c r="A446" s="119"/>
      <c r="B446" s="119"/>
    </row>
    <row r="447" spans="1:2">
      <c r="A447" s="119"/>
      <c r="B447" s="119"/>
    </row>
    <row r="448" spans="1:2">
      <c r="A448" s="119"/>
      <c r="B448" s="119"/>
    </row>
    <row r="449" spans="1:2">
      <c r="A449" s="119"/>
      <c r="B449" s="119"/>
    </row>
    <row r="450" spans="1:2">
      <c r="A450" s="119"/>
      <c r="B450" s="119"/>
    </row>
    <row r="451" spans="1:2">
      <c r="A451" s="119"/>
      <c r="B451" s="119"/>
    </row>
    <row r="452" spans="1:2">
      <c r="A452" s="119"/>
      <c r="B452" s="119"/>
    </row>
    <row r="453" spans="1:2">
      <c r="A453" s="119"/>
      <c r="B453" s="119"/>
    </row>
    <row r="454" spans="1:2">
      <c r="A454" s="119"/>
      <c r="B454" s="119"/>
    </row>
    <row r="455" spans="1:2">
      <c r="A455" s="119"/>
      <c r="B455" s="119"/>
    </row>
    <row r="456" spans="1:2">
      <c r="A456" s="119"/>
      <c r="B456" s="119"/>
    </row>
    <row r="457" spans="1:2">
      <c r="A457" s="119"/>
      <c r="B457" s="119"/>
    </row>
    <row r="458" spans="1:2">
      <c r="A458" s="119"/>
      <c r="B458" s="119"/>
    </row>
    <row r="459" spans="1:2">
      <c r="A459" s="119"/>
      <c r="B459" s="119"/>
    </row>
    <row r="460" spans="1:2">
      <c r="A460" s="119"/>
      <c r="B460" s="119"/>
    </row>
    <row r="461" spans="1:2">
      <c r="A461" s="119"/>
      <c r="B461" s="119"/>
    </row>
    <row r="462" spans="1:2">
      <c r="A462" s="119"/>
      <c r="B462" s="119"/>
    </row>
    <row r="463" spans="1:2">
      <c r="A463" s="119"/>
      <c r="B463" s="119"/>
    </row>
    <row r="464" spans="1:2">
      <c r="A464" s="119"/>
      <c r="B464" s="119"/>
    </row>
    <row r="465" spans="1:2">
      <c r="A465" s="119"/>
      <c r="B465" s="119"/>
    </row>
    <row r="466" spans="1:2">
      <c r="A466" s="119"/>
      <c r="B466" s="119"/>
    </row>
    <row r="467" spans="1:2">
      <c r="A467" s="119"/>
      <c r="B467" s="119"/>
    </row>
    <row r="468" spans="1:2">
      <c r="A468" s="119"/>
      <c r="B468" s="119"/>
    </row>
    <row r="469" spans="1:2">
      <c r="A469" s="119"/>
      <c r="B469" s="119"/>
    </row>
    <row r="470" spans="1:2">
      <c r="A470" s="119"/>
      <c r="B470" s="119"/>
    </row>
    <row r="471" spans="1:2">
      <c r="A471" s="119"/>
      <c r="B471" s="119"/>
    </row>
    <row r="472" spans="1:2">
      <c r="A472" s="119"/>
      <c r="B472" s="119"/>
    </row>
    <row r="473" spans="1:2">
      <c r="A473" s="119"/>
      <c r="B473" s="119"/>
    </row>
    <row r="474" spans="1:2">
      <c r="A474" s="119"/>
      <c r="B474" s="119"/>
    </row>
    <row r="475" spans="1:2">
      <c r="A475" s="119"/>
      <c r="B475" s="119"/>
    </row>
    <row r="476" spans="1:2">
      <c r="A476" s="119"/>
      <c r="B476" s="119"/>
    </row>
    <row r="477" spans="1:2">
      <c r="A477" s="119"/>
      <c r="B477" s="119"/>
    </row>
    <row r="478" spans="1:2">
      <c r="A478" s="119"/>
      <c r="B478" s="119"/>
    </row>
    <row r="479" spans="1:2">
      <c r="A479" s="119"/>
      <c r="B479" s="119"/>
    </row>
    <row r="480" spans="1:2">
      <c r="A480" s="119"/>
      <c r="B480" s="119"/>
    </row>
    <row r="481" spans="1:2">
      <c r="A481" s="119"/>
      <c r="B481" s="119"/>
    </row>
    <row r="482" spans="1:2">
      <c r="A482" s="119"/>
      <c r="B482" s="119"/>
    </row>
    <row r="483" spans="1:2">
      <c r="A483" s="119"/>
      <c r="B483" s="119"/>
    </row>
    <row r="484" spans="1:2">
      <c r="A484" s="119"/>
      <c r="B484" s="119"/>
    </row>
    <row r="485" spans="1:2">
      <c r="A485" s="119"/>
      <c r="B485" s="119"/>
    </row>
    <row r="486" spans="1:2">
      <c r="A486" s="119"/>
      <c r="B486" s="119"/>
    </row>
    <row r="487" spans="1:2">
      <c r="A487" s="119"/>
      <c r="B487" s="119"/>
    </row>
    <row r="488" spans="1:2">
      <c r="A488" s="119"/>
      <c r="B488" s="119"/>
    </row>
    <row r="489" spans="1:2">
      <c r="A489" s="119"/>
      <c r="B489" s="119"/>
    </row>
    <row r="490" spans="1:2">
      <c r="A490" s="119"/>
      <c r="B490" s="119"/>
    </row>
    <row r="491" spans="1:2">
      <c r="A491" s="119"/>
      <c r="B491" s="119"/>
    </row>
    <row r="492" spans="1:2">
      <c r="A492" s="119"/>
      <c r="B492" s="119"/>
    </row>
    <row r="493" spans="1:2">
      <c r="A493" s="119"/>
      <c r="B493" s="119"/>
    </row>
    <row r="494" spans="1:2">
      <c r="A494" s="119"/>
      <c r="B494" s="119"/>
    </row>
    <row r="495" spans="1:2">
      <c r="A495" s="119"/>
      <c r="B495" s="119"/>
    </row>
    <row r="496" spans="1:2">
      <c r="A496" s="119"/>
      <c r="B496" s="119"/>
    </row>
    <row r="497" spans="1:2">
      <c r="A497" s="119"/>
      <c r="B497" s="119"/>
    </row>
    <row r="498" spans="1:2">
      <c r="A498" s="119"/>
      <c r="B498" s="119"/>
    </row>
    <row r="499" spans="1:2">
      <c r="A499" s="119"/>
      <c r="B499" s="119"/>
    </row>
    <row r="500" spans="1:2">
      <c r="A500" s="119"/>
      <c r="B500" s="119"/>
    </row>
    <row r="501" spans="1:2">
      <c r="A501" s="119"/>
      <c r="B501" s="119"/>
    </row>
    <row r="502" spans="1:2">
      <c r="A502" s="119"/>
      <c r="B502" s="119"/>
    </row>
    <row r="503" spans="1:2">
      <c r="A503" s="119"/>
      <c r="B503" s="119"/>
    </row>
    <row r="504" spans="1:2">
      <c r="A504" s="119"/>
      <c r="B504" s="119"/>
    </row>
    <row r="505" spans="1:2">
      <c r="A505" s="119"/>
      <c r="B505" s="119"/>
    </row>
    <row r="506" spans="1:2">
      <c r="A506" s="119"/>
      <c r="B506" s="119"/>
    </row>
    <row r="507" spans="1:2">
      <c r="A507" s="119"/>
      <c r="B507" s="119"/>
    </row>
    <row r="508" spans="1:2">
      <c r="A508" s="119"/>
      <c r="B508" s="119"/>
    </row>
    <row r="509" spans="1:2">
      <c r="A509" s="119"/>
      <c r="B509" s="119"/>
    </row>
    <row r="510" spans="1:2">
      <c r="A510" s="119"/>
      <c r="B510" s="119"/>
    </row>
    <row r="511" spans="1:2">
      <c r="A511" s="119"/>
      <c r="B511" s="119"/>
    </row>
    <row r="512" spans="1:2">
      <c r="A512" s="119"/>
      <c r="B512" s="119"/>
    </row>
    <row r="513" spans="1:2">
      <c r="A513" s="119"/>
      <c r="B513" s="119"/>
    </row>
    <row r="514" spans="1:2">
      <c r="A514" s="119"/>
      <c r="B514" s="119"/>
    </row>
    <row r="515" spans="1:2">
      <c r="A515" s="119"/>
      <c r="B515" s="119"/>
    </row>
    <row r="516" spans="1:2">
      <c r="A516" s="119"/>
      <c r="B516" s="119"/>
    </row>
    <row r="517" spans="1:2">
      <c r="A517" s="119"/>
      <c r="B517" s="119"/>
    </row>
    <row r="518" spans="1:2">
      <c r="A518" s="119"/>
      <c r="B518" s="119"/>
    </row>
    <row r="519" spans="1:2">
      <c r="A519" s="119"/>
      <c r="B519" s="119"/>
    </row>
    <row r="520" spans="1:2">
      <c r="A520" s="119"/>
      <c r="B520" s="119"/>
    </row>
    <row r="521" spans="1:2">
      <c r="A521" s="119"/>
      <c r="B521" s="119"/>
    </row>
    <row r="522" spans="1:2">
      <c r="A522" s="119"/>
      <c r="B522" s="119"/>
    </row>
    <row r="523" spans="1:2">
      <c r="A523" s="119"/>
      <c r="B523" s="119"/>
    </row>
    <row r="524" spans="1:2">
      <c r="A524" s="119"/>
      <c r="B524" s="119"/>
    </row>
    <row r="525" spans="1:2">
      <c r="A525" s="119"/>
      <c r="B525" s="119"/>
    </row>
    <row r="526" spans="1:2">
      <c r="A526" s="119"/>
      <c r="B526" s="119"/>
    </row>
    <row r="527" spans="1:2">
      <c r="A527" s="119"/>
      <c r="B527" s="119"/>
    </row>
    <row r="528" spans="1:2">
      <c r="A528" s="119"/>
      <c r="B528" s="119"/>
    </row>
    <row r="529" spans="1:2">
      <c r="A529" s="119"/>
      <c r="B529" s="119"/>
    </row>
    <row r="530" spans="1:2">
      <c r="A530" s="119"/>
      <c r="B530" s="119"/>
    </row>
    <row r="531" spans="1:2">
      <c r="A531" s="119"/>
      <c r="B531" s="119"/>
    </row>
    <row r="532" spans="1:2">
      <c r="A532" s="119"/>
      <c r="B532" s="119"/>
    </row>
    <row r="533" spans="1:2">
      <c r="A533" s="119"/>
      <c r="B533" s="119"/>
    </row>
    <row r="534" spans="1:2">
      <c r="A534" s="119"/>
      <c r="B534" s="119"/>
    </row>
    <row r="535" spans="1:2">
      <c r="A535" s="119"/>
      <c r="B535" s="119"/>
    </row>
    <row r="536" spans="1:2">
      <c r="A536" s="119"/>
      <c r="B536" s="119"/>
    </row>
    <row r="537" spans="1:2">
      <c r="A537" s="119"/>
      <c r="B537" s="119"/>
    </row>
    <row r="538" spans="1:2">
      <c r="A538" s="119"/>
      <c r="B538" s="119"/>
    </row>
    <row r="539" spans="1:2">
      <c r="A539" s="119"/>
      <c r="B539" s="119"/>
    </row>
    <row r="540" spans="1:2">
      <c r="A540" s="119"/>
      <c r="B540" s="119"/>
    </row>
    <row r="541" spans="1:2">
      <c r="A541" s="119"/>
      <c r="B541" s="119"/>
    </row>
    <row r="542" spans="1:2">
      <c r="A542" s="119"/>
      <c r="B542" s="119"/>
    </row>
    <row r="543" spans="1:2">
      <c r="A543" s="119"/>
      <c r="B543" s="119"/>
    </row>
    <row r="544" spans="1:2">
      <c r="A544" s="119"/>
      <c r="B544" s="119"/>
    </row>
    <row r="545" spans="1:2">
      <c r="A545" s="119"/>
      <c r="B545" s="119"/>
    </row>
    <row r="546" spans="1:2">
      <c r="A546" s="119"/>
      <c r="B546" s="119"/>
    </row>
    <row r="547" spans="1:2">
      <c r="A547" s="119"/>
      <c r="B547" s="119"/>
    </row>
    <row r="548" spans="1:2">
      <c r="A548" s="119"/>
      <c r="B548" s="119"/>
    </row>
    <row r="549" spans="1:2">
      <c r="A549" s="119"/>
      <c r="B549" s="119"/>
    </row>
    <row r="550" spans="1:2">
      <c r="A550" s="119"/>
      <c r="B550" s="119"/>
    </row>
    <row r="551" spans="1:2">
      <c r="A551" s="119"/>
      <c r="B551" s="119"/>
    </row>
    <row r="552" spans="1:2">
      <c r="A552" s="119"/>
      <c r="B552" s="119"/>
    </row>
    <row r="553" spans="1:2">
      <c r="A553" s="119"/>
      <c r="B553" s="119"/>
    </row>
    <row r="554" spans="1:2">
      <c r="A554" s="119"/>
      <c r="B554" s="119"/>
    </row>
    <row r="555" spans="1:2">
      <c r="A555" s="119"/>
      <c r="B555" s="119"/>
    </row>
    <row r="556" spans="1:2">
      <c r="A556" s="119"/>
      <c r="B556" s="119"/>
    </row>
    <row r="557" spans="1:2">
      <c r="A557" s="119"/>
      <c r="B557" s="119"/>
    </row>
    <row r="558" spans="1:2">
      <c r="A558" s="119"/>
      <c r="B558" s="119"/>
    </row>
    <row r="559" spans="1:2">
      <c r="A559" s="119"/>
      <c r="B559" s="119"/>
    </row>
    <row r="560" spans="1:2">
      <c r="A560" s="119"/>
      <c r="B560" s="119"/>
    </row>
    <row r="561" spans="1:2">
      <c r="A561" s="119"/>
      <c r="B561" s="119"/>
    </row>
    <row r="562" spans="1:2">
      <c r="A562" s="119"/>
      <c r="B562" s="119"/>
    </row>
    <row r="563" spans="1:2">
      <c r="A563" s="119"/>
      <c r="B563" s="119"/>
    </row>
    <row r="564" spans="1:2">
      <c r="A564" s="119"/>
      <c r="B564" s="119"/>
    </row>
    <row r="565" spans="1:2">
      <c r="A565" s="119"/>
      <c r="B565" s="119"/>
    </row>
    <row r="566" spans="1:2">
      <c r="A566" s="119"/>
      <c r="B566" s="119"/>
    </row>
    <row r="567" spans="1:2">
      <c r="A567" s="119"/>
      <c r="B567" s="119"/>
    </row>
    <row r="568" spans="1:2">
      <c r="A568" s="119"/>
      <c r="B568" s="119"/>
    </row>
    <row r="569" spans="1:2">
      <c r="A569" s="119"/>
      <c r="B569" s="119"/>
    </row>
    <row r="570" spans="1:2">
      <c r="A570" s="119"/>
      <c r="B570" s="119"/>
    </row>
    <row r="571" spans="1:2">
      <c r="A571" s="119"/>
      <c r="B571" s="119"/>
    </row>
    <row r="572" spans="1:2">
      <c r="A572" s="119"/>
      <c r="B572" s="119"/>
    </row>
    <row r="573" spans="1:2">
      <c r="A573" s="119"/>
      <c r="B573" s="119"/>
    </row>
    <row r="574" spans="1:2">
      <c r="A574" s="119"/>
      <c r="B574" s="119"/>
    </row>
    <row r="575" spans="1:2">
      <c r="A575" s="119"/>
      <c r="B575" s="119"/>
    </row>
    <row r="576" spans="1:2">
      <c r="A576" s="119"/>
      <c r="B576" s="119"/>
    </row>
    <row r="577" spans="1:2">
      <c r="A577" s="119"/>
      <c r="B577" s="119"/>
    </row>
    <row r="578" spans="1:2">
      <c r="A578" s="119"/>
      <c r="B578" s="119"/>
    </row>
    <row r="579" spans="1:2">
      <c r="A579" s="119"/>
      <c r="B579" s="119"/>
    </row>
    <row r="580" spans="1:2">
      <c r="A580" s="119"/>
      <c r="B580" s="119"/>
    </row>
    <row r="581" spans="1:2">
      <c r="A581" s="119"/>
      <c r="B581" s="119"/>
    </row>
    <row r="582" spans="1:2">
      <c r="A582" s="119"/>
      <c r="B582" s="119"/>
    </row>
    <row r="583" spans="1:2">
      <c r="A583" s="119"/>
      <c r="B583" s="119"/>
    </row>
    <row r="584" spans="1:2">
      <c r="A584" s="119"/>
      <c r="B584" s="119"/>
    </row>
    <row r="585" spans="1:2">
      <c r="A585" s="119"/>
      <c r="B585" s="119"/>
    </row>
    <row r="586" spans="1:2">
      <c r="A586" s="119"/>
      <c r="B586" s="119"/>
    </row>
    <row r="587" spans="1:2">
      <c r="A587" s="119"/>
      <c r="B587" s="119"/>
    </row>
    <row r="588" spans="1:2">
      <c r="A588" s="119"/>
      <c r="B588" s="119"/>
    </row>
    <row r="589" spans="1:2">
      <c r="A589" s="119"/>
      <c r="B589" s="119"/>
    </row>
    <row r="590" spans="1:2">
      <c r="A590" s="119"/>
      <c r="B590" s="119"/>
    </row>
    <row r="591" spans="1:2">
      <c r="A591" s="119"/>
      <c r="B591" s="119"/>
    </row>
    <row r="592" spans="1:2">
      <c r="A592" s="119"/>
      <c r="B592" s="119"/>
    </row>
    <row r="593" spans="1:2">
      <c r="A593" s="119"/>
      <c r="B593" s="119"/>
    </row>
    <row r="594" spans="1:2">
      <c r="A594" s="119"/>
      <c r="B594" s="119"/>
    </row>
    <row r="595" spans="1:2">
      <c r="A595" s="119"/>
      <c r="B595" s="119"/>
    </row>
    <row r="596" spans="1:2">
      <c r="A596" s="119"/>
      <c r="B596" s="119"/>
    </row>
  </sheetData>
  <pageMargins left="0.7" right="0.7" top="0.75" bottom="0.75" header="0.3" footer="0.3"/>
  <pageSetup scale="46" fitToHeight="3" orientation="portrait" r:id="rId1"/>
  <headerFooter>
    <oddHeader xml:space="preserve">&amp;C
</oddHeader>
    <oddFooter>&amp;L&amp;F - &amp;A&amp;C&amp;D&amp;R&amp;P of &amp;N</oddFooter>
  </headerFooter>
  <rowBreaks count="4" manualBreakCount="4">
    <brk id="50" max="4" man="1"/>
    <brk id="112" max="4" man="1"/>
    <brk id="172" max="4" man="1"/>
    <brk id="233" max="4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9"/>
  <sheetViews>
    <sheetView topLeftCell="A19" workbookViewId="0">
      <selection activeCell="B42" sqref="B42"/>
    </sheetView>
  </sheetViews>
  <sheetFormatPr defaultRowHeight="14.5"/>
  <cols>
    <col min="1" max="1" width="24.7265625" customWidth="1"/>
    <col min="2" max="2" width="13.1796875" customWidth="1"/>
    <col min="3" max="3" width="13.7265625" customWidth="1"/>
    <col min="4" max="4" width="12.453125" customWidth="1"/>
    <col min="5" max="5" width="11.54296875" customWidth="1"/>
    <col min="6" max="6" width="3.1796875" customWidth="1"/>
    <col min="7" max="7" width="13" customWidth="1"/>
    <col min="8" max="8" width="2.54296875" customWidth="1"/>
    <col min="9" max="9" width="12" customWidth="1"/>
    <col min="10" max="10" width="14" customWidth="1"/>
  </cols>
  <sheetData>
    <row r="1" spans="1:10">
      <c r="A1" s="290" t="s">
        <v>98</v>
      </c>
      <c r="B1" s="291"/>
      <c r="C1" s="292"/>
      <c r="D1" s="292"/>
      <c r="E1" s="292"/>
      <c r="F1" s="292"/>
      <c r="G1" s="292"/>
      <c r="H1" s="292"/>
      <c r="I1" s="292"/>
      <c r="J1" s="292"/>
    </row>
    <row r="2" spans="1:10">
      <c r="A2" s="290" t="s">
        <v>99</v>
      </c>
      <c r="B2" s="291"/>
      <c r="C2" s="292"/>
      <c r="D2" s="292"/>
      <c r="E2" s="292"/>
      <c r="F2" s="292"/>
      <c r="G2" s="292"/>
      <c r="H2" s="292"/>
      <c r="I2" s="292"/>
      <c r="J2" s="292"/>
    </row>
    <row r="3" spans="1:10">
      <c r="A3" s="290" t="s">
        <v>864</v>
      </c>
      <c r="B3" s="291"/>
      <c r="C3" s="292"/>
      <c r="D3" s="292"/>
      <c r="E3" s="292"/>
      <c r="F3" s="292"/>
      <c r="G3" s="292"/>
      <c r="H3" s="292"/>
      <c r="I3" s="292"/>
      <c r="J3" s="292"/>
    </row>
    <row r="4" spans="1:10">
      <c r="A4" s="290" t="s">
        <v>882</v>
      </c>
      <c r="B4" s="292"/>
      <c r="C4" s="292"/>
      <c r="D4" s="292"/>
      <c r="E4" s="292"/>
      <c r="F4" s="292"/>
      <c r="G4" s="292"/>
      <c r="H4" s="292"/>
      <c r="I4" s="292"/>
      <c r="J4" s="292"/>
    </row>
    <row r="5" spans="1:10">
      <c r="A5" s="292"/>
      <c r="B5" s="439" t="s">
        <v>892</v>
      </c>
      <c r="C5" s="439"/>
      <c r="D5" s="439" t="s">
        <v>865</v>
      </c>
      <c r="E5" s="439"/>
      <c r="F5" s="293"/>
      <c r="G5" s="294" t="s">
        <v>17</v>
      </c>
      <c r="H5" s="292"/>
      <c r="I5" s="334" t="s">
        <v>17</v>
      </c>
      <c r="J5" s="334" t="s">
        <v>17</v>
      </c>
    </row>
    <row r="6" spans="1:10">
      <c r="A6" s="295"/>
      <c r="B6" s="296" t="s">
        <v>866</v>
      </c>
      <c r="C6" s="296" t="s">
        <v>867</v>
      </c>
      <c r="D6" s="296" t="s">
        <v>866</v>
      </c>
      <c r="E6" s="296" t="s">
        <v>867</v>
      </c>
      <c r="F6" s="296"/>
      <c r="G6" s="296" t="s">
        <v>867</v>
      </c>
      <c r="H6" s="295"/>
      <c r="I6" s="296" t="s">
        <v>868</v>
      </c>
      <c r="J6" s="296" t="s">
        <v>869</v>
      </c>
    </row>
    <row r="7" spans="1:10">
      <c r="A7" s="292"/>
      <c r="B7" s="295"/>
      <c r="C7" s="292"/>
      <c r="D7" s="295"/>
      <c r="E7" s="292"/>
      <c r="F7" s="295"/>
      <c r="G7" s="292"/>
      <c r="H7" s="292"/>
      <c r="I7" s="292"/>
      <c r="J7" s="292"/>
    </row>
    <row r="8" spans="1:10">
      <c r="A8" s="297">
        <v>42005</v>
      </c>
      <c r="B8" s="298">
        <f>'Murrey''s IS'!G12</f>
        <v>303788.77</v>
      </c>
      <c r="C8" s="298">
        <f>'Murrey''s IS'!G53-B8</f>
        <v>500939.89</v>
      </c>
      <c r="D8" s="298">
        <f>'American IS'!G12</f>
        <v>46980.87</v>
      </c>
      <c r="E8" s="298">
        <f>'American IS'!G50-D8</f>
        <v>196553.60000000001</v>
      </c>
      <c r="F8" s="298"/>
      <c r="G8" s="298">
        <f>C8+E8</f>
        <v>697493.49</v>
      </c>
      <c r="H8" s="298"/>
      <c r="I8" s="298">
        <f>B8+C8</f>
        <v>804728.66</v>
      </c>
      <c r="J8" s="298">
        <f>D8+E8</f>
        <v>243534.47</v>
      </c>
    </row>
    <row r="9" spans="1:10">
      <c r="A9" s="297">
        <v>42036</v>
      </c>
      <c r="B9" s="298">
        <f>'Murrey''s IS'!I12</f>
        <v>266586.87</v>
      </c>
      <c r="C9" s="298">
        <f>'Murrey''s IS'!I53-B9</f>
        <v>486826.03</v>
      </c>
      <c r="D9" s="298">
        <f>'American IS'!I12</f>
        <v>45720.85</v>
      </c>
      <c r="E9" s="298">
        <f>'American IS'!I50-D9</f>
        <v>188820.83</v>
      </c>
      <c r="F9" s="298"/>
      <c r="G9" s="298">
        <f t="shared" ref="G9:G19" si="0">C9+E9</f>
        <v>675646.86</v>
      </c>
      <c r="H9" s="298"/>
      <c r="I9" s="298">
        <f t="shared" ref="I9:I19" si="1">B9+C9</f>
        <v>753412.9</v>
      </c>
      <c r="J9" s="298">
        <f t="shared" ref="J9:J19" si="2">D9+E9</f>
        <v>234541.68</v>
      </c>
    </row>
    <row r="10" spans="1:10">
      <c r="A10" s="297">
        <v>42064</v>
      </c>
      <c r="B10" s="298">
        <f>'Murrey''s IS'!K12</f>
        <v>298795.18</v>
      </c>
      <c r="C10" s="298">
        <f>'Murrey''s IS'!K53-B10</f>
        <v>686948.6399999999</v>
      </c>
      <c r="D10" s="298">
        <f>'American IS'!K12</f>
        <v>54479.8</v>
      </c>
      <c r="E10" s="298">
        <f>'American IS'!K50-D10</f>
        <v>252650.71000000002</v>
      </c>
      <c r="F10" s="298"/>
      <c r="G10" s="298">
        <f t="shared" si="0"/>
        <v>939599.34999999986</v>
      </c>
      <c r="H10" s="298"/>
      <c r="I10" s="298">
        <f t="shared" si="1"/>
        <v>985743.81999999983</v>
      </c>
      <c r="J10" s="298">
        <f t="shared" si="2"/>
        <v>307130.51</v>
      </c>
    </row>
    <row r="11" spans="1:10">
      <c r="A11" s="297">
        <v>42095</v>
      </c>
      <c r="B11" s="298">
        <f>'Murrey''s IS'!M12</f>
        <v>299143.02</v>
      </c>
      <c r="C11" s="298">
        <f>'Murrey''s IS'!M53-B11</f>
        <v>461644.52</v>
      </c>
      <c r="D11" s="298">
        <f>'American IS'!M12</f>
        <v>47769.1</v>
      </c>
      <c r="E11" s="298">
        <f>'American IS'!M50-D11</f>
        <v>203013.07</v>
      </c>
      <c r="F11" s="298"/>
      <c r="G11" s="298">
        <f t="shared" si="0"/>
        <v>664657.59000000008</v>
      </c>
      <c r="H11" s="298"/>
      <c r="I11" s="298">
        <f t="shared" si="1"/>
        <v>760787.54</v>
      </c>
      <c r="J11" s="298">
        <f t="shared" si="2"/>
        <v>250782.17</v>
      </c>
    </row>
    <row r="12" spans="1:10">
      <c r="A12" s="297">
        <v>42125</v>
      </c>
      <c r="B12" s="299">
        <f>'Murrey''s IS'!O12</f>
        <v>267680.07</v>
      </c>
      <c r="C12" s="298">
        <f>'Murrey''s IS'!O53-B12</f>
        <v>543234.58000000007</v>
      </c>
      <c r="D12" s="298">
        <f>'American IS'!O12</f>
        <v>51467.32</v>
      </c>
      <c r="E12" s="298">
        <f>'American IS'!O50-D12</f>
        <v>205564.5</v>
      </c>
      <c r="F12" s="298"/>
      <c r="G12" s="298">
        <f t="shared" si="0"/>
        <v>748799.08000000007</v>
      </c>
      <c r="H12" s="298"/>
      <c r="I12" s="298">
        <f t="shared" si="1"/>
        <v>810914.65000000014</v>
      </c>
      <c r="J12" s="298">
        <f t="shared" si="2"/>
        <v>257031.82</v>
      </c>
    </row>
    <row r="13" spans="1:10">
      <c r="A13" s="297">
        <v>42156</v>
      </c>
      <c r="B13" s="298">
        <f>'Murrey''s IS'!Q12</f>
        <v>289501.09999999998</v>
      </c>
      <c r="C13" s="298">
        <f>'Murrey''s IS'!Q53-B13</f>
        <v>631238.65</v>
      </c>
      <c r="D13" s="298">
        <f>'American IS'!Q12</f>
        <v>51062.82</v>
      </c>
      <c r="E13" s="298">
        <f>'American IS'!Q50-D13</f>
        <v>268980.19</v>
      </c>
      <c r="F13" s="298"/>
      <c r="G13" s="298">
        <f t="shared" si="0"/>
        <v>900218.84000000008</v>
      </c>
      <c r="H13" s="298"/>
      <c r="I13" s="298">
        <f t="shared" si="1"/>
        <v>920739.75</v>
      </c>
      <c r="J13" s="298">
        <f t="shared" si="2"/>
        <v>320043.01</v>
      </c>
    </row>
    <row r="14" spans="1:10">
      <c r="A14" s="297">
        <v>42186</v>
      </c>
      <c r="B14" s="298">
        <f>'Murrey''s IS'!S12</f>
        <v>294409.99</v>
      </c>
      <c r="C14" s="298">
        <f>'Murrey''s IS'!S53-B14</f>
        <v>610879.94999999995</v>
      </c>
      <c r="D14" s="298">
        <f>'American IS'!S12</f>
        <v>62885.15</v>
      </c>
      <c r="E14" s="298">
        <f>'American IS'!S50-D14</f>
        <v>227700.00999999998</v>
      </c>
      <c r="F14" s="298"/>
      <c r="G14" s="298">
        <f t="shared" si="0"/>
        <v>838579.96</v>
      </c>
      <c r="H14" s="298"/>
      <c r="I14" s="298">
        <f t="shared" si="1"/>
        <v>905289.94</v>
      </c>
      <c r="J14" s="298">
        <f t="shared" si="2"/>
        <v>290585.15999999997</v>
      </c>
    </row>
    <row r="15" spans="1:10">
      <c r="A15" s="297">
        <v>42217</v>
      </c>
      <c r="B15" s="298">
        <f>'Murrey''s IS'!U12</f>
        <v>274728.57</v>
      </c>
      <c r="C15" s="298">
        <f>'Murrey''s IS'!U53-B15</f>
        <v>543388.96</v>
      </c>
      <c r="D15" s="298">
        <f>'American IS'!U12</f>
        <v>51438.29</v>
      </c>
      <c r="E15" s="298">
        <f>'American IS'!U50-D15</f>
        <v>236401.06999999998</v>
      </c>
      <c r="F15" s="298"/>
      <c r="G15" s="298">
        <f t="shared" si="0"/>
        <v>779790.02999999991</v>
      </c>
      <c r="H15" s="298"/>
      <c r="I15" s="298">
        <f t="shared" si="1"/>
        <v>818117.53</v>
      </c>
      <c r="J15" s="298">
        <f t="shared" si="2"/>
        <v>287839.35999999999</v>
      </c>
    </row>
    <row r="16" spans="1:10">
      <c r="A16" s="297">
        <v>42248</v>
      </c>
      <c r="B16" s="298">
        <f>'Murrey''s IS'!W12</f>
        <v>283993.7</v>
      </c>
      <c r="C16" s="298">
        <f>'Murrey''s IS'!W53-B16</f>
        <v>508108.23999999993</v>
      </c>
      <c r="D16" s="298">
        <f>'American IS'!W12</f>
        <v>57785.09</v>
      </c>
      <c r="E16" s="298">
        <f>'American IS'!W50-D16</f>
        <v>246646.15</v>
      </c>
      <c r="F16" s="298"/>
      <c r="G16" s="298">
        <f t="shared" si="0"/>
        <v>754754.3899999999</v>
      </c>
      <c r="H16" s="298"/>
      <c r="I16" s="298">
        <f t="shared" si="1"/>
        <v>792101.94</v>
      </c>
      <c r="J16" s="298">
        <f t="shared" si="2"/>
        <v>304431.24</v>
      </c>
    </row>
    <row r="17" spans="1:10">
      <c r="A17" s="297">
        <v>42278</v>
      </c>
      <c r="B17" s="298">
        <f>'Murrey''s IS'!Y12</f>
        <v>352431.82</v>
      </c>
      <c r="C17" s="298">
        <f>'Murrey''s IS'!Y53-B17</f>
        <v>560645.85000000009</v>
      </c>
      <c r="D17" s="298">
        <f>'American IS'!Y12</f>
        <v>52931.5</v>
      </c>
      <c r="E17" s="298">
        <f>'American IS'!Y50-D17</f>
        <v>201870.95</v>
      </c>
      <c r="F17" s="298"/>
      <c r="G17" s="298">
        <f t="shared" si="0"/>
        <v>762516.8</v>
      </c>
      <c r="H17" s="298"/>
      <c r="I17" s="298">
        <f t="shared" si="1"/>
        <v>913077.67000000016</v>
      </c>
      <c r="J17" s="298">
        <f t="shared" si="2"/>
        <v>254802.45</v>
      </c>
    </row>
    <row r="18" spans="1:10">
      <c r="A18" s="297">
        <v>42309</v>
      </c>
      <c r="B18" s="298">
        <f>'Murrey''s IS'!AA12</f>
        <v>291985.28000000003</v>
      </c>
      <c r="C18" s="298">
        <f>'Murrey''s IS'!AA53-B18</f>
        <v>574407.53999999992</v>
      </c>
      <c r="D18" s="298">
        <f>'American IS'!AA12</f>
        <v>52440.06</v>
      </c>
      <c r="E18" s="298">
        <f>'American IS'!AA50-D18</f>
        <v>230977.78999999998</v>
      </c>
      <c r="F18" s="298"/>
      <c r="G18" s="298">
        <f t="shared" si="0"/>
        <v>805385.32999999984</v>
      </c>
      <c r="H18" s="298"/>
      <c r="I18" s="298">
        <f t="shared" si="1"/>
        <v>866392.82</v>
      </c>
      <c r="J18" s="298">
        <f t="shared" si="2"/>
        <v>283417.84999999998</v>
      </c>
    </row>
    <row r="19" spans="1:10">
      <c r="A19" s="297">
        <v>42339</v>
      </c>
      <c r="B19" s="299">
        <f>'Murrey''s IS'!AC12</f>
        <v>303990.78999999998</v>
      </c>
      <c r="C19" s="298">
        <f>'Murrey''s IS'!AC53-B19</f>
        <v>595011.59000000008</v>
      </c>
      <c r="D19" s="299">
        <f>'American IS'!AC12</f>
        <v>50590.21</v>
      </c>
      <c r="E19" s="298">
        <f>'American IS'!AC50-D19</f>
        <v>238978.71</v>
      </c>
      <c r="F19" s="298"/>
      <c r="G19" s="298">
        <f t="shared" si="0"/>
        <v>833990.3</v>
      </c>
      <c r="H19" s="298"/>
      <c r="I19" s="298">
        <f t="shared" si="1"/>
        <v>899002.38000000012</v>
      </c>
      <c r="J19" s="298">
        <f t="shared" si="2"/>
        <v>289568.92</v>
      </c>
    </row>
    <row r="20" spans="1:10">
      <c r="A20" s="300"/>
      <c r="B20" s="301"/>
      <c r="C20" s="301"/>
      <c r="D20" s="301"/>
      <c r="E20" s="302"/>
      <c r="F20" s="303"/>
      <c r="G20" s="303"/>
      <c r="H20" s="298"/>
      <c r="I20" s="303"/>
      <c r="J20" s="303"/>
    </row>
    <row r="21" spans="1:10">
      <c r="A21" s="304" t="s">
        <v>17</v>
      </c>
      <c r="B21" s="305">
        <f>SUM(B8:B20)</f>
        <v>3527035.16</v>
      </c>
      <c r="C21" s="305">
        <f>SUM(C8:C20)</f>
        <v>6703274.4400000004</v>
      </c>
      <c r="D21" s="305">
        <f>SUM(D8:D20)</f>
        <v>625551.06000000006</v>
      </c>
      <c r="E21" s="305">
        <f>SUM(E8:E20)</f>
        <v>2698157.58</v>
      </c>
      <c r="F21" s="305"/>
      <c r="G21" s="305">
        <f>SUM(G8:G20)</f>
        <v>9401432.0199999996</v>
      </c>
      <c r="H21" s="305"/>
      <c r="I21" s="305">
        <f>SUM(I8:I20)</f>
        <v>10230309.600000001</v>
      </c>
      <c r="J21" s="305">
        <f>SUM(J8:J20)</f>
        <v>3323708.64</v>
      </c>
    </row>
    <row r="22" spans="1:10">
      <c r="A22" s="292"/>
      <c r="B22" s="298"/>
      <c r="C22" s="298"/>
      <c r="D22" s="298"/>
      <c r="E22" s="298"/>
      <c r="F22" s="298"/>
      <c r="G22" s="298"/>
      <c r="H22" s="292"/>
      <c r="I22" s="298"/>
      <c r="J22" s="292"/>
    </row>
    <row r="23" spans="1:10">
      <c r="A23" s="292" t="s">
        <v>870</v>
      </c>
      <c r="B23" s="298">
        <f>(B8+B9)/$B$45</f>
        <v>4092.2344669249537</v>
      </c>
      <c r="C23" s="298">
        <f>(C8+C9)/$B$45</f>
        <v>7086.8555029415993</v>
      </c>
      <c r="D23" s="298">
        <f>(D8+D9)/$B$45</f>
        <v>665.10058831970161</v>
      </c>
      <c r="E23" s="298">
        <f>(E8+E9)/$B$45</f>
        <v>2764.9191419141916</v>
      </c>
      <c r="F23" s="298"/>
      <c r="G23" s="298">
        <f>C23+E23</f>
        <v>9851.7746448557918</v>
      </c>
      <c r="H23" s="292"/>
      <c r="I23" s="298"/>
      <c r="J23" s="292"/>
    </row>
    <row r="24" spans="1:10">
      <c r="A24" s="292" t="s">
        <v>871</v>
      </c>
      <c r="B24" s="298">
        <f>SUM(B10:B19)/$B$46</f>
        <v>20394.974960336625</v>
      </c>
      <c r="C24" s="298">
        <f t="shared" ref="C24:E24" si="3">SUM(C10:C19)/$B$46</f>
        <v>39425.457129061186</v>
      </c>
      <c r="D24" s="298">
        <f t="shared" si="3"/>
        <v>3675.5835000344896</v>
      </c>
      <c r="E24" s="298">
        <f t="shared" si="3"/>
        <v>15953.529350900186</v>
      </c>
      <c r="F24" s="298"/>
      <c r="G24" s="298">
        <f>C24+E24</f>
        <v>55378.986479961372</v>
      </c>
      <c r="H24" s="292"/>
      <c r="I24" s="292"/>
      <c r="J24" s="292"/>
    </row>
    <row r="25" spans="1:10">
      <c r="A25" s="292"/>
      <c r="B25" s="305">
        <f>SUM(B23:B24)</f>
        <v>24487.20942726158</v>
      </c>
      <c r="C25" s="305">
        <f>SUM(C23:C24)</f>
        <v>46512.312632002788</v>
      </c>
      <c r="D25" s="305">
        <f>SUM(D23:D24)</f>
        <v>4340.6840883541909</v>
      </c>
      <c r="E25" s="305">
        <f>SUM(E23:E24)</f>
        <v>18718.448492814379</v>
      </c>
      <c r="F25" s="305"/>
      <c r="G25" s="305">
        <f>SUM(G23:G24)</f>
        <v>65230.76112481716</v>
      </c>
      <c r="H25" s="292"/>
      <c r="I25" s="298"/>
      <c r="J25" s="298"/>
    </row>
    <row r="26" spans="1:10">
      <c r="A26" s="292" t="s">
        <v>4</v>
      </c>
      <c r="B26" s="306">
        <f>B47</f>
        <v>0.87000000000000455</v>
      </c>
      <c r="C26" s="306">
        <f>B47</f>
        <v>0.87000000000000455</v>
      </c>
      <c r="D26" s="306">
        <f>B47</f>
        <v>0.87000000000000455</v>
      </c>
      <c r="E26" s="306">
        <f>B47</f>
        <v>0.87000000000000455</v>
      </c>
      <c r="F26" s="306"/>
      <c r="G26" s="306">
        <f>B47</f>
        <v>0.87000000000000455</v>
      </c>
      <c r="H26" s="292"/>
      <c r="I26" s="298"/>
      <c r="J26" s="292"/>
    </row>
    <row r="27" spans="1:10">
      <c r="A27" s="304" t="s">
        <v>266</v>
      </c>
      <c r="B27" s="305">
        <f>B25*B26</f>
        <v>21303.872201717684</v>
      </c>
      <c r="C27" s="305">
        <f>C25*C26</f>
        <v>40465.711989842639</v>
      </c>
      <c r="D27" s="305">
        <f>D25*D26</f>
        <v>3776.3951568681659</v>
      </c>
      <c r="E27" s="305">
        <f>E25*E26</f>
        <v>16285.050188748595</v>
      </c>
      <c r="F27" s="305"/>
      <c r="G27" s="305">
        <f>G25*G26</f>
        <v>56750.762178591227</v>
      </c>
      <c r="H27" s="304"/>
      <c r="I27" s="304"/>
      <c r="J27" s="304"/>
    </row>
    <row r="28" spans="1:10">
      <c r="A28" s="292"/>
      <c r="B28" s="292"/>
      <c r="C28" s="292"/>
      <c r="D28" s="292"/>
      <c r="E28" s="292"/>
      <c r="F28" s="292"/>
      <c r="G28" s="292"/>
      <c r="H28" s="292"/>
      <c r="I28" s="292"/>
      <c r="J28" s="292"/>
    </row>
    <row r="29" spans="1:10">
      <c r="A29" s="304" t="s">
        <v>872</v>
      </c>
      <c r="B29" s="304"/>
      <c r="C29" s="305">
        <f>C25*References!$H$16</f>
        <v>93024625.264005572</v>
      </c>
      <c r="D29" s="304"/>
      <c r="E29" s="305">
        <f>E25*References!$H$16</f>
        <v>37436896.985628761</v>
      </c>
      <c r="F29" s="304"/>
      <c r="G29" s="305">
        <f>G25*References!$H$16</f>
        <v>130461522.24963433</v>
      </c>
      <c r="H29" s="298"/>
      <c r="I29" s="298"/>
      <c r="J29" s="292"/>
    </row>
    <row r="30" spans="1:10">
      <c r="A30" s="292"/>
      <c r="B30" s="292"/>
      <c r="C30" s="292"/>
      <c r="D30" s="292"/>
      <c r="E30" s="292"/>
      <c r="F30" s="292"/>
      <c r="G30" s="292"/>
      <c r="H30" s="292"/>
      <c r="I30" s="292"/>
      <c r="J30" s="292"/>
    </row>
    <row r="31" spans="1:10">
      <c r="A31" s="304" t="s">
        <v>873</v>
      </c>
      <c r="B31" s="307"/>
      <c r="C31" s="298"/>
      <c r="D31" s="292"/>
      <c r="E31" s="298"/>
      <c r="F31" s="292"/>
      <c r="G31" s="308">
        <f>G26/References!H16</f>
        <v>4.3500000000000228E-4</v>
      </c>
      <c r="H31" s="292"/>
      <c r="I31" s="292"/>
      <c r="J31" s="292"/>
    </row>
    <row r="32" spans="1:10">
      <c r="A32" s="292"/>
      <c r="B32" s="307"/>
      <c r="C32" s="292"/>
      <c r="D32" s="292"/>
      <c r="E32" s="292"/>
      <c r="F32" s="292"/>
      <c r="G32" s="292"/>
      <c r="H32" s="292"/>
      <c r="I32" s="292"/>
      <c r="J32" s="292"/>
    </row>
    <row r="33" spans="1:10">
      <c r="A33" s="304" t="s">
        <v>10</v>
      </c>
      <c r="B33" s="304"/>
      <c r="C33" s="309"/>
      <c r="D33" s="304"/>
      <c r="E33" s="305"/>
      <c r="F33" s="304"/>
      <c r="G33" s="310">
        <f>G29*G31</f>
        <v>56750.762178591227</v>
      </c>
      <c r="H33" s="292"/>
      <c r="I33" s="292"/>
      <c r="J33" s="292"/>
    </row>
    <row r="34" spans="1:10">
      <c r="A34" s="292"/>
      <c r="B34" s="307"/>
      <c r="C34" s="292"/>
      <c r="D34" s="292"/>
      <c r="E34" s="292"/>
      <c r="F34" s="292"/>
      <c r="G34" s="311"/>
      <c r="H34" s="292"/>
      <c r="I34" s="292"/>
      <c r="J34" s="292"/>
    </row>
    <row r="35" spans="1:10">
      <c r="A35" s="304" t="s">
        <v>874</v>
      </c>
      <c r="B35" s="304"/>
      <c r="C35" s="305"/>
      <c r="D35" s="304"/>
      <c r="E35" s="312"/>
      <c r="F35" s="304"/>
      <c r="G35" s="310">
        <f>G33/References!H60</f>
        <v>57866.131870393052</v>
      </c>
      <c r="H35" s="292"/>
      <c r="I35" s="292"/>
      <c r="J35" s="292"/>
    </row>
    <row r="36" spans="1:10">
      <c r="A36" s="292"/>
      <c r="B36" s="292"/>
      <c r="C36" s="292"/>
      <c r="D36" s="292"/>
      <c r="E36" s="292"/>
      <c r="F36" s="292"/>
      <c r="G36" s="292"/>
      <c r="H36" s="292"/>
      <c r="I36" s="292"/>
      <c r="J36" s="292"/>
    </row>
    <row r="37" spans="1:10">
      <c r="A37" s="304" t="s">
        <v>875</v>
      </c>
      <c r="B37" s="292"/>
      <c r="C37" s="298"/>
      <c r="D37" s="292"/>
      <c r="E37" s="313"/>
      <c r="F37" s="292"/>
      <c r="G37" s="292"/>
      <c r="H37" s="292"/>
      <c r="I37" s="292"/>
      <c r="J37" s="292"/>
    </row>
    <row r="38" spans="1:10">
      <c r="A38" s="292" t="s">
        <v>870</v>
      </c>
      <c r="B38" s="298">
        <f>(B8+B9)/$B$45</f>
        <v>4092.2344669249537</v>
      </c>
      <c r="C38" s="298"/>
      <c r="D38" s="298">
        <f>(D8+D9)/$B$45</f>
        <v>665.10058831970161</v>
      </c>
      <c r="E38" s="298"/>
      <c r="F38" s="292"/>
      <c r="G38" s="298">
        <f>SUM(B38:E38)</f>
        <v>4757.3350552446555</v>
      </c>
      <c r="H38" s="292"/>
      <c r="I38" s="292"/>
      <c r="J38" s="292"/>
    </row>
    <row r="39" spans="1:10">
      <c r="A39" s="292" t="s">
        <v>871</v>
      </c>
      <c r="B39" s="298">
        <f>B24</f>
        <v>20394.974960336625</v>
      </c>
      <c r="C39" s="298"/>
      <c r="D39" s="298">
        <f>D24</f>
        <v>3675.5835000344896</v>
      </c>
      <c r="E39" s="298"/>
      <c r="F39" s="292"/>
      <c r="G39" s="298">
        <f>SUM(B39:E39)</f>
        <v>24070.558460371114</v>
      </c>
      <c r="H39" s="292"/>
      <c r="I39" s="292"/>
      <c r="J39" s="292"/>
    </row>
    <row r="40" spans="1:10">
      <c r="A40" s="292"/>
      <c r="B40" s="305">
        <f>SUM(B38:B39)</f>
        <v>24487.20942726158</v>
      </c>
      <c r="C40" s="298"/>
      <c r="D40" s="305">
        <f>SUM(D38:D39)</f>
        <v>4340.6840883541909</v>
      </c>
      <c r="E40" s="298"/>
      <c r="F40" s="292"/>
      <c r="G40" s="305">
        <f>SUM(G38:G39)</f>
        <v>28827.893515615768</v>
      </c>
      <c r="H40" s="292"/>
      <c r="I40" s="292"/>
      <c r="J40" s="292"/>
    </row>
    <row r="41" spans="1:10">
      <c r="A41" s="292" t="s">
        <v>4</v>
      </c>
      <c r="B41" s="314">
        <f>B47</f>
        <v>0.87000000000000455</v>
      </c>
      <c r="C41" s="298"/>
      <c r="D41" s="314">
        <f>B47</f>
        <v>0.87000000000000455</v>
      </c>
      <c r="E41" s="298"/>
      <c r="F41" s="292"/>
      <c r="G41" s="314">
        <f>B47</f>
        <v>0.87000000000000455</v>
      </c>
      <c r="H41" s="292"/>
      <c r="I41" s="292"/>
      <c r="J41" s="292"/>
    </row>
    <row r="42" spans="1:10">
      <c r="A42" s="304" t="s">
        <v>10</v>
      </c>
      <c r="B42" s="305">
        <f>B40*B41</f>
        <v>21303.872201717684</v>
      </c>
      <c r="C42" s="298"/>
      <c r="D42" s="305">
        <f>D40*D41</f>
        <v>3776.3951568681659</v>
      </c>
      <c r="E42" s="298"/>
      <c r="F42" s="292"/>
      <c r="G42" s="305">
        <f>G40*G41</f>
        <v>25080.26735858585</v>
      </c>
      <c r="H42" s="292"/>
      <c r="I42" s="292"/>
      <c r="J42" s="292"/>
    </row>
    <row r="43" spans="1:10">
      <c r="A43" s="292"/>
      <c r="B43" s="298"/>
      <c r="C43" s="298"/>
      <c r="D43" s="298"/>
      <c r="E43" s="298"/>
      <c r="F43" s="292"/>
      <c r="G43" s="292"/>
      <c r="H43" s="292"/>
      <c r="I43" s="292"/>
      <c r="J43" s="292"/>
    </row>
    <row r="44" spans="1:10">
      <c r="A44" s="315" t="s">
        <v>876</v>
      </c>
      <c r="B44" s="298"/>
      <c r="C44" s="298"/>
      <c r="D44" s="298"/>
      <c r="E44" s="298"/>
      <c r="F44" s="292"/>
      <c r="G44" s="298"/>
      <c r="H44" s="292"/>
      <c r="I44" s="292"/>
      <c r="J44" s="292"/>
    </row>
    <row r="45" spans="1:10">
      <c r="A45" s="316" t="s">
        <v>877</v>
      </c>
      <c r="B45" s="314">
        <v>139.38</v>
      </c>
      <c r="C45" s="298"/>
      <c r="D45" s="298"/>
      <c r="E45" s="298"/>
      <c r="F45" s="292"/>
      <c r="G45" s="292"/>
      <c r="H45" s="292"/>
      <c r="I45" s="292"/>
      <c r="J45" s="292"/>
    </row>
    <row r="46" spans="1:10">
      <c r="A46" s="316" t="s">
        <v>878</v>
      </c>
      <c r="B46" s="314">
        <v>144.97</v>
      </c>
      <c r="C46" s="298"/>
      <c r="D46" s="298"/>
      <c r="E46" s="298"/>
      <c r="F46" s="292"/>
      <c r="G46" s="292"/>
      <c r="H46" s="292"/>
      <c r="I46" s="292"/>
      <c r="J46" s="292"/>
    </row>
    <row r="47" spans="1:10">
      <c r="A47" s="316" t="s">
        <v>879</v>
      </c>
      <c r="B47" s="314">
        <f>References!C57</f>
        <v>0.87000000000000455</v>
      </c>
      <c r="C47" s="298"/>
      <c r="D47" s="298"/>
      <c r="E47" s="298"/>
      <c r="F47" s="292"/>
      <c r="G47" s="292"/>
      <c r="H47" s="292"/>
      <c r="I47" s="292"/>
      <c r="J47" s="292"/>
    </row>
    <row r="48" spans="1:10">
      <c r="A48" s="304" t="s">
        <v>880</v>
      </c>
      <c r="B48" s="317">
        <f>SUM(B46:B47)</f>
        <v>145.84</v>
      </c>
      <c r="C48" s="318">
        <f>B47/B46</f>
        <v>6.0012416362006243E-3</v>
      </c>
      <c r="D48" s="292"/>
      <c r="E48" s="292"/>
      <c r="F48" s="292"/>
      <c r="G48" s="292"/>
      <c r="H48" s="292"/>
      <c r="I48" s="292"/>
      <c r="J48" s="292"/>
    </row>
    <row r="49" spans="1:10">
      <c r="A49" s="292"/>
      <c r="B49" s="292"/>
      <c r="C49" s="292"/>
      <c r="D49" s="292"/>
      <c r="E49" s="292"/>
      <c r="F49" s="292"/>
      <c r="G49" s="292"/>
      <c r="H49" s="292"/>
      <c r="I49" s="292"/>
      <c r="J49" s="292"/>
    </row>
  </sheetData>
  <mergeCells count="2">
    <mergeCell ref="B5:C5"/>
    <mergeCell ref="D5:E5"/>
  </mergeCells>
  <pageMargins left="0.7" right="0.7" top="0.75" bottom="0.75" header="0.3" footer="0.3"/>
  <pageSetup scale="7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zoomScaleNormal="100" workbookViewId="0">
      <selection activeCell="J177" sqref="J177"/>
    </sheetView>
  </sheetViews>
  <sheetFormatPr defaultRowHeight="14.5"/>
  <cols>
    <col min="1" max="1" width="28.26953125" customWidth="1"/>
    <col min="2" max="2" width="8.1796875" bestFit="1" customWidth="1"/>
    <col min="3" max="3" width="10.1796875" style="151" customWidth="1"/>
    <col min="4" max="4" width="12" customWidth="1"/>
    <col min="5" max="5" width="8.7265625" bestFit="1" customWidth="1"/>
    <col min="7" max="7" width="20.54296875" bestFit="1" customWidth="1"/>
  </cols>
  <sheetData>
    <row r="1" spans="1:11">
      <c r="A1" s="114" t="s">
        <v>98</v>
      </c>
      <c r="B1" s="105"/>
      <c r="C1" s="148"/>
      <c r="D1" s="106"/>
      <c r="E1" s="106"/>
      <c r="F1" s="106"/>
      <c r="G1" s="106"/>
      <c r="H1" s="106"/>
      <c r="I1" s="106"/>
      <c r="J1" s="106"/>
      <c r="K1" s="106"/>
    </row>
    <row r="2" spans="1:11">
      <c r="A2" s="114" t="s">
        <v>99</v>
      </c>
      <c r="B2" s="105"/>
      <c r="C2" s="148"/>
      <c r="D2" s="106"/>
      <c r="E2" s="106"/>
      <c r="F2" s="106"/>
      <c r="G2" s="106"/>
      <c r="H2" s="106"/>
      <c r="I2" s="106"/>
      <c r="J2" s="106"/>
      <c r="K2" s="106"/>
    </row>
    <row r="3" spans="1:11">
      <c r="A3" s="110" t="s">
        <v>273</v>
      </c>
      <c r="B3" s="106"/>
      <c r="C3" s="135"/>
      <c r="D3" s="106"/>
      <c r="E3" s="106"/>
      <c r="F3" s="106"/>
      <c r="G3" s="106"/>
      <c r="H3" s="106"/>
      <c r="I3" s="108"/>
      <c r="J3" s="106"/>
      <c r="K3" s="106"/>
    </row>
    <row r="4" spans="1:11">
      <c r="A4" s="106"/>
      <c r="B4" s="106"/>
      <c r="C4" s="149" t="s">
        <v>100</v>
      </c>
      <c r="D4" s="110"/>
      <c r="E4" s="115" t="s">
        <v>101</v>
      </c>
      <c r="F4" s="106"/>
      <c r="G4" s="115"/>
      <c r="H4" s="108"/>
      <c r="I4" s="109"/>
      <c r="J4" s="106"/>
      <c r="K4" s="106"/>
    </row>
    <row r="5" spans="1:11">
      <c r="A5" s="106"/>
      <c r="B5" s="106"/>
      <c r="C5" s="149" t="s">
        <v>102</v>
      </c>
      <c r="D5" s="115" t="s">
        <v>103</v>
      </c>
      <c r="E5" s="116">
        <v>42430</v>
      </c>
      <c r="F5" s="106"/>
      <c r="G5" s="116"/>
      <c r="H5" s="108"/>
      <c r="I5" s="108"/>
      <c r="J5" s="106"/>
      <c r="K5" s="106"/>
    </row>
    <row r="6" spans="1:11">
      <c r="A6" s="106"/>
      <c r="B6" s="106"/>
      <c r="C6" s="149" t="s">
        <v>104</v>
      </c>
      <c r="D6" s="115" t="s">
        <v>10</v>
      </c>
      <c r="E6" s="115" t="s">
        <v>104</v>
      </c>
      <c r="F6" s="108"/>
      <c r="G6" s="115"/>
      <c r="H6" s="108"/>
      <c r="I6" s="108"/>
      <c r="J6" s="106"/>
      <c r="K6" s="106"/>
    </row>
    <row r="7" spans="1:11">
      <c r="A7" s="110" t="s">
        <v>105</v>
      </c>
      <c r="B7" s="110"/>
      <c r="C7" s="135"/>
      <c r="D7" s="106"/>
      <c r="E7" s="106"/>
      <c r="F7" s="106"/>
      <c r="G7" s="106"/>
      <c r="H7" s="108"/>
      <c r="I7" s="106"/>
      <c r="J7" s="106"/>
      <c r="K7" s="106"/>
    </row>
    <row r="8" spans="1:11">
      <c r="A8" s="106" t="s">
        <v>106</v>
      </c>
      <c r="B8" s="106" t="s">
        <v>107</v>
      </c>
      <c r="C8" s="135">
        <v>7.57</v>
      </c>
      <c r="D8" s="111">
        <f>ROUND('DF Calculation'!L17,2)</f>
        <v>0.01</v>
      </c>
      <c r="E8" s="112">
        <f>SUM(C8:D8)</f>
        <v>7.58</v>
      </c>
      <c r="F8" s="112"/>
      <c r="G8" s="112"/>
      <c r="H8" s="112"/>
      <c r="I8" s="112"/>
      <c r="J8" s="106"/>
      <c r="K8" s="106"/>
    </row>
    <row r="9" spans="1:11">
      <c r="A9" s="106"/>
      <c r="B9" s="106"/>
      <c r="C9" s="150"/>
      <c r="D9" s="106"/>
      <c r="E9" s="106"/>
      <c r="F9" s="106"/>
      <c r="G9" s="106"/>
      <c r="H9" s="112"/>
      <c r="I9" s="106"/>
      <c r="J9" s="106"/>
      <c r="K9" s="106"/>
    </row>
    <row r="10" spans="1:11">
      <c r="A10" s="110" t="s">
        <v>108</v>
      </c>
      <c r="B10" s="110"/>
      <c r="C10" s="135"/>
      <c r="D10" s="106"/>
      <c r="E10" s="106"/>
      <c r="F10" s="106"/>
      <c r="G10" s="106"/>
      <c r="H10" s="112"/>
      <c r="I10" s="106"/>
      <c r="J10" s="106"/>
      <c r="K10" s="106"/>
    </row>
    <row r="11" spans="1:11">
      <c r="A11" s="106" t="s">
        <v>109</v>
      </c>
      <c r="B11" s="106" t="s">
        <v>107</v>
      </c>
      <c r="C11" s="150">
        <v>13.3</v>
      </c>
      <c r="D11" s="112">
        <f>ROUND('DF Calculation'!L4,2)</f>
        <v>0.03</v>
      </c>
      <c r="E11" s="112">
        <f t="shared" ref="E11:E25" si="0">SUM(C11:D11)</f>
        <v>13.33</v>
      </c>
      <c r="F11" s="106"/>
      <c r="G11" s="112"/>
      <c r="H11" s="112"/>
      <c r="I11" s="106"/>
      <c r="J11" s="106"/>
      <c r="K11" s="106"/>
    </row>
    <row r="12" spans="1:11">
      <c r="A12" s="106" t="s">
        <v>110</v>
      </c>
      <c r="B12" s="106" t="s">
        <v>111</v>
      </c>
      <c r="C12" s="150">
        <v>14.3</v>
      </c>
      <c r="D12" s="112">
        <f>ROUND('DF Calculation'!L5,2)</f>
        <v>0.03</v>
      </c>
      <c r="E12" s="112">
        <f t="shared" si="0"/>
        <v>14.33</v>
      </c>
      <c r="F12" s="106"/>
      <c r="G12" s="112"/>
      <c r="H12" s="112"/>
      <c r="I12" s="106"/>
      <c r="J12" s="106"/>
      <c r="K12" s="106"/>
    </row>
    <row r="13" spans="1:11">
      <c r="A13" s="106" t="s">
        <v>112</v>
      </c>
      <c r="B13" s="106" t="s">
        <v>107</v>
      </c>
      <c r="C13" s="150">
        <v>16.62</v>
      </c>
      <c r="D13" s="112">
        <f>ROUND('DF Calculation'!L7,2)</f>
        <v>0.05</v>
      </c>
      <c r="E13" s="112">
        <f t="shared" si="0"/>
        <v>16.670000000000002</v>
      </c>
      <c r="F13" s="106"/>
      <c r="G13" s="112"/>
      <c r="H13" s="112"/>
      <c r="I13" s="106"/>
      <c r="J13" s="106"/>
      <c r="K13" s="106"/>
    </row>
    <row r="14" spans="1:11">
      <c r="A14" s="106" t="s">
        <v>112</v>
      </c>
      <c r="B14" s="106" t="s">
        <v>111</v>
      </c>
      <c r="C14" s="150">
        <v>17.62</v>
      </c>
      <c r="D14" s="112">
        <f>ROUND('DF Calculation'!L8,2)</f>
        <v>0.05</v>
      </c>
      <c r="E14" s="112">
        <f t="shared" si="0"/>
        <v>17.670000000000002</v>
      </c>
      <c r="F14" s="106"/>
      <c r="G14" s="112"/>
      <c r="H14" s="112"/>
      <c r="I14" s="106"/>
      <c r="J14" s="106"/>
      <c r="K14" s="106"/>
    </row>
    <row r="15" spans="1:11">
      <c r="A15" s="106" t="s">
        <v>113</v>
      </c>
      <c r="B15" s="106" t="s">
        <v>107</v>
      </c>
      <c r="C15" s="150">
        <v>24.43</v>
      </c>
      <c r="D15" s="112">
        <f>ROUND('DF Calculation'!L9,2)</f>
        <v>0.08</v>
      </c>
      <c r="E15" s="112">
        <f t="shared" si="0"/>
        <v>24.509999999999998</v>
      </c>
      <c r="F15" s="106"/>
      <c r="G15" s="112"/>
      <c r="H15" s="112"/>
      <c r="I15" s="106"/>
      <c r="J15" s="106"/>
      <c r="K15" s="106"/>
    </row>
    <row r="16" spans="1:11">
      <c r="A16" s="106" t="s">
        <v>113</v>
      </c>
      <c r="B16" s="106" t="s">
        <v>111</v>
      </c>
      <c r="C16" s="150">
        <v>26.43</v>
      </c>
      <c r="D16" s="112">
        <f>ROUND('DF Calculation'!L10,2)</f>
        <v>0.08</v>
      </c>
      <c r="E16" s="112">
        <f t="shared" si="0"/>
        <v>26.509999999999998</v>
      </c>
      <c r="F16" s="106"/>
      <c r="G16" s="112"/>
      <c r="H16" s="112"/>
      <c r="I16" s="106"/>
      <c r="J16" s="106"/>
      <c r="K16" s="106"/>
    </row>
    <row r="17" spans="1:11">
      <c r="A17" s="106" t="s">
        <v>114</v>
      </c>
      <c r="B17" s="106" t="s">
        <v>107</v>
      </c>
      <c r="C17" s="150">
        <v>33.9</v>
      </c>
      <c r="D17" s="112">
        <f>ROUND('DF Calculation'!L11,2)</f>
        <v>0.12</v>
      </c>
      <c r="E17" s="112">
        <f t="shared" si="0"/>
        <v>34.019999999999996</v>
      </c>
      <c r="F17" s="106"/>
      <c r="G17" s="112"/>
      <c r="H17" s="112"/>
      <c r="I17" s="106"/>
      <c r="J17" s="106"/>
      <c r="K17" s="106"/>
    </row>
    <row r="18" spans="1:11">
      <c r="A18" s="106" t="s">
        <v>114</v>
      </c>
      <c r="B18" s="106" t="s">
        <v>111</v>
      </c>
      <c r="C18" s="150">
        <v>36.9</v>
      </c>
      <c r="D18" s="112">
        <f>ROUND('DF Calculation'!L12,2)</f>
        <v>0.12</v>
      </c>
      <c r="E18" s="112">
        <f t="shared" si="0"/>
        <v>37.019999999999996</v>
      </c>
      <c r="F18" s="106"/>
      <c r="G18" s="112"/>
      <c r="H18" s="112"/>
      <c r="I18" s="106"/>
      <c r="J18" s="106"/>
      <c r="K18" s="106"/>
    </row>
    <row r="19" spans="1:11">
      <c r="A19" s="106" t="s">
        <v>115</v>
      </c>
      <c r="B19" s="106" t="s">
        <v>107</v>
      </c>
      <c r="C19" s="150">
        <v>44.57</v>
      </c>
      <c r="D19" s="112">
        <f>ROUND('DF Calculation'!L13,2)</f>
        <v>0.15</v>
      </c>
      <c r="E19" s="112">
        <f t="shared" si="0"/>
        <v>44.72</v>
      </c>
      <c r="F19" s="106"/>
      <c r="G19" s="112"/>
      <c r="H19" s="112"/>
      <c r="I19" s="106"/>
      <c r="J19" s="106"/>
      <c r="K19" s="106"/>
    </row>
    <row r="20" spans="1:11">
      <c r="A20" s="106" t="s">
        <v>115</v>
      </c>
      <c r="B20" s="106" t="s">
        <v>111</v>
      </c>
      <c r="C20" s="150">
        <v>48.57</v>
      </c>
      <c r="D20" s="112">
        <f>ROUND('DF Calculation'!L14,2)</f>
        <v>0.15</v>
      </c>
      <c r="E20" s="112">
        <f t="shared" si="0"/>
        <v>48.72</v>
      </c>
      <c r="F20" s="106"/>
      <c r="G20" s="112"/>
      <c r="H20" s="112"/>
      <c r="I20" s="106"/>
      <c r="J20" s="106"/>
      <c r="K20" s="106"/>
    </row>
    <row r="21" spans="1:11">
      <c r="A21" s="106" t="s">
        <v>116</v>
      </c>
      <c r="B21" s="106" t="s">
        <v>107</v>
      </c>
      <c r="C21" s="150">
        <v>54.12</v>
      </c>
      <c r="D21" s="112">
        <f>ROUND('DF Calculation'!L15,2)</f>
        <v>0.18</v>
      </c>
      <c r="E21" s="112">
        <f t="shared" si="0"/>
        <v>54.3</v>
      </c>
      <c r="F21" s="106"/>
      <c r="G21" s="112"/>
      <c r="H21" s="112"/>
      <c r="I21" s="106"/>
      <c r="J21" s="106"/>
      <c r="K21" s="106"/>
    </row>
    <row r="22" spans="1:11">
      <c r="A22" s="106" t="s">
        <v>116</v>
      </c>
      <c r="B22" s="106" t="s">
        <v>111</v>
      </c>
      <c r="C22" s="150">
        <v>59.12</v>
      </c>
      <c r="D22" s="112">
        <f>D21</f>
        <v>0.18</v>
      </c>
      <c r="E22" s="112">
        <f t="shared" si="0"/>
        <v>59.3</v>
      </c>
      <c r="F22" s="106"/>
      <c r="G22" s="112"/>
      <c r="H22" s="112"/>
      <c r="I22" s="106"/>
      <c r="J22" s="106"/>
      <c r="K22" s="106"/>
    </row>
    <row r="23" spans="1:11">
      <c r="A23" s="106" t="s">
        <v>117</v>
      </c>
      <c r="B23" s="106" t="s">
        <v>107</v>
      </c>
      <c r="C23" s="150">
        <v>59.66</v>
      </c>
      <c r="D23" s="112">
        <f>ROUND('DF Calculation'!L16,2)</f>
        <v>0.21</v>
      </c>
      <c r="E23" s="112">
        <f t="shared" si="0"/>
        <v>59.87</v>
      </c>
      <c r="F23" s="106"/>
      <c r="G23" s="112"/>
      <c r="H23" s="112"/>
      <c r="I23" s="106"/>
      <c r="J23" s="106"/>
      <c r="K23" s="106"/>
    </row>
    <row r="24" spans="1:11">
      <c r="A24" s="106" t="s">
        <v>117</v>
      </c>
      <c r="B24" s="106" t="s">
        <v>111</v>
      </c>
      <c r="C24" s="150">
        <v>65.66</v>
      </c>
      <c r="D24" s="112">
        <f>D23</f>
        <v>0.21</v>
      </c>
      <c r="E24" s="112">
        <f t="shared" si="0"/>
        <v>65.86999999999999</v>
      </c>
      <c r="F24" s="106"/>
      <c r="G24" s="112"/>
      <c r="H24" s="112"/>
      <c r="I24" s="106"/>
      <c r="J24" s="106"/>
      <c r="K24" s="106"/>
    </row>
    <row r="25" spans="1:11">
      <c r="A25" s="106" t="s">
        <v>112</v>
      </c>
      <c r="B25" s="106" t="s">
        <v>118</v>
      </c>
      <c r="C25" s="150">
        <v>10.3</v>
      </c>
      <c r="D25" s="112">
        <f>ROUND('DF Calculation'!L6,2)</f>
        <v>0.01</v>
      </c>
      <c r="E25" s="112">
        <f t="shared" si="0"/>
        <v>10.31</v>
      </c>
      <c r="F25" s="106"/>
      <c r="G25" s="112"/>
      <c r="H25" s="112"/>
      <c r="I25" s="106"/>
      <c r="J25" s="106"/>
      <c r="K25" s="106"/>
    </row>
    <row r="26" spans="1:11">
      <c r="A26" s="106"/>
      <c r="B26" s="106"/>
      <c r="C26" s="135"/>
      <c r="D26" s="106"/>
      <c r="E26" s="106"/>
      <c r="F26" s="106"/>
      <c r="G26" s="106"/>
      <c r="H26" s="112"/>
      <c r="I26" s="106"/>
      <c r="J26" s="106"/>
      <c r="K26" s="106"/>
    </row>
    <row r="27" spans="1:11">
      <c r="A27" s="110" t="s">
        <v>119</v>
      </c>
      <c r="B27" s="106"/>
      <c r="C27" s="135"/>
      <c r="D27" s="106"/>
      <c r="E27" s="106"/>
      <c r="F27" s="106"/>
      <c r="G27" s="106"/>
      <c r="H27" s="112"/>
      <c r="I27" s="106"/>
      <c r="J27" s="106"/>
      <c r="K27" s="106"/>
    </row>
    <row r="28" spans="1:11">
      <c r="A28" s="106" t="s">
        <v>120</v>
      </c>
      <c r="B28" s="106" t="s">
        <v>121</v>
      </c>
      <c r="C28" s="135">
        <v>4.1399999999999997</v>
      </c>
      <c r="D28" s="112">
        <f>ROUND('DF Calculation'!L3,2)</f>
        <v>0.01</v>
      </c>
      <c r="E28" s="112">
        <f t="shared" ref="E28:E29" si="1">SUM(C28:D28)</f>
        <v>4.1499999999999995</v>
      </c>
      <c r="F28" s="106"/>
      <c r="G28" s="112"/>
      <c r="H28" s="112"/>
      <c r="I28" s="106"/>
      <c r="J28" s="106"/>
      <c r="K28" s="106"/>
    </row>
    <row r="29" spans="1:11">
      <c r="A29" s="106" t="s">
        <v>122</v>
      </c>
      <c r="B29" s="106" t="s">
        <v>121</v>
      </c>
      <c r="C29" s="135">
        <v>12.59</v>
      </c>
      <c r="D29" s="112">
        <f>'DF Calculation'!L3</f>
        <v>1.200147163506661E-2</v>
      </c>
      <c r="E29" s="112">
        <f t="shared" si="1"/>
        <v>12.602001471635067</v>
      </c>
      <c r="F29" s="106"/>
      <c r="G29" s="112"/>
      <c r="H29" s="112"/>
      <c r="I29" s="106"/>
      <c r="J29" s="106"/>
      <c r="K29" s="106"/>
    </row>
    <row r="30" spans="1:11">
      <c r="A30" s="106"/>
      <c r="B30" s="106"/>
      <c r="C30" s="135"/>
      <c r="D30" s="106"/>
      <c r="E30" s="106"/>
      <c r="F30" s="106"/>
      <c r="G30" s="106"/>
      <c r="H30" s="112"/>
      <c r="I30" s="106"/>
      <c r="J30" s="106"/>
      <c r="K30" s="106"/>
    </row>
    <row r="31" spans="1:11">
      <c r="A31" s="110" t="s">
        <v>123</v>
      </c>
      <c r="B31" s="106"/>
      <c r="C31" s="135"/>
      <c r="D31" s="106"/>
      <c r="E31" s="106"/>
      <c r="F31" s="106"/>
      <c r="G31" s="106"/>
      <c r="H31" s="112"/>
      <c r="I31" s="106"/>
      <c r="J31" s="106"/>
      <c r="K31" s="106"/>
    </row>
    <row r="32" spans="1:11">
      <c r="A32" s="106" t="s">
        <v>112</v>
      </c>
      <c r="B32" s="106" t="s">
        <v>107</v>
      </c>
      <c r="C32" s="135">
        <v>18.11</v>
      </c>
      <c r="D32" s="112">
        <f>ROUND('DF Calculation'!L22,2)</f>
        <v>0.05</v>
      </c>
      <c r="E32" s="112">
        <f t="shared" ref="E32:E43" si="2">SUM(C32:D32)</f>
        <v>18.16</v>
      </c>
      <c r="F32" s="106"/>
      <c r="G32" s="112"/>
      <c r="H32" s="112"/>
      <c r="I32" s="106"/>
      <c r="J32" s="106"/>
      <c r="K32" s="106"/>
    </row>
    <row r="33" spans="1:11">
      <c r="A33" s="106" t="s">
        <v>112</v>
      </c>
      <c r="B33" s="106" t="s">
        <v>111</v>
      </c>
      <c r="C33" s="135">
        <v>18.86</v>
      </c>
      <c r="D33" s="112">
        <f>ROUND('DF Calculation'!L23,2)</f>
        <v>0.05</v>
      </c>
      <c r="E33" s="112">
        <f t="shared" si="2"/>
        <v>18.91</v>
      </c>
      <c r="F33" s="106"/>
      <c r="G33" s="112"/>
      <c r="H33" s="112"/>
      <c r="I33" s="106"/>
      <c r="J33" s="106"/>
      <c r="K33" s="106"/>
    </row>
    <row r="34" spans="1:11">
      <c r="A34" s="106" t="s">
        <v>113</v>
      </c>
      <c r="B34" s="106" t="s">
        <v>107</v>
      </c>
      <c r="C34" s="135">
        <v>28.46</v>
      </c>
      <c r="D34" s="112">
        <f>ROUND('DF Calculation'!L24,2)</f>
        <v>0.08</v>
      </c>
      <c r="E34" s="112">
        <f t="shared" si="2"/>
        <v>28.54</v>
      </c>
      <c r="F34" s="106"/>
      <c r="G34" s="112"/>
      <c r="H34" s="112"/>
      <c r="I34" s="106"/>
      <c r="J34" s="106"/>
      <c r="K34" s="106"/>
    </row>
    <row r="35" spans="1:11">
      <c r="A35" s="106" t="s">
        <v>113</v>
      </c>
      <c r="B35" s="106" t="s">
        <v>111</v>
      </c>
      <c r="C35" s="135">
        <v>29.21</v>
      </c>
      <c r="D35" s="112">
        <f>ROUND('DF Calculation'!L25,2)</f>
        <v>0.08</v>
      </c>
      <c r="E35" s="112">
        <f t="shared" si="2"/>
        <v>29.29</v>
      </c>
      <c r="F35" s="106"/>
      <c r="G35" s="112"/>
      <c r="H35" s="112"/>
      <c r="I35" s="106"/>
      <c r="J35" s="106"/>
      <c r="K35" s="106"/>
    </row>
    <row r="36" spans="1:11">
      <c r="A36" s="106" t="s">
        <v>114</v>
      </c>
      <c r="B36" s="106" t="s">
        <v>107</v>
      </c>
      <c r="C36" s="135">
        <v>41.88</v>
      </c>
      <c r="D36" s="112">
        <f>ROUND('DF Calculation'!L26,2)</f>
        <v>0.12</v>
      </c>
      <c r="E36" s="112">
        <f t="shared" si="2"/>
        <v>42</v>
      </c>
      <c r="F36" s="106"/>
      <c r="G36" s="112"/>
      <c r="H36" s="112"/>
      <c r="I36" s="106"/>
      <c r="J36" s="106"/>
      <c r="K36" s="106"/>
    </row>
    <row r="37" spans="1:11">
      <c r="A37" s="106" t="s">
        <v>114</v>
      </c>
      <c r="B37" s="106" t="s">
        <v>111</v>
      </c>
      <c r="C37" s="135">
        <v>42.63</v>
      </c>
      <c r="D37" s="112">
        <f>ROUND('DF Calculation'!L27,2)</f>
        <v>0.12</v>
      </c>
      <c r="E37" s="112">
        <f t="shared" si="2"/>
        <v>42.75</v>
      </c>
      <c r="F37" s="106"/>
      <c r="G37" s="112"/>
      <c r="H37" s="112"/>
      <c r="I37" s="106"/>
      <c r="J37" s="106"/>
      <c r="K37" s="106"/>
    </row>
    <row r="38" spans="1:11">
      <c r="A38" s="106" t="s">
        <v>115</v>
      </c>
      <c r="B38" s="106" t="s">
        <v>107</v>
      </c>
      <c r="C38" s="135">
        <v>55.38</v>
      </c>
      <c r="D38" s="112">
        <f>ROUND('DF Calculation'!L28,2)</f>
        <v>0.15</v>
      </c>
      <c r="E38" s="112">
        <f t="shared" si="2"/>
        <v>55.53</v>
      </c>
      <c r="F38" s="106"/>
      <c r="G38" s="112"/>
      <c r="H38" s="112"/>
      <c r="I38" s="106"/>
      <c r="J38" s="106"/>
      <c r="K38" s="106"/>
    </row>
    <row r="39" spans="1:11">
      <c r="A39" s="106" t="s">
        <v>115</v>
      </c>
      <c r="B39" s="106" t="s">
        <v>111</v>
      </c>
      <c r="C39" s="135">
        <v>56.13</v>
      </c>
      <c r="D39" s="112">
        <f>ROUND('DF Calculation'!L29,2)</f>
        <v>0.15</v>
      </c>
      <c r="E39" s="112">
        <f t="shared" si="2"/>
        <v>56.28</v>
      </c>
      <c r="F39" s="106"/>
      <c r="G39" s="112"/>
      <c r="H39" s="112"/>
      <c r="I39" s="106"/>
      <c r="J39" s="106"/>
      <c r="K39" s="106"/>
    </row>
    <row r="40" spans="1:11">
      <c r="A40" s="106" t="s">
        <v>116</v>
      </c>
      <c r="B40" s="106" t="s">
        <v>107</v>
      </c>
      <c r="C40" s="135">
        <v>69.69</v>
      </c>
      <c r="D40" s="112">
        <f>ROUND('DF Calculation'!L109,2)</f>
        <v>0.18</v>
      </c>
      <c r="E40" s="112">
        <f t="shared" si="2"/>
        <v>69.87</v>
      </c>
      <c r="F40" s="106"/>
      <c r="G40" s="112"/>
      <c r="H40" s="112"/>
      <c r="I40" s="106"/>
      <c r="J40" s="106"/>
      <c r="K40" s="106"/>
    </row>
    <row r="41" spans="1:11">
      <c r="A41" s="106" t="s">
        <v>116</v>
      </c>
      <c r="B41" s="106" t="s">
        <v>111</v>
      </c>
      <c r="C41" s="135">
        <v>70.44</v>
      </c>
      <c r="D41" s="112">
        <f>D40</f>
        <v>0.18</v>
      </c>
      <c r="E41" s="112">
        <f t="shared" si="2"/>
        <v>70.62</v>
      </c>
      <c r="F41" s="106"/>
      <c r="G41" s="112"/>
      <c r="H41" s="112"/>
      <c r="I41" s="106"/>
      <c r="J41" s="106"/>
      <c r="K41" s="106"/>
    </row>
    <row r="42" spans="1:11">
      <c r="A42" s="106" t="s">
        <v>117</v>
      </c>
      <c r="B42" s="106" t="s">
        <v>107</v>
      </c>
      <c r="C42" s="135">
        <v>83.19</v>
      </c>
      <c r="D42" s="112">
        <f>ROUND('DF Calculation'!L110,2)</f>
        <v>0.21</v>
      </c>
      <c r="E42" s="112">
        <f t="shared" si="2"/>
        <v>83.399999999999991</v>
      </c>
      <c r="F42" s="106"/>
      <c r="G42" s="112"/>
      <c r="H42" s="112"/>
      <c r="I42" s="106"/>
      <c r="J42" s="106"/>
      <c r="K42" s="106"/>
    </row>
    <row r="43" spans="1:11">
      <c r="A43" s="106" t="s">
        <v>117</v>
      </c>
      <c r="B43" s="106" t="s">
        <v>111</v>
      </c>
      <c r="C43" s="135">
        <v>83.94</v>
      </c>
      <c r="D43" s="112">
        <f>D42</f>
        <v>0.21</v>
      </c>
      <c r="E43" s="112">
        <f t="shared" si="2"/>
        <v>84.149999999999991</v>
      </c>
      <c r="F43" s="106"/>
      <c r="G43" s="112"/>
      <c r="H43" s="112"/>
      <c r="I43" s="106"/>
      <c r="J43" s="106"/>
      <c r="K43" s="106"/>
    </row>
    <row r="44" spans="1:11">
      <c r="A44" s="106"/>
      <c r="B44" s="106"/>
      <c r="C44" s="150"/>
      <c r="D44" s="106"/>
      <c r="E44" s="106"/>
      <c r="F44" s="106"/>
      <c r="G44" s="106"/>
      <c r="H44" s="112"/>
      <c r="I44" s="106"/>
      <c r="J44" s="106"/>
      <c r="K44" s="106"/>
    </row>
    <row r="45" spans="1:11">
      <c r="A45" s="110" t="s">
        <v>124</v>
      </c>
      <c r="B45" s="106"/>
      <c r="C45" s="135"/>
      <c r="D45" s="106"/>
      <c r="E45" s="106"/>
      <c r="F45" s="106"/>
      <c r="G45" s="106"/>
      <c r="H45" s="112"/>
      <c r="I45" s="106"/>
      <c r="J45" s="106"/>
      <c r="K45" s="106"/>
    </row>
    <row r="46" spans="1:11">
      <c r="A46" s="106" t="s">
        <v>120</v>
      </c>
      <c r="B46" s="106" t="s">
        <v>121</v>
      </c>
      <c r="C46" s="135">
        <v>4.1399999999999997</v>
      </c>
      <c r="D46" s="112">
        <f>ROUND('DF Calculation'!L20,2)</f>
        <v>0.01</v>
      </c>
      <c r="E46" s="112">
        <f t="shared" ref="E46:E47" si="3">SUM(C46:D46)</f>
        <v>4.1499999999999995</v>
      </c>
      <c r="F46" s="106"/>
      <c r="G46" s="112"/>
      <c r="H46" s="112"/>
      <c r="I46" s="106"/>
      <c r="J46" s="106"/>
      <c r="K46" s="106"/>
    </row>
    <row r="47" spans="1:11">
      <c r="A47" s="106" t="s">
        <v>122</v>
      </c>
      <c r="B47" s="106" t="s">
        <v>121</v>
      </c>
      <c r="C47" s="135">
        <v>17.79</v>
      </c>
      <c r="D47" s="112">
        <f>D46</f>
        <v>0.01</v>
      </c>
      <c r="E47" s="112">
        <f t="shared" si="3"/>
        <v>17.8</v>
      </c>
      <c r="F47" s="106"/>
      <c r="G47" s="112"/>
      <c r="H47" s="112"/>
      <c r="I47" s="106"/>
      <c r="J47" s="106"/>
      <c r="K47" s="106"/>
    </row>
    <row r="48" spans="1:11">
      <c r="A48" s="106"/>
      <c r="B48" s="106"/>
      <c r="C48" s="150"/>
      <c r="D48" s="106"/>
      <c r="E48" s="106"/>
      <c r="F48" s="106"/>
      <c r="G48" s="106"/>
      <c r="H48" s="112"/>
      <c r="I48" s="106"/>
      <c r="J48" s="106"/>
      <c r="K48" s="106"/>
    </row>
    <row r="49" spans="1:11">
      <c r="A49" s="110" t="s">
        <v>125</v>
      </c>
      <c r="B49" s="106"/>
      <c r="C49" s="135"/>
      <c r="D49" s="106"/>
      <c r="E49" s="106"/>
      <c r="F49" s="106"/>
      <c r="G49" s="106"/>
      <c r="H49" s="112"/>
      <c r="I49" s="106"/>
      <c r="J49" s="106"/>
      <c r="K49" s="106"/>
    </row>
    <row r="50" spans="1:11">
      <c r="A50" s="106" t="s">
        <v>126</v>
      </c>
      <c r="B50" s="106" t="s">
        <v>121</v>
      </c>
      <c r="C50" s="135">
        <v>10.98</v>
      </c>
      <c r="D50" s="112">
        <f>ROUND('DF Calculation'!L31,2)</f>
        <v>0.01</v>
      </c>
      <c r="E50" s="112">
        <f t="shared" ref="E50:E51" si="4">SUM(C50:D50)</f>
        <v>10.99</v>
      </c>
      <c r="F50" s="106"/>
      <c r="G50" s="112"/>
      <c r="H50" s="112"/>
      <c r="I50" s="106"/>
      <c r="J50" s="106"/>
      <c r="K50" s="106"/>
    </row>
    <row r="51" spans="1:11">
      <c r="A51" s="106" t="s">
        <v>126</v>
      </c>
      <c r="B51" s="106" t="s">
        <v>121</v>
      </c>
      <c r="C51" s="135">
        <v>3.82</v>
      </c>
      <c r="D51" s="112">
        <f>ROUND('DF Calculation'!L32,2)</f>
        <v>0.01</v>
      </c>
      <c r="E51" s="112">
        <f t="shared" si="4"/>
        <v>3.8299999999999996</v>
      </c>
      <c r="F51" s="106"/>
      <c r="G51" s="112"/>
      <c r="H51" s="112"/>
      <c r="I51" s="106"/>
      <c r="J51" s="106"/>
      <c r="K51" s="106"/>
    </row>
    <row r="52" spans="1:11">
      <c r="A52" s="106"/>
      <c r="B52" s="106"/>
      <c r="C52" s="150"/>
      <c r="D52" s="106"/>
      <c r="E52" s="106"/>
      <c r="F52" s="106"/>
      <c r="G52" s="106"/>
      <c r="H52" s="112"/>
      <c r="I52" s="106"/>
      <c r="J52" s="106"/>
      <c r="K52" s="106"/>
    </row>
    <row r="53" spans="1:11">
      <c r="A53" s="110" t="s">
        <v>127</v>
      </c>
      <c r="B53" s="106"/>
      <c r="C53" s="135"/>
      <c r="D53" s="106"/>
      <c r="E53" s="106"/>
      <c r="F53" s="106"/>
      <c r="G53" s="106"/>
      <c r="H53" s="112"/>
      <c r="I53" s="106"/>
      <c r="J53" s="106"/>
      <c r="K53" s="106"/>
    </row>
    <row r="54" spans="1:11">
      <c r="A54" s="106" t="s">
        <v>128</v>
      </c>
      <c r="B54" s="106" t="s">
        <v>121</v>
      </c>
      <c r="C54" s="135">
        <v>24.65</v>
      </c>
      <c r="D54" s="112">
        <f>ROUND('DF Calculation'!L33,2)</f>
        <v>0.06</v>
      </c>
      <c r="E54" s="112">
        <f t="shared" ref="E54:E58" si="5">SUM(C54:D54)</f>
        <v>24.709999999999997</v>
      </c>
      <c r="F54" s="106"/>
      <c r="G54" s="112"/>
      <c r="H54" s="112"/>
      <c r="I54" s="113"/>
      <c r="J54" s="106"/>
      <c r="K54" s="113"/>
    </row>
    <row r="55" spans="1:11">
      <c r="A55" s="106" t="s">
        <v>129</v>
      </c>
      <c r="B55" s="106" t="s">
        <v>121</v>
      </c>
      <c r="C55" s="135">
        <v>34.57</v>
      </c>
      <c r="D55" s="112">
        <f>ROUND('DF Calculation'!L34,2)</f>
        <v>0.09</v>
      </c>
      <c r="E55" s="112">
        <f t="shared" si="5"/>
        <v>34.660000000000004</v>
      </c>
      <c r="F55" s="106"/>
      <c r="G55" s="112"/>
      <c r="H55" s="112"/>
      <c r="I55" s="113"/>
      <c r="J55" s="106"/>
      <c r="K55" s="106"/>
    </row>
    <row r="56" spans="1:11">
      <c r="A56" s="106" t="s">
        <v>130</v>
      </c>
      <c r="B56" s="106" t="s">
        <v>121</v>
      </c>
      <c r="C56" s="135">
        <v>43.58</v>
      </c>
      <c r="D56" s="112">
        <f>ROUND('DF Calculation'!L37,2)</f>
        <v>0.11</v>
      </c>
      <c r="E56" s="112">
        <f t="shared" si="5"/>
        <v>43.69</v>
      </c>
      <c r="F56" s="106"/>
      <c r="G56" s="112"/>
      <c r="H56" s="112"/>
      <c r="I56" s="113"/>
      <c r="J56" s="106"/>
      <c r="K56" s="106"/>
    </row>
    <row r="57" spans="1:11">
      <c r="A57" s="106" t="s">
        <v>131</v>
      </c>
      <c r="B57" s="106" t="s">
        <v>121</v>
      </c>
      <c r="C57" s="135">
        <v>82.89</v>
      </c>
      <c r="D57" s="112">
        <f>ROUND('DF Calculation'!L40,2)</f>
        <v>0.22</v>
      </c>
      <c r="E57" s="112">
        <f t="shared" si="5"/>
        <v>83.11</v>
      </c>
      <c r="F57" s="106"/>
      <c r="G57" s="112"/>
      <c r="H57" s="112"/>
      <c r="I57" s="113"/>
      <c r="J57" s="106"/>
      <c r="K57" s="106"/>
    </row>
    <row r="58" spans="1:11">
      <c r="A58" s="106" t="s">
        <v>132</v>
      </c>
      <c r="B58" s="106" t="s">
        <v>121</v>
      </c>
      <c r="C58" s="135">
        <v>116.69</v>
      </c>
      <c r="D58" s="112">
        <f>ROUND('DF Calculation'!L42,2)</f>
        <v>0.3</v>
      </c>
      <c r="E58" s="112">
        <f t="shared" si="5"/>
        <v>116.99</v>
      </c>
      <c r="F58" s="106"/>
      <c r="G58" s="112"/>
      <c r="H58" s="112"/>
      <c r="I58" s="113"/>
      <c r="J58" s="106"/>
      <c r="K58" s="106"/>
    </row>
    <row r="59" spans="1:11">
      <c r="A59" s="106"/>
      <c r="B59" s="106"/>
      <c r="C59" s="150"/>
      <c r="D59" s="106"/>
      <c r="E59" s="106"/>
      <c r="F59" s="106"/>
      <c r="G59" s="106"/>
      <c r="H59" s="112"/>
      <c r="I59" s="106"/>
      <c r="J59" s="106"/>
      <c r="K59" s="106"/>
    </row>
    <row r="60" spans="1:11">
      <c r="A60" s="106" t="s">
        <v>133</v>
      </c>
      <c r="B60" s="106"/>
      <c r="C60" s="135"/>
      <c r="D60" s="106"/>
      <c r="E60" s="106"/>
      <c r="F60" s="106"/>
      <c r="G60" s="106"/>
      <c r="H60" s="112"/>
      <c r="I60" s="106"/>
      <c r="J60" s="106"/>
      <c r="K60" s="106"/>
    </row>
    <row r="61" spans="1:11">
      <c r="A61" s="106" t="s">
        <v>128</v>
      </c>
      <c r="B61" s="106" t="s">
        <v>121</v>
      </c>
      <c r="C61" s="135">
        <v>26.65</v>
      </c>
      <c r="D61" s="112">
        <f>D54</f>
        <v>0.06</v>
      </c>
      <c r="E61" s="112">
        <f t="shared" ref="E61:E65" si="6">SUM(C61:D61)</f>
        <v>26.709999999999997</v>
      </c>
      <c r="F61" s="106"/>
      <c r="G61" s="112"/>
      <c r="H61" s="112"/>
      <c r="I61" s="106"/>
      <c r="J61" s="106"/>
      <c r="K61" s="106"/>
    </row>
    <row r="62" spans="1:11">
      <c r="A62" s="106" t="s">
        <v>129</v>
      </c>
      <c r="B62" s="106" t="s">
        <v>121</v>
      </c>
      <c r="C62" s="135">
        <v>36.57</v>
      </c>
      <c r="D62" s="112">
        <f t="shared" ref="D62:D65" si="7">D55</f>
        <v>0.09</v>
      </c>
      <c r="E62" s="112">
        <f t="shared" si="6"/>
        <v>36.660000000000004</v>
      </c>
      <c r="F62" s="106"/>
      <c r="G62" s="112"/>
      <c r="H62" s="112"/>
      <c r="I62" s="106"/>
      <c r="J62" s="106"/>
      <c r="K62" s="106"/>
    </row>
    <row r="63" spans="1:11">
      <c r="A63" s="106" t="s">
        <v>130</v>
      </c>
      <c r="B63" s="106" t="s">
        <v>121</v>
      </c>
      <c r="C63" s="135">
        <v>45.58</v>
      </c>
      <c r="D63" s="112">
        <f t="shared" si="7"/>
        <v>0.11</v>
      </c>
      <c r="E63" s="112">
        <f t="shared" si="6"/>
        <v>45.69</v>
      </c>
      <c r="F63" s="106"/>
      <c r="G63" s="112"/>
      <c r="H63" s="112"/>
      <c r="I63" s="106"/>
      <c r="J63" s="106"/>
      <c r="K63" s="106"/>
    </row>
    <row r="64" spans="1:11">
      <c r="A64" s="106" t="s">
        <v>131</v>
      </c>
      <c r="B64" s="106" t="s">
        <v>121</v>
      </c>
      <c r="C64" s="135">
        <v>84.89</v>
      </c>
      <c r="D64" s="112">
        <f t="shared" si="7"/>
        <v>0.22</v>
      </c>
      <c r="E64" s="112">
        <f t="shared" si="6"/>
        <v>85.11</v>
      </c>
      <c r="F64" s="106"/>
      <c r="G64" s="112"/>
      <c r="H64" s="112"/>
      <c r="I64" s="106"/>
      <c r="J64" s="106"/>
      <c r="K64" s="106"/>
    </row>
    <row r="65" spans="1:11">
      <c r="A65" s="106" t="s">
        <v>132</v>
      </c>
      <c r="B65" s="106" t="s">
        <v>121</v>
      </c>
      <c r="C65" s="135">
        <v>118.69</v>
      </c>
      <c r="D65" s="112">
        <f t="shared" si="7"/>
        <v>0.3</v>
      </c>
      <c r="E65" s="112">
        <f t="shared" si="6"/>
        <v>118.99</v>
      </c>
      <c r="F65" s="106"/>
      <c r="G65" s="112"/>
      <c r="H65" s="112"/>
      <c r="I65" s="106"/>
      <c r="J65" s="106"/>
      <c r="K65" s="106"/>
    </row>
    <row r="66" spans="1:11">
      <c r="A66" s="106"/>
      <c r="B66" s="106"/>
      <c r="C66" s="150"/>
      <c r="D66" s="106"/>
      <c r="E66" s="106"/>
      <c r="F66" s="106"/>
      <c r="G66" s="106"/>
      <c r="H66" s="112"/>
      <c r="I66" s="106"/>
      <c r="J66" s="106"/>
      <c r="K66" s="106"/>
    </row>
    <row r="67" spans="1:11">
      <c r="A67" s="106" t="s">
        <v>134</v>
      </c>
      <c r="B67" s="106"/>
      <c r="C67" s="135"/>
      <c r="D67" s="106"/>
      <c r="E67" s="106"/>
      <c r="F67" s="106"/>
      <c r="G67" s="106"/>
      <c r="H67" s="112"/>
      <c r="I67" s="106"/>
      <c r="J67" s="106"/>
      <c r="K67" s="106"/>
    </row>
    <row r="68" spans="1:11">
      <c r="A68" s="106" t="s">
        <v>128</v>
      </c>
      <c r="B68" s="106" t="s">
        <v>121</v>
      </c>
      <c r="C68" s="135">
        <v>26.65</v>
      </c>
      <c r="D68" s="112">
        <f>D61</f>
        <v>0.06</v>
      </c>
      <c r="E68" s="112">
        <f t="shared" ref="E68:E72" si="8">SUM(C68:D68)</f>
        <v>26.709999999999997</v>
      </c>
      <c r="F68" s="106"/>
      <c r="G68" s="112"/>
      <c r="H68" s="112"/>
      <c r="I68" s="106"/>
      <c r="J68" s="106"/>
      <c r="K68" s="106"/>
    </row>
    <row r="69" spans="1:11">
      <c r="A69" s="106" t="s">
        <v>129</v>
      </c>
      <c r="B69" s="106" t="s">
        <v>121</v>
      </c>
      <c r="C69" s="135">
        <v>36.57</v>
      </c>
      <c r="D69" s="112">
        <f t="shared" ref="D69:D72" si="9">D62</f>
        <v>0.09</v>
      </c>
      <c r="E69" s="112">
        <f t="shared" si="8"/>
        <v>36.660000000000004</v>
      </c>
      <c r="F69" s="106"/>
      <c r="G69" s="112"/>
      <c r="H69" s="112"/>
      <c r="I69" s="106"/>
      <c r="J69" s="106"/>
      <c r="K69" s="106"/>
    </row>
    <row r="70" spans="1:11">
      <c r="A70" s="106" t="s">
        <v>130</v>
      </c>
      <c r="B70" s="106" t="s">
        <v>121</v>
      </c>
      <c r="C70" s="135">
        <v>45.58</v>
      </c>
      <c r="D70" s="112">
        <f t="shared" si="9"/>
        <v>0.11</v>
      </c>
      <c r="E70" s="112">
        <f t="shared" si="8"/>
        <v>45.69</v>
      </c>
      <c r="F70" s="106"/>
      <c r="G70" s="112"/>
      <c r="H70" s="112"/>
      <c r="I70" s="106"/>
      <c r="J70" s="106"/>
      <c r="K70" s="106"/>
    </row>
    <row r="71" spans="1:11">
      <c r="A71" s="106" t="s">
        <v>131</v>
      </c>
      <c r="B71" s="106" t="s">
        <v>121</v>
      </c>
      <c r="C71" s="135">
        <v>84.89</v>
      </c>
      <c r="D71" s="112">
        <f t="shared" si="9"/>
        <v>0.22</v>
      </c>
      <c r="E71" s="112">
        <f t="shared" si="8"/>
        <v>85.11</v>
      </c>
      <c r="F71" s="106"/>
      <c r="G71" s="112"/>
      <c r="H71" s="112"/>
      <c r="I71" s="106"/>
      <c r="J71" s="106"/>
      <c r="K71" s="106"/>
    </row>
    <row r="72" spans="1:11">
      <c r="A72" s="106" t="s">
        <v>132</v>
      </c>
      <c r="B72" s="106" t="s">
        <v>121</v>
      </c>
      <c r="C72" s="135">
        <v>118.69</v>
      </c>
      <c r="D72" s="112">
        <f t="shared" si="9"/>
        <v>0.3</v>
      </c>
      <c r="E72" s="112">
        <f t="shared" si="8"/>
        <v>118.99</v>
      </c>
      <c r="F72" s="106"/>
      <c r="G72" s="112"/>
      <c r="H72" s="112"/>
      <c r="I72" s="106"/>
      <c r="J72" s="106"/>
      <c r="K72" s="106"/>
    </row>
    <row r="73" spans="1:11">
      <c r="A73" s="106"/>
      <c r="B73" s="106"/>
      <c r="C73" s="150"/>
      <c r="D73" s="106"/>
      <c r="E73" s="106"/>
      <c r="F73" s="106"/>
      <c r="G73" s="106"/>
      <c r="H73" s="112"/>
      <c r="I73" s="106"/>
      <c r="J73" s="106"/>
      <c r="K73" s="106"/>
    </row>
    <row r="74" spans="1:11">
      <c r="A74" s="110" t="s">
        <v>135</v>
      </c>
      <c r="B74" s="106"/>
      <c r="C74" s="135"/>
      <c r="D74" s="106"/>
      <c r="E74" s="106"/>
      <c r="F74" s="106"/>
      <c r="G74" s="106"/>
      <c r="H74" s="112"/>
      <c r="I74" s="106"/>
      <c r="J74" s="106"/>
      <c r="K74" s="106"/>
    </row>
    <row r="75" spans="1:11">
      <c r="A75" s="106" t="s">
        <v>136</v>
      </c>
      <c r="B75" s="106" t="s">
        <v>121</v>
      </c>
      <c r="C75" s="135">
        <v>22.96</v>
      </c>
      <c r="D75" s="111">
        <f>ROUND('DF Calculation'!L120,2)</f>
        <v>0.02</v>
      </c>
      <c r="E75" s="112">
        <f t="shared" ref="E75:E76" si="10">SUM(C75:D75)</f>
        <v>22.98</v>
      </c>
      <c r="F75" s="106"/>
      <c r="G75" s="112"/>
      <c r="H75" s="112"/>
      <c r="I75" s="106"/>
      <c r="J75" s="113"/>
      <c r="K75" s="106"/>
    </row>
    <row r="76" spans="1:11">
      <c r="A76" s="106" t="s">
        <v>137</v>
      </c>
      <c r="B76" s="106" t="s">
        <v>121</v>
      </c>
      <c r="C76" s="135">
        <v>27.96</v>
      </c>
      <c r="D76" s="111">
        <f>D75</f>
        <v>0.02</v>
      </c>
      <c r="E76" s="112">
        <f t="shared" si="10"/>
        <v>27.98</v>
      </c>
      <c r="F76" s="106"/>
      <c r="G76" s="112"/>
      <c r="H76" s="112"/>
      <c r="I76" s="106"/>
      <c r="J76" s="113"/>
      <c r="K76" s="106"/>
    </row>
    <row r="77" spans="1:11">
      <c r="A77" s="106"/>
      <c r="B77" s="106"/>
      <c r="C77" s="150"/>
      <c r="D77" s="106"/>
      <c r="E77" s="106"/>
      <c r="F77" s="106"/>
      <c r="G77" s="106"/>
      <c r="H77" s="112"/>
      <c r="I77" s="106"/>
      <c r="J77" s="106"/>
      <c r="K77" s="106"/>
    </row>
    <row r="78" spans="1:11">
      <c r="A78" s="110" t="s">
        <v>138</v>
      </c>
      <c r="B78" s="106"/>
      <c r="C78" s="135"/>
      <c r="D78" s="106"/>
      <c r="E78" s="106"/>
      <c r="F78" s="106"/>
      <c r="G78" s="106"/>
      <c r="H78" s="112"/>
      <c r="I78" s="106"/>
      <c r="J78" s="106"/>
      <c r="K78" s="106"/>
    </row>
    <row r="79" spans="1:11">
      <c r="A79" s="106" t="s">
        <v>139</v>
      </c>
      <c r="B79" s="106" t="s">
        <v>121</v>
      </c>
      <c r="C79" s="150">
        <v>22.49</v>
      </c>
      <c r="D79" s="112">
        <f>ROUND('DF Calculation'!L55,2)</f>
        <v>0.04</v>
      </c>
      <c r="E79" s="112">
        <f t="shared" ref="E79:E84" si="11">SUM(C79:D79)</f>
        <v>22.529999999999998</v>
      </c>
      <c r="F79" s="106"/>
      <c r="G79" s="112"/>
      <c r="H79" s="112"/>
      <c r="I79" s="106"/>
      <c r="J79" s="113"/>
      <c r="K79" s="106"/>
    </row>
    <row r="80" spans="1:11">
      <c r="A80" s="106" t="s">
        <v>140</v>
      </c>
      <c r="B80" s="106" t="s">
        <v>121</v>
      </c>
      <c r="C80" s="150">
        <v>22.49</v>
      </c>
      <c r="D80" s="112">
        <f>D79</f>
        <v>0.04</v>
      </c>
      <c r="E80" s="112">
        <f t="shared" si="11"/>
        <v>22.529999999999998</v>
      </c>
      <c r="F80" s="106"/>
      <c r="G80" s="112"/>
      <c r="H80" s="112"/>
      <c r="I80" s="106"/>
      <c r="J80" s="113"/>
      <c r="K80" s="106"/>
    </row>
    <row r="81" spans="1:11">
      <c r="A81" s="106" t="s">
        <v>141</v>
      </c>
      <c r="B81" s="106" t="s">
        <v>121</v>
      </c>
      <c r="C81" s="150">
        <v>22.49</v>
      </c>
      <c r="D81" s="112">
        <f>D80</f>
        <v>0.04</v>
      </c>
      <c r="E81" s="112">
        <f t="shared" si="11"/>
        <v>22.529999999999998</v>
      </c>
      <c r="F81" s="106"/>
      <c r="G81" s="112"/>
      <c r="H81" s="112"/>
      <c r="I81" s="106"/>
      <c r="J81" s="113"/>
      <c r="K81" s="106"/>
    </row>
    <row r="82" spans="1:11">
      <c r="A82" s="106" t="s">
        <v>141</v>
      </c>
      <c r="B82" s="106" t="s">
        <v>121</v>
      </c>
      <c r="C82" s="150">
        <v>22.49</v>
      </c>
      <c r="D82" s="112">
        <f>D81</f>
        <v>0.04</v>
      </c>
      <c r="E82" s="112">
        <f t="shared" si="11"/>
        <v>22.529999999999998</v>
      </c>
      <c r="F82" s="106"/>
      <c r="G82" s="112"/>
      <c r="H82" s="112"/>
      <c r="I82" s="106"/>
      <c r="J82" s="113"/>
      <c r="K82" s="106"/>
    </row>
    <row r="83" spans="1:11">
      <c r="A83" s="106" t="s">
        <v>142</v>
      </c>
      <c r="B83" s="106" t="s">
        <v>121</v>
      </c>
      <c r="C83" s="150">
        <v>22.49</v>
      </c>
      <c r="D83" s="112">
        <f>D82</f>
        <v>0.04</v>
      </c>
      <c r="E83" s="112">
        <f t="shared" si="11"/>
        <v>22.529999999999998</v>
      </c>
      <c r="F83" s="106"/>
      <c r="G83" s="112"/>
      <c r="H83" s="112"/>
      <c r="I83" s="106"/>
      <c r="J83" s="113"/>
      <c r="K83" s="106"/>
    </row>
    <row r="84" spans="1:11">
      <c r="A84" s="106" t="s">
        <v>142</v>
      </c>
      <c r="B84" s="106" t="s">
        <v>121</v>
      </c>
      <c r="C84" s="150">
        <v>22.49</v>
      </c>
      <c r="D84" s="112">
        <f>D83</f>
        <v>0.04</v>
      </c>
      <c r="E84" s="112">
        <f t="shared" si="11"/>
        <v>22.529999999999998</v>
      </c>
      <c r="F84" s="106"/>
      <c r="G84" s="112"/>
      <c r="H84" s="112"/>
      <c r="I84" s="106"/>
      <c r="J84" s="113"/>
      <c r="K84" s="106"/>
    </row>
    <row r="85" spans="1:11">
      <c r="A85" s="106"/>
      <c r="B85" s="106"/>
      <c r="C85" s="150"/>
      <c r="D85" s="106"/>
      <c r="E85" s="106"/>
      <c r="F85" s="106"/>
      <c r="G85" s="106"/>
      <c r="H85" s="112"/>
      <c r="I85" s="106"/>
      <c r="J85" s="106"/>
      <c r="K85" s="106"/>
    </row>
    <row r="86" spans="1:11">
      <c r="A86" s="110" t="s">
        <v>143</v>
      </c>
      <c r="B86" s="106"/>
      <c r="C86" s="135"/>
      <c r="D86" s="106"/>
      <c r="E86" s="106"/>
      <c r="F86" s="106"/>
      <c r="G86" s="106"/>
      <c r="H86" s="112"/>
      <c r="I86" s="106"/>
      <c r="J86" s="106"/>
      <c r="K86" s="106"/>
    </row>
    <row r="87" spans="1:11">
      <c r="A87" s="106" t="s">
        <v>144</v>
      </c>
      <c r="B87" s="106" t="s">
        <v>145</v>
      </c>
      <c r="C87" s="135">
        <v>144.97</v>
      </c>
      <c r="D87" s="113">
        <f>References!C57</f>
        <v>0.87000000000000455</v>
      </c>
      <c r="E87" s="112">
        <f t="shared" ref="E87" si="12">SUM(C87:D87)</f>
        <v>145.84</v>
      </c>
      <c r="F87" s="106"/>
      <c r="G87" s="113"/>
      <c r="H87" s="112"/>
      <c r="I87" s="106"/>
      <c r="J87" s="106"/>
      <c r="K87" s="106"/>
    </row>
    <row r="88" spans="1:11">
      <c r="A88" s="106"/>
      <c r="B88" s="106"/>
      <c r="C88" s="150"/>
      <c r="D88" s="106"/>
      <c r="E88" s="106"/>
      <c r="F88" s="106"/>
      <c r="G88" s="106"/>
      <c r="H88" s="112"/>
      <c r="I88" s="106"/>
      <c r="J88" s="106"/>
      <c r="K88" s="106"/>
    </row>
    <row r="89" spans="1:11">
      <c r="A89" s="110" t="s">
        <v>146</v>
      </c>
      <c r="B89" s="106"/>
      <c r="C89" s="135"/>
      <c r="D89" s="106"/>
      <c r="E89" s="106"/>
      <c r="F89" s="106"/>
      <c r="G89" s="106"/>
      <c r="H89" s="112"/>
      <c r="I89" s="106"/>
      <c r="J89" s="106"/>
      <c r="K89" s="106"/>
    </row>
    <row r="90" spans="1:11">
      <c r="A90" s="106"/>
      <c r="B90" s="106"/>
      <c r="C90" s="135"/>
      <c r="D90" s="106"/>
      <c r="E90" s="106"/>
      <c r="F90" s="106"/>
      <c r="G90" s="106"/>
      <c r="H90" s="112"/>
      <c r="I90" s="106"/>
      <c r="J90" s="106"/>
      <c r="K90" s="106"/>
    </row>
    <row r="91" spans="1:11">
      <c r="A91" s="106" t="s">
        <v>128</v>
      </c>
      <c r="B91" s="106" t="s">
        <v>121</v>
      </c>
      <c r="C91" s="135">
        <v>20.28</v>
      </c>
      <c r="D91" s="112">
        <f>ROUND('DF Calculation'!L60,2)</f>
        <v>0.06</v>
      </c>
      <c r="E91" s="112">
        <f t="shared" ref="E91:E95" si="13">SUM(C91:D91)</f>
        <v>20.34</v>
      </c>
      <c r="F91" s="106"/>
      <c r="G91" s="112"/>
      <c r="H91" s="112"/>
      <c r="I91" s="106"/>
      <c r="J91" s="113"/>
      <c r="K91" s="106"/>
    </row>
    <row r="92" spans="1:11">
      <c r="A92" s="106" t="s">
        <v>129</v>
      </c>
      <c r="B92" s="106" t="s">
        <v>121</v>
      </c>
      <c r="C92" s="135">
        <v>28</v>
      </c>
      <c r="D92" s="112">
        <f>ROUND('DF Calculation'!L61,2)</f>
        <v>0.09</v>
      </c>
      <c r="E92" s="112">
        <f t="shared" si="13"/>
        <v>28.09</v>
      </c>
      <c r="F92" s="106"/>
      <c r="G92" s="112"/>
      <c r="H92" s="112"/>
      <c r="I92" s="106"/>
      <c r="J92" s="113"/>
      <c r="K92" s="106"/>
    </row>
    <row r="93" spans="1:11">
      <c r="A93" s="106" t="s">
        <v>130</v>
      </c>
      <c r="B93" s="106" t="s">
        <v>121</v>
      </c>
      <c r="C93" s="135">
        <v>34.85</v>
      </c>
      <c r="D93" s="112">
        <f>ROUND('DF Calculation'!L62,2)</f>
        <v>0.11</v>
      </c>
      <c r="E93" s="112">
        <f t="shared" si="13"/>
        <v>34.96</v>
      </c>
      <c r="F93" s="112"/>
      <c r="G93" s="112"/>
      <c r="H93" s="112"/>
      <c r="I93" s="106"/>
      <c r="J93" s="113"/>
      <c r="K93" s="106"/>
    </row>
    <row r="94" spans="1:11">
      <c r="A94" s="106" t="s">
        <v>131</v>
      </c>
      <c r="B94" s="106" t="s">
        <v>121</v>
      </c>
      <c r="C94" s="135">
        <v>65.42</v>
      </c>
      <c r="D94" s="112">
        <f>ROUND('DF Calculation'!L65,2)</f>
        <v>0.22</v>
      </c>
      <c r="E94" s="112">
        <f t="shared" si="13"/>
        <v>65.64</v>
      </c>
      <c r="F94" s="106"/>
      <c r="G94" s="112"/>
      <c r="H94" s="112"/>
      <c r="I94" s="106"/>
      <c r="J94" s="113"/>
      <c r="K94" s="106"/>
    </row>
    <row r="95" spans="1:11">
      <c r="A95" s="106" t="s">
        <v>132</v>
      </c>
      <c r="B95" s="106" t="s">
        <v>121</v>
      </c>
      <c r="C95" s="135">
        <v>90.47</v>
      </c>
      <c r="D95" s="112">
        <f>ROUND('DF Calculation'!L69,2)</f>
        <v>0.3</v>
      </c>
      <c r="E95" s="112">
        <f t="shared" si="13"/>
        <v>90.77</v>
      </c>
      <c r="F95" s="106"/>
      <c r="G95" s="112"/>
      <c r="H95" s="112"/>
      <c r="I95" s="106"/>
      <c r="J95" s="113"/>
      <c r="K95" s="106"/>
    </row>
    <row r="96" spans="1:11">
      <c r="A96" s="106"/>
      <c r="B96" s="106"/>
      <c r="C96" s="150"/>
      <c r="D96" s="106"/>
      <c r="E96" s="106"/>
      <c r="F96" s="106"/>
      <c r="G96" s="106"/>
      <c r="H96" s="112"/>
      <c r="I96" s="106"/>
      <c r="J96" s="106"/>
      <c r="K96" s="106"/>
    </row>
    <row r="97" spans="1:11">
      <c r="A97" s="106" t="s">
        <v>133</v>
      </c>
      <c r="B97" s="106"/>
      <c r="C97" s="135"/>
      <c r="D97" s="106"/>
      <c r="E97" s="106"/>
      <c r="F97" s="106"/>
      <c r="G97" s="106"/>
      <c r="H97" s="112"/>
      <c r="I97" s="106"/>
      <c r="J97" s="106"/>
      <c r="K97" s="106"/>
    </row>
    <row r="98" spans="1:11">
      <c r="A98" s="106" t="s">
        <v>128</v>
      </c>
      <c r="B98" s="106" t="s">
        <v>121</v>
      </c>
      <c r="C98" s="135">
        <v>22.28</v>
      </c>
      <c r="D98" s="112">
        <f>D91</f>
        <v>0.06</v>
      </c>
      <c r="E98" s="112">
        <f t="shared" ref="E98:E102" si="14">SUM(C98:D98)</f>
        <v>22.34</v>
      </c>
      <c r="F98" s="106"/>
      <c r="G98" s="112"/>
      <c r="H98" s="112"/>
      <c r="I98" s="106"/>
      <c r="J98" s="113"/>
      <c r="K98" s="106"/>
    </row>
    <row r="99" spans="1:11">
      <c r="A99" s="106" t="s">
        <v>129</v>
      </c>
      <c r="B99" s="106" t="s">
        <v>121</v>
      </c>
      <c r="C99" s="135">
        <v>30</v>
      </c>
      <c r="D99" s="112">
        <f t="shared" ref="D99:D102" si="15">D92</f>
        <v>0.09</v>
      </c>
      <c r="E99" s="112">
        <f t="shared" si="14"/>
        <v>30.09</v>
      </c>
      <c r="F99" s="106"/>
      <c r="G99" s="112"/>
      <c r="H99" s="112"/>
      <c r="I99" s="106"/>
      <c r="J99" s="113"/>
      <c r="K99" s="106"/>
    </row>
    <row r="100" spans="1:11">
      <c r="A100" s="106" t="s">
        <v>130</v>
      </c>
      <c r="B100" s="106" t="s">
        <v>121</v>
      </c>
      <c r="C100" s="135">
        <v>36.85</v>
      </c>
      <c r="D100" s="112">
        <f t="shared" si="15"/>
        <v>0.11</v>
      </c>
      <c r="E100" s="112">
        <f t="shared" si="14"/>
        <v>36.96</v>
      </c>
      <c r="F100" s="106"/>
      <c r="G100" s="112"/>
      <c r="H100" s="112"/>
      <c r="I100" s="106"/>
      <c r="J100" s="113"/>
      <c r="K100" s="106"/>
    </row>
    <row r="101" spans="1:11">
      <c r="A101" s="106" t="s">
        <v>131</v>
      </c>
      <c r="B101" s="106" t="s">
        <v>121</v>
      </c>
      <c r="C101" s="135">
        <v>67.42</v>
      </c>
      <c r="D101" s="112">
        <f t="shared" si="15"/>
        <v>0.22</v>
      </c>
      <c r="E101" s="112">
        <f t="shared" si="14"/>
        <v>67.64</v>
      </c>
      <c r="F101" s="106"/>
      <c r="G101" s="112"/>
      <c r="H101" s="112"/>
      <c r="I101" s="106"/>
      <c r="J101" s="113"/>
      <c r="K101" s="106"/>
    </row>
    <row r="102" spans="1:11">
      <c r="A102" s="106" t="s">
        <v>132</v>
      </c>
      <c r="B102" s="106" t="s">
        <v>121</v>
      </c>
      <c r="C102" s="135">
        <v>92.47</v>
      </c>
      <c r="D102" s="112">
        <f t="shared" si="15"/>
        <v>0.3</v>
      </c>
      <c r="E102" s="112">
        <f t="shared" si="14"/>
        <v>92.77</v>
      </c>
      <c r="F102" s="106"/>
      <c r="G102" s="112"/>
      <c r="H102" s="112"/>
      <c r="I102" s="106"/>
      <c r="J102" s="113"/>
      <c r="K102" s="106"/>
    </row>
    <row r="103" spans="1:11">
      <c r="A103" s="106"/>
      <c r="B103" s="106"/>
      <c r="C103" s="150"/>
      <c r="D103" s="106"/>
      <c r="E103" s="106"/>
      <c r="F103" s="106"/>
      <c r="G103" s="106"/>
      <c r="H103" s="112"/>
      <c r="I103" s="106"/>
      <c r="J103" s="106"/>
      <c r="K103" s="106"/>
    </row>
    <row r="104" spans="1:11">
      <c r="A104" s="106" t="s">
        <v>134</v>
      </c>
      <c r="B104" s="106"/>
      <c r="C104" s="135"/>
      <c r="D104" s="106"/>
      <c r="E104" s="106"/>
      <c r="F104" s="106"/>
      <c r="G104" s="106"/>
      <c r="H104" s="112"/>
      <c r="I104" s="106"/>
      <c r="J104" s="106"/>
      <c r="K104" s="106"/>
    </row>
    <row r="105" spans="1:11">
      <c r="A105" s="106" t="s">
        <v>128</v>
      </c>
      <c r="B105" s="106" t="s">
        <v>121</v>
      </c>
      <c r="C105" s="135">
        <v>22.28</v>
      </c>
      <c r="D105" s="112">
        <f>D98</f>
        <v>0.06</v>
      </c>
      <c r="E105" s="112">
        <f t="shared" ref="E105:E109" si="16">SUM(C105:D105)</f>
        <v>22.34</v>
      </c>
      <c r="F105" s="106"/>
      <c r="G105" s="112"/>
      <c r="H105" s="112"/>
      <c r="I105" s="106"/>
      <c r="J105" s="106"/>
      <c r="K105" s="106"/>
    </row>
    <row r="106" spans="1:11">
      <c r="A106" s="106" t="s">
        <v>129</v>
      </c>
      <c r="B106" s="106" t="s">
        <v>121</v>
      </c>
      <c r="C106" s="135">
        <v>30</v>
      </c>
      <c r="D106" s="112">
        <f t="shared" ref="D106:D109" si="17">D99</f>
        <v>0.09</v>
      </c>
      <c r="E106" s="112">
        <f t="shared" si="16"/>
        <v>30.09</v>
      </c>
      <c r="F106" s="106"/>
      <c r="G106" s="112"/>
      <c r="H106" s="112"/>
      <c r="I106" s="106"/>
      <c r="J106" s="106"/>
      <c r="K106" s="106"/>
    </row>
    <row r="107" spans="1:11">
      <c r="A107" s="106" t="s">
        <v>130</v>
      </c>
      <c r="B107" s="106" t="s">
        <v>121</v>
      </c>
      <c r="C107" s="135">
        <v>36.85</v>
      </c>
      <c r="D107" s="112">
        <f t="shared" si="17"/>
        <v>0.11</v>
      </c>
      <c r="E107" s="112">
        <f t="shared" si="16"/>
        <v>36.96</v>
      </c>
      <c r="F107" s="106"/>
      <c r="G107" s="112"/>
      <c r="H107" s="112"/>
      <c r="I107" s="106"/>
      <c r="J107" s="106"/>
      <c r="K107" s="106"/>
    </row>
    <row r="108" spans="1:11">
      <c r="A108" s="106" t="s">
        <v>131</v>
      </c>
      <c r="B108" s="106" t="s">
        <v>121</v>
      </c>
      <c r="C108" s="135">
        <v>67.42</v>
      </c>
      <c r="D108" s="112">
        <f t="shared" si="17"/>
        <v>0.22</v>
      </c>
      <c r="E108" s="112">
        <f t="shared" si="16"/>
        <v>67.64</v>
      </c>
      <c r="F108" s="106"/>
      <c r="G108" s="112"/>
      <c r="H108" s="112"/>
      <c r="I108" s="106"/>
      <c r="J108" s="106"/>
      <c r="K108" s="106"/>
    </row>
    <row r="109" spans="1:11">
      <c r="A109" s="106" t="s">
        <v>132</v>
      </c>
      <c r="B109" s="106" t="s">
        <v>121</v>
      </c>
      <c r="C109" s="135">
        <v>92.47</v>
      </c>
      <c r="D109" s="112">
        <f t="shared" si="17"/>
        <v>0.3</v>
      </c>
      <c r="E109" s="112">
        <f t="shared" si="16"/>
        <v>92.77</v>
      </c>
      <c r="F109" s="106"/>
      <c r="G109" s="112"/>
      <c r="H109" s="112"/>
      <c r="I109" s="106"/>
      <c r="J109" s="106"/>
      <c r="K109" s="106"/>
    </row>
    <row r="110" spans="1:11">
      <c r="A110" s="106"/>
      <c r="B110" s="106"/>
      <c r="C110" s="150"/>
      <c r="D110" s="106"/>
      <c r="E110" s="106"/>
      <c r="F110" s="106"/>
      <c r="G110" s="106"/>
      <c r="H110" s="112"/>
      <c r="I110" s="106"/>
      <c r="J110" s="106"/>
      <c r="K110" s="106"/>
    </row>
    <row r="111" spans="1:11">
      <c r="A111" s="110" t="s">
        <v>147</v>
      </c>
      <c r="B111" s="106"/>
      <c r="C111" s="135"/>
      <c r="D111" s="106"/>
      <c r="E111" s="106"/>
      <c r="F111" s="106"/>
      <c r="G111" s="106"/>
      <c r="H111" s="112"/>
      <c r="I111" s="106"/>
      <c r="J111" s="106"/>
      <c r="K111" s="106"/>
    </row>
    <row r="112" spans="1:11">
      <c r="A112" s="106" t="s">
        <v>148</v>
      </c>
      <c r="B112" s="106" t="s">
        <v>121</v>
      </c>
      <c r="C112" s="135">
        <v>3.91</v>
      </c>
      <c r="D112" s="111">
        <f>ROUND('DF Calculation'!L54,2)</f>
        <v>0.01</v>
      </c>
      <c r="E112" s="112">
        <f t="shared" ref="E112:E116" si="18">SUM(C112:D112)</f>
        <v>3.92</v>
      </c>
      <c r="F112" s="113"/>
      <c r="G112" s="112"/>
      <c r="H112" s="112"/>
      <c r="I112" s="106"/>
      <c r="J112" s="106"/>
      <c r="K112" s="106"/>
    </row>
    <row r="113" spans="1:11">
      <c r="A113" s="106" t="s">
        <v>149</v>
      </c>
      <c r="B113" s="106" t="s">
        <v>121</v>
      </c>
      <c r="C113" s="135">
        <v>3.91</v>
      </c>
      <c r="D113" s="111">
        <f>D112</f>
        <v>0.01</v>
      </c>
      <c r="E113" s="112">
        <f t="shared" si="18"/>
        <v>3.92</v>
      </c>
      <c r="F113" s="106"/>
      <c r="G113" s="112"/>
      <c r="H113" s="112"/>
      <c r="I113" s="106"/>
      <c r="J113" s="106"/>
      <c r="K113" s="106"/>
    </row>
    <row r="114" spans="1:11">
      <c r="A114" s="106" t="s">
        <v>150</v>
      </c>
      <c r="B114" s="106" t="s">
        <v>121</v>
      </c>
      <c r="C114" s="135">
        <v>3.91</v>
      </c>
      <c r="D114" s="111">
        <f>D112</f>
        <v>0.01</v>
      </c>
      <c r="E114" s="112">
        <f t="shared" si="18"/>
        <v>3.92</v>
      </c>
      <c r="F114" s="106"/>
      <c r="G114" s="112"/>
      <c r="H114" s="112"/>
      <c r="I114" s="106"/>
      <c r="J114" s="106"/>
      <c r="K114" s="106"/>
    </row>
    <row r="115" spans="1:11">
      <c r="A115" s="106" t="s">
        <v>151</v>
      </c>
      <c r="B115" s="106" t="s">
        <v>705</v>
      </c>
      <c r="C115" s="135">
        <v>17.47</v>
      </c>
      <c r="D115" s="112">
        <f>ROUND('DF Calculation'!L56,2)</f>
        <v>0.04</v>
      </c>
      <c r="E115" s="112">
        <f t="shared" si="18"/>
        <v>17.509999999999998</v>
      </c>
      <c r="F115" s="106"/>
      <c r="G115" s="112"/>
      <c r="H115" s="112"/>
      <c r="I115" s="106"/>
      <c r="J115" s="106"/>
      <c r="K115" s="106"/>
    </row>
    <row r="116" spans="1:11">
      <c r="A116" s="106" t="s">
        <v>120</v>
      </c>
      <c r="B116" s="106" t="s">
        <v>121</v>
      </c>
      <c r="C116" s="135">
        <v>4.13</v>
      </c>
      <c r="D116" s="113">
        <f>ROUND('DF Calculation'!L54,2)</f>
        <v>0.01</v>
      </c>
      <c r="E116" s="112">
        <f t="shared" si="18"/>
        <v>4.1399999999999997</v>
      </c>
      <c r="F116" s="106"/>
      <c r="G116" s="112"/>
      <c r="H116" s="112"/>
      <c r="I116" s="106"/>
      <c r="J116" s="106"/>
      <c r="K116" s="106"/>
    </row>
    <row r="117" spans="1:11">
      <c r="A117" s="106"/>
      <c r="B117" s="106"/>
      <c r="C117" s="135"/>
      <c r="D117" s="106"/>
      <c r="E117" s="113"/>
      <c r="F117" s="106"/>
      <c r="G117" s="113"/>
      <c r="H117" s="112"/>
      <c r="I117" s="106"/>
      <c r="J117" s="106"/>
      <c r="K117" s="106"/>
    </row>
    <row r="118" spans="1:11">
      <c r="A118" s="110" t="s">
        <v>152</v>
      </c>
      <c r="B118" s="106"/>
      <c r="C118" s="135"/>
      <c r="D118" s="106"/>
      <c r="E118" s="106"/>
      <c r="F118" s="106"/>
      <c r="G118" s="106"/>
      <c r="H118" s="112"/>
      <c r="I118" s="106"/>
      <c r="J118" s="106"/>
      <c r="K118" s="106"/>
    </row>
    <row r="119" spans="1:11">
      <c r="A119" s="106" t="s">
        <v>130</v>
      </c>
      <c r="B119" s="108">
        <v>2.25</v>
      </c>
      <c r="C119" s="135">
        <v>74.05</v>
      </c>
      <c r="D119" s="112">
        <f>ROUND('DF Calculation'!L74,2)</f>
        <v>0.26</v>
      </c>
      <c r="E119" s="112">
        <f t="shared" ref="E119:E125" si="19">SUM(C119:D119)</f>
        <v>74.31</v>
      </c>
      <c r="F119" s="106"/>
      <c r="G119" s="112"/>
      <c r="H119" s="112"/>
      <c r="I119" s="106"/>
      <c r="J119" s="113"/>
      <c r="K119" s="106"/>
    </row>
    <row r="120" spans="1:11">
      <c r="A120" s="106" t="s">
        <v>131</v>
      </c>
      <c r="B120" s="108">
        <v>2.25</v>
      </c>
      <c r="C120" s="135">
        <v>134.07</v>
      </c>
      <c r="D120" s="112">
        <f>ROUND('DF Calculation'!L75,2)</f>
        <v>0.49</v>
      </c>
      <c r="E120" s="112">
        <f>ROUND(C120+D120,2)</f>
        <v>134.56</v>
      </c>
      <c r="F120" s="106"/>
      <c r="G120" s="112"/>
      <c r="H120" s="112"/>
      <c r="I120" s="106"/>
      <c r="J120" s="113"/>
      <c r="K120" s="106"/>
    </row>
    <row r="121" spans="1:11">
      <c r="A121" s="106" t="s">
        <v>132</v>
      </c>
      <c r="B121" s="108">
        <v>2.25</v>
      </c>
      <c r="C121" s="135">
        <v>188.75</v>
      </c>
      <c r="D121" s="112">
        <f>ROUND('DF Calculation'!L121,2)</f>
        <v>0.67</v>
      </c>
      <c r="E121" s="112">
        <f t="shared" si="19"/>
        <v>189.42</v>
      </c>
      <c r="F121" s="107"/>
      <c r="G121" s="111"/>
      <c r="H121" s="112"/>
      <c r="I121" s="106"/>
      <c r="J121" s="113"/>
      <c r="K121" s="106"/>
    </row>
    <row r="122" spans="1:11">
      <c r="A122" s="106" t="s">
        <v>153</v>
      </c>
      <c r="B122" s="108"/>
      <c r="C122" s="135"/>
      <c r="D122" s="112"/>
      <c r="E122" s="107"/>
      <c r="F122" s="107"/>
      <c r="G122" s="107"/>
      <c r="H122" s="112"/>
      <c r="I122" s="106"/>
      <c r="J122" s="106"/>
      <c r="K122" s="106"/>
    </row>
    <row r="123" spans="1:11">
      <c r="A123" s="106" t="s">
        <v>130</v>
      </c>
      <c r="B123" s="108">
        <v>2.25</v>
      </c>
      <c r="C123" s="135">
        <v>80.05</v>
      </c>
      <c r="D123" s="112">
        <f>D119</f>
        <v>0.26</v>
      </c>
      <c r="E123" s="112">
        <f t="shared" si="19"/>
        <v>80.31</v>
      </c>
      <c r="F123" s="107"/>
      <c r="G123" s="111"/>
      <c r="H123" s="112"/>
      <c r="I123" s="106"/>
      <c r="J123" s="113"/>
      <c r="K123" s="106"/>
    </row>
    <row r="124" spans="1:11">
      <c r="A124" s="106" t="s">
        <v>131</v>
      </c>
      <c r="B124" s="108">
        <v>2.25</v>
      </c>
      <c r="C124" s="135">
        <v>140.07</v>
      </c>
      <c r="D124" s="112">
        <f t="shared" ref="D124:D125" si="20">D120</f>
        <v>0.49</v>
      </c>
      <c r="E124" s="112">
        <f t="shared" si="19"/>
        <v>140.56</v>
      </c>
      <c r="F124" s="107"/>
      <c r="G124" s="111"/>
      <c r="H124" s="112"/>
      <c r="I124" s="106"/>
      <c r="J124" s="113"/>
      <c r="K124" s="106"/>
    </row>
    <row r="125" spans="1:11">
      <c r="A125" s="106" t="s">
        <v>132</v>
      </c>
      <c r="B125" s="108">
        <v>2.25</v>
      </c>
      <c r="C125" s="135">
        <v>194.75</v>
      </c>
      <c r="D125" s="112">
        <f t="shared" si="20"/>
        <v>0.67</v>
      </c>
      <c r="E125" s="112">
        <f t="shared" si="19"/>
        <v>195.42</v>
      </c>
      <c r="F125" s="107"/>
      <c r="G125" s="111"/>
      <c r="H125" s="112"/>
      <c r="I125" s="106"/>
      <c r="J125" s="113"/>
      <c r="K125" s="106"/>
    </row>
    <row r="126" spans="1:11">
      <c r="A126" s="106"/>
      <c r="B126" s="106"/>
      <c r="C126" s="150"/>
      <c r="D126" s="106"/>
      <c r="E126" s="107"/>
      <c r="F126" s="107"/>
      <c r="G126" s="107"/>
      <c r="H126" s="112"/>
      <c r="I126" s="106"/>
      <c r="J126" s="106"/>
      <c r="K126" s="106"/>
    </row>
    <row r="127" spans="1:11">
      <c r="A127" s="110" t="s">
        <v>154</v>
      </c>
      <c r="B127" s="106"/>
      <c r="C127" s="135"/>
      <c r="D127" s="106"/>
      <c r="E127" s="107"/>
      <c r="F127" s="107"/>
      <c r="G127" s="107"/>
      <c r="H127" s="112"/>
      <c r="I127" s="106"/>
      <c r="J127" s="106"/>
      <c r="K127" s="106"/>
    </row>
    <row r="128" spans="1:11">
      <c r="A128" s="106" t="s">
        <v>130</v>
      </c>
      <c r="B128" s="108">
        <v>3</v>
      </c>
      <c r="C128" s="135">
        <v>94.02</v>
      </c>
      <c r="D128" s="111">
        <f>ROUND('DF Calculation'!L122,2)</f>
        <v>0.34</v>
      </c>
      <c r="E128" s="112">
        <f t="shared" ref="E128:E136" si="21">SUM(C128:D128)</f>
        <v>94.36</v>
      </c>
      <c r="F128" s="107"/>
      <c r="G128" s="111"/>
      <c r="H128" s="112"/>
      <c r="I128" s="106"/>
      <c r="J128" s="113"/>
      <c r="K128" s="106"/>
    </row>
    <row r="129" spans="1:11">
      <c r="A129" s="106" t="s">
        <v>155</v>
      </c>
      <c r="B129" s="108">
        <v>3</v>
      </c>
      <c r="C129" s="135">
        <v>127.84</v>
      </c>
      <c r="D129" s="111">
        <f>ROUND('DF Calculation'!L83,2)</f>
        <v>0.5</v>
      </c>
      <c r="E129" s="112">
        <f t="shared" si="21"/>
        <v>128.34</v>
      </c>
      <c r="F129" s="107"/>
      <c r="G129" s="111"/>
      <c r="H129" s="112"/>
      <c r="I129" s="106"/>
      <c r="J129" s="113"/>
      <c r="K129" s="106"/>
    </row>
    <row r="130" spans="1:11">
      <c r="A130" s="106" t="s">
        <v>131</v>
      </c>
      <c r="B130" s="108">
        <v>3</v>
      </c>
      <c r="C130" s="135">
        <v>158.15</v>
      </c>
      <c r="D130" s="111">
        <f>ROUND('DF Calculation'!L123,2)</f>
        <v>0.65</v>
      </c>
      <c r="E130" s="112">
        <f t="shared" si="21"/>
        <v>158.80000000000001</v>
      </c>
      <c r="F130" s="107"/>
      <c r="G130" s="111"/>
      <c r="H130" s="112"/>
      <c r="I130" s="106"/>
      <c r="J130" s="113"/>
      <c r="K130" s="106"/>
    </row>
    <row r="131" spans="1:11">
      <c r="A131" s="106" t="s">
        <v>132</v>
      </c>
      <c r="B131" s="108">
        <v>3</v>
      </c>
      <c r="C131" s="135">
        <v>236.46</v>
      </c>
      <c r="D131" s="111">
        <f>ROUND('DF Calculation'!L80,2)</f>
        <v>0.89</v>
      </c>
      <c r="E131" s="112">
        <f t="shared" si="21"/>
        <v>237.35</v>
      </c>
      <c r="F131" s="107"/>
      <c r="G131" s="111"/>
      <c r="H131" s="112"/>
      <c r="I131" s="106"/>
      <c r="J131" s="113"/>
      <c r="K131" s="106"/>
    </row>
    <row r="132" spans="1:11">
      <c r="A132" s="110" t="s">
        <v>153</v>
      </c>
      <c r="B132" s="108"/>
      <c r="C132" s="135"/>
      <c r="D132" s="112"/>
      <c r="E132" s="107"/>
      <c r="F132" s="107"/>
      <c r="G132" s="107"/>
      <c r="H132" s="112"/>
      <c r="I132" s="106"/>
      <c r="J132" s="113"/>
      <c r="K132" s="106"/>
    </row>
    <row r="133" spans="1:11">
      <c r="A133" s="106" t="s">
        <v>130</v>
      </c>
      <c r="B133" s="108">
        <v>3</v>
      </c>
      <c r="C133" s="135">
        <v>100.02</v>
      </c>
      <c r="D133" s="112">
        <f>D128</f>
        <v>0.34</v>
      </c>
      <c r="E133" s="112">
        <f t="shared" si="21"/>
        <v>100.36</v>
      </c>
      <c r="F133" s="107"/>
      <c r="G133" s="111"/>
      <c r="H133" s="112"/>
      <c r="I133" s="106"/>
      <c r="J133" s="113"/>
      <c r="K133" s="106"/>
    </row>
    <row r="134" spans="1:11">
      <c r="A134" s="106" t="s">
        <v>155</v>
      </c>
      <c r="B134" s="108">
        <v>3</v>
      </c>
      <c r="C134" s="135">
        <v>133.84</v>
      </c>
      <c r="D134" s="112">
        <f t="shared" ref="D134:D136" si="22">D129</f>
        <v>0.5</v>
      </c>
      <c r="E134" s="112">
        <f t="shared" si="21"/>
        <v>134.34</v>
      </c>
      <c r="F134" s="107"/>
      <c r="G134" s="111"/>
      <c r="H134" s="112"/>
      <c r="I134" s="106"/>
      <c r="J134" s="113"/>
      <c r="K134" s="106"/>
    </row>
    <row r="135" spans="1:11">
      <c r="A135" s="106" t="s">
        <v>131</v>
      </c>
      <c r="B135" s="108">
        <v>3</v>
      </c>
      <c r="C135" s="135">
        <v>164.15</v>
      </c>
      <c r="D135" s="112">
        <f t="shared" si="22"/>
        <v>0.65</v>
      </c>
      <c r="E135" s="112">
        <f t="shared" si="21"/>
        <v>164.8</v>
      </c>
      <c r="F135" s="107"/>
      <c r="G135" s="111"/>
      <c r="H135" s="112"/>
      <c r="I135" s="106"/>
      <c r="J135" s="113"/>
      <c r="K135" s="106"/>
    </row>
    <row r="136" spans="1:11">
      <c r="A136" s="106" t="s">
        <v>132</v>
      </c>
      <c r="B136" s="108">
        <v>3</v>
      </c>
      <c r="C136" s="135">
        <v>242.46</v>
      </c>
      <c r="D136" s="112">
        <f t="shared" si="22"/>
        <v>0.89</v>
      </c>
      <c r="E136" s="112">
        <f t="shared" si="21"/>
        <v>243.35</v>
      </c>
      <c r="F136" s="107"/>
      <c r="G136" s="111"/>
      <c r="H136" s="112"/>
      <c r="I136" s="106"/>
      <c r="J136" s="113"/>
      <c r="K136" s="106"/>
    </row>
    <row r="137" spans="1:11">
      <c r="A137" s="106"/>
      <c r="B137" s="106"/>
      <c r="C137" s="150"/>
      <c r="D137" s="106"/>
      <c r="E137" s="107"/>
      <c r="F137" s="107"/>
      <c r="G137" s="107"/>
      <c r="H137" s="112"/>
      <c r="I137" s="106"/>
      <c r="J137" s="106"/>
      <c r="K137" s="106"/>
    </row>
    <row r="138" spans="1:11">
      <c r="A138" s="110" t="s">
        <v>156</v>
      </c>
      <c r="B138" s="106"/>
      <c r="C138" s="135"/>
      <c r="D138" s="106"/>
      <c r="E138" s="107"/>
      <c r="F138" s="107"/>
      <c r="G138" s="107"/>
      <c r="H138" s="112"/>
      <c r="I138" s="106"/>
      <c r="J138" s="106"/>
      <c r="K138" s="106"/>
    </row>
    <row r="139" spans="1:11">
      <c r="A139" s="106" t="s">
        <v>155</v>
      </c>
      <c r="B139" s="108">
        <v>4</v>
      </c>
      <c r="C139" s="135">
        <v>161.77000000000001</v>
      </c>
      <c r="D139" s="112">
        <f>ROUND('DF Calculation'!L124,2)</f>
        <v>0.67</v>
      </c>
      <c r="E139" s="112">
        <f t="shared" ref="E139:E145" si="23">SUM(C139:D139)</f>
        <v>162.44</v>
      </c>
      <c r="F139" s="107"/>
      <c r="G139" s="111"/>
      <c r="H139" s="112"/>
      <c r="I139" s="106"/>
      <c r="J139" s="113"/>
      <c r="K139" s="106"/>
    </row>
    <row r="140" spans="1:11">
      <c r="A140" s="106" t="s">
        <v>131</v>
      </c>
      <c r="B140" s="108">
        <v>4</v>
      </c>
      <c r="C140" s="135">
        <v>212.95</v>
      </c>
      <c r="D140" s="112">
        <f>ROUND('DF Calculation'!L76,2)</f>
        <v>0.87</v>
      </c>
      <c r="E140" s="112">
        <f t="shared" si="23"/>
        <v>213.82</v>
      </c>
      <c r="F140" s="111"/>
      <c r="G140" s="111"/>
      <c r="H140" s="112"/>
      <c r="I140" s="106"/>
      <c r="J140" s="113"/>
      <c r="K140" s="106"/>
    </row>
    <row r="141" spans="1:11">
      <c r="A141" s="106" t="s">
        <v>132</v>
      </c>
      <c r="B141" s="108">
        <v>4</v>
      </c>
      <c r="C141" s="135">
        <v>304.02999999999997</v>
      </c>
      <c r="D141" s="111">
        <f>ROUND('DF Calculation'!L82,2)</f>
        <v>1.19</v>
      </c>
      <c r="E141" s="112">
        <f t="shared" si="23"/>
        <v>305.21999999999997</v>
      </c>
      <c r="F141" s="107"/>
      <c r="G141" s="111"/>
      <c r="H141" s="112"/>
      <c r="I141" s="106"/>
      <c r="J141" s="113"/>
      <c r="K141" s="106"/>
    </row>
    <row r="142" spans="1:11">
      <c r="A142" s="106" t="s">
        <v>153</v>
      </c>
      <c r="B142" s="108"/>
      <c r="C142" s="135"/>
      <c r="D142" s="112"/>
      <c r="E142" s="107"/>
      <c r="F142" s="107"/>
      <c r="G142" s="107"/>
      <c r="H142" s="112"/>
      <c r="I142" s="106"/>
      <c r="J142" s="113"/>
      <c r="K142" s="106"/>
    </row>
    <row r="143" spans="1:11">
      <c r="A143" s="106" t="s">
        <v>155</v>
      </c>
      <c r="B143" s="108">
        <v>4</v>
      </c>
      <c r="C143" s="135">
        <v>167.77</v>
      </c>
      <c r="D143" s="112">
        <f>D139</f>
        <v>0.67</v>
      </c>
      <c r="E143" s="112">
        <f t="shared" si="23"/>
        <v>168.44</v>
      </c>
      <c r="F143" s="107"/>
      <c r="G143" s="111"/>
      <c r="H143" s="112"/>
      <c r="I143" s="106"/>
      <c r="J143" s="113"/>
      <c r="K143" s="106"/>
    </row>
    <row r="144" spans="1:11">
      <c r="A144" s="106" t="s">
        <v>131</v>
      </c>
      <c r="B144" s="108">
        <v>4</v>
      </c>
      <c r="C144" s="135">
        <v>218.95</v>
      </c>
      <c r="D144" s="112">
        <f t="shared" ref="D144:D145" si="24">D140</f>
        <v>0.87</v>
      </c>
      <c r="E144" s="112">
        <f t="shared" si="23"/>
        <v>219.82</v>
      </c>
      <c r="F144" s="107"/>
      <c r="G144" s="111"/>
      <c r="H144" s="112"/>
      <c r="I144" s="106"/>
      <c r="J144" s="113"/>
      <c r="K144" s="106"/>
    </row>
    <row r="145" spans="1:11">
      <c r="A145" s="106" t="s">
        <v>132</v>
      </c>
      <c r="B145" s="108">
        <v>4</v>
      </c>
      <c r="C145" s="135">
        <v>310.02999999999997</v>
      </c>
      <c r="D145" s="111">
        <f t="shared" si="24"/>
        <v>1.19</v>
      </c>
      <c r="E145" s="112">
        <f t="shared" si="23"/>
        <v>311.21999999999997</v>
      </c>
      <c r="F145" s="107"/>
      <c r="G145" s="111"/>
      <c r="H145" s="112"/>
      <c r="I145" s="106"/>
      <c r="J145" s="113"/>
      <c r="K145" s="106"/>
    </row>
    <row r="146" spans="1:11">
      <c r="A146" s="106"/>
      <c r="B146" s="106"/>
      <c r="C146" s="150"/>
      <c r="D146" s="106"/>
      <c r="E146" s="107"/>
      <c r="F146" s="107"/>
      <c r="G146" s="107"/>
      <c r="H146" s="112"/>
      <c r="I146" s="106"/>
      <c r="J146" s="106"/>
      <c r="K146" s="106"/>
    </row>
    <row r="147" spans="1:11">
      <c r="A147" s="110" t="s">
        <v>157</v>
      </c>
      <c r="B147" s="106"/>
      <c r="C147" s="135"/>
      <c r="D147" s="106"/>
      <c r="E147" s="107"/>
      <c r="F147" s="107"/>
      <c r="G147" s="107"/>
      <c r="H147" s="112"/>
      <c r="I147" s="106"/>
      <c r="J147" s="106"/>
      <c r="K147" s="106"/>
    </row>
    <row r="148" spans="1:11">
      <c r="A148" s="106" t="s">
        <v>131</v>
      </c>
      <c r="B148" s="108">
        <v>5</v>
      </c>
      <c r="C148" s="135">
        <v>238.47</v>
      </c>
      <c r="D148" s="112">
        <f>ROUND('DF Calculation'!L77,2)</f>
        <v>1.08</v>
      </c>
      <c r="E148" s="112">
        <f t="shared" ref="E148:E149" si="25">SUM(C148:D148)</f>
        <v>239.55</v>
      </c>
      <c r="F148" s="107"/>
      <c r="G148" s="111"/>
      <c r="H148" s="112"/>
      <c r="I148" s="106"/>
      <c r="J148" s="113"/>
      <c r="K148" s="106"/>
    </row>
    <row r="149" spans="1:11">
      <c r="A149" s="106" t="s">
        <v>132</v>
      </c>
      <c r="B149" s="108">
        <v>5</v>
      </c>
      <c r="C149" s="135">
        <v>340.44</v>
      </c>
      <c r="D149" s="111">
        <f>ROUND('DF Calculation'!L125,2)</f>
        <v>1.48</v>
      </c>
      <c r="E149" s="112">
        <f t="shared" si="25"/>
        <v>341.92</v>
      </c>
      <c r="F149" s="107"/>
      <c r="G149" s="111"/>
      <c r="H149" s="112"/>
      <c r="I149" s="106"/>
      <c r="J149" s="113"/>
      <c r="K149" s="106"/>
    </row>
    <row r="150" spans="1:11">
      <c r="A150" s="106" t="s">
        <v>153</v>
      </c>
      <c r="B150" s="108"/>
      <c r="C150" s="135"/>
      <c r="D150" s="112"/>
      <c r="E150" s="107"/>
      <c r="F150" s="107"/>
      <c r="G150" s="107"/>
      <c r="H150" s="112"/>
      <c r="I150" s="106"/>
      <c r="J150" s="113"/>
      <c r="K150" s="106"/>
    </row>
    <row r="151" spans="1:11">
      <c r="A151" s="106" t="s">
        <v>131</v>
      </c>
      <c r="B151" s="108">
        <v>5</v>
      </c>
      <c r="C151" s="135">
        <v>244.47</v>
      </c>
      <c r="D151" s="112">
        <f>D148</f>
        <v>1.08</v>
      </c>
      <c r="E151" s="112">
        <f t="shared" ref="E151:E152" si="26">SUM(C151:D151)</f>
        <v>245.55</v>
      </c>
      <c r="F151" s="107"/>
      <c r="G151" s="111"/>
      <c r="H151" s="112"/>
      <c r="I151" s="106"/>
      <c r="J151" s="113"/>
      <c r="K151" s="106"/>
    </row>
    <row r="152" spans="1:11">
      <c r="A152" s="106" t="s">
        <v>132</v>
      </c>
      <c r="B152" s="108">
        <v>5</v>
      </c>
      <c r="C152" s="135">
        <v>346.44</v>
      </c>
      <c r="D152" s="112">
        <f>D149</f>
        <v>1.48</v>
      </c>
      <c r="E152" s="112">
        <f t="shared" si="26"/>
        <v>347.92</v>
      </c>
      <c r="F152" s="107"/>
      <c r="G152" s="111"/>
      <c r="H152" s="112"/>
      <c r="I152" s="106"/>
      <c r="J152" s="113"/>
      <c r="K152" s="106"/>
    </row>
    <row r="153" spans="1:11">
      <c r="A153" s="106"/>
      <c r="B153" s="106"/>
      <c r="C153" s="150"/>
      <c r="D153" s="106"/>
      <c r="E153" s="107"/>
      <c r="F153" s="107"/>
      <c r="G153" s="107"/>
      <c r="H153" s="112"/>
      <c r="I153" s="106"/>
      <c r="J153" s="106"/>
      <c r="K153" s="106"/>
    </row>
    <row r="154" spans="1:11">
      <c r="A154" s="110" t="s">
        <v>158</v>
      </c>
      <c r="B154" s="106"/>
      <c r="C154" s="135"/>
      <c r="D154" s="106"/>
      <c r="E154" s="107"/>
      <c r="F154" s="107"/>
      <c r="G154" s="107"/>
      <c r="H154" s="112"/>
      <c r="I154" s="106"/>
      <c r="J154" s="106"/>
      <c r="K154" s="106"/>
    </row>
    <row r="155" spans="1:11">
      <c r="A155" s="106" t="s">
        <v>130</v>
      </c>
      <c r="B155" s="108">
        <v>2.25</v>
      </c>
      <c r="C155" s="135">
        <v>93.81</v>
      </c>
      <c r="D155" s="112">
        <f>D119</f>
        <v>0.26</v>
      </c>
      <c r="E155" s="112">
        <f t="shared" ref="E155:E161" si="27">SUM(C155:D155)</f>
        <v>94.070000000000007</v>
      </c>
      <c r="F155" s="107"/>
      <c r="G155" s="111"/>
      <c r="H155" s="112"/>
      <c r="I155" s="106"/>
      <c r="J155" s="112"/>
      <c r="K155" s="112"/>
    </row>
    <row r="156" spans="1:11">
      <c r="A156" s="106" t="s">
        <v>131</v>
      </c>
      <c r="B156" s="108">
        <v>2.25</v>
      </c>
      <c r="C156" s="135">
        <v>173.6</v>
      </c>
      <c r="D156" s="112">
        <f t="shared" ref="D156:D157" si="28">D120</f>
        <v>0.49</v>
      </c>
      <c r="E156" s="112">
        <f t="shared" si="27"/>
        <v>174.09</v>
      </c>
      <c r="F156" s="107"/>
      <c r="G156" s="111"/>
      <c r="H156" s="112"/>
      <c r="I156" s="106"/>
      <c r="J156" s="112"/>
      <c r="K156" s="112"/>
    </row>
    <row r="157" spans="1:11">
      <c r="A157" s="106" t="s">
        <v>132</v>
      </c>
      <c r="B157" s="108">
        <v>2.25</v>
      </c>
      <c r="C157" s="135">
        <v>248.04</v>
      </c>
      <c r="D157" s="112">
        <f t="shared" si="28"/>
        <v>0.67</v>
      </c>
      <c r="E157" s="112">
        <f t="shared" si="27"/>
        <v>248.70999999999998</v>
      </c>
      <c r="F157" s="107"/>
      <c r="G157" s="111"/>
      <c r="H157" s="112"/>
      <c r="I157" s="106"/>
      <c r="J157" s="112"/>
      <c r="K157" s="112"/>
    </row>
    <row r="158" spans="1:11">
      <c r="A158" s="106" t="s">
        <v>153</v>
      </c>
      <c r="B158" s="108"/>
      <c r="C158" s="135"/>
      <c r="D158" s="112"/>
      <c r="E158" s="107"/>
      <c r="F158" s="107"/>
      <c r="G158" s="107"/>
      <c r="H158" s="112"/>
      <c r="I158" s="106"/>
      <c r="J158" s="106"/>
      <c r="K158" s="106"/>
    </row>
    <row r="159" spans="1:11">
      <c r="A159" s="106" t="s">
        <v>130</v>
      </c>
      <c r="B159" s="108">
        <v>2.25</v>
      </c>
      <c r="C159" s="135">
        <v>99.81</v>
      </c>
      <c r="D159" s="112">
        <f>D155</f>
        <v>0.26</v>
      </c>
      <c r="E159" s="112">
        <f t="shared" si="27"/>
        <v>100.07000000000001</v>
      </c>
      <c r="F159" s="107"/>
      <c r="G159" s="111"/>
      <c r="H159" s="112"/>
      <c r="I159" s="106"/>
      <c r="J159" s="112"/>
      <c r="K159" s="112"/>
    </row>
    <row r="160" spans="1:11">
      <c r="A160" s="106" t="s">
        <v>131</v>
      </c>
      <c r="B160" s="108">
        <v>2.25</v>
      </c>
      <c r="C160" s="135">
        <v>179.6</v>
      </c>
      <c r="D160" s="112">
        <f t="shared" ref="D160:D161" si="29">D156</f>
        <v>0.49</v>
      </c>
      <c r="E160" s="112">
        <f t="shared" si="27"/>
        <v>180.09</v>
      </c>
      <c r="F160" s="107"/>
      <c r="G160" s="111"/>
      <c r="H160" s="112"/>
      <c r="I160" s="106"/>
      <c r="J160" s="112"/>
      <c r="K160" s="112"/>
    </row>
    <row r="161" spans="1:11">
      <c r="A161" s="106" t="s">
        <v>132</v>
      </c>
      <c r="B161" s="108">
        <v>2.25</v>
      </c>
      <c r="C161" s="135">
        <v>254.04</v>
      </c>
      <c r="D161" s="112">
        <f t="shared" si="29"/>
        <v>0.67</v>
      </c>
      <c r="E161" s="112">
        <f t="shared" si="27"/>
        <v>254.70999999999998</v>
      </c>
      <c r="F161" s="107"/>
      <c r="G161" s="111"/>
      <c r="H161" s="112"/>
      <c r="I161" s="106"/>
      <c r="J161" s="112"/>
      <c r="K161" s="112"/>
    </row>
    <row r="162" spans="1:11">
      <c r="A162" s="106"/>
      <c r="B162" s="106"/>
      <c r="C162" s="150"/>
      <c r="D162" s="106"/>
      <c r="E162" s="107"/>
      <c r="F162" s="107"/>
      <c r="G162" s="107"/>
      <c r="H162" s="112"/>
      <c r="I162" s="106"/>
      <c r="J162" s="106"/>
      <c r="K162" s="106"/>
    </row>
    <row r="163" spans="1:11">
      <c r="A163" s="110" t="s">
        <v>159</v>
      </c>
      <c r="B163" s="106"/>
      <c r="C163" s="135"/>
      <c r="D163" s="106"/>
      <c r="E163" s="107"/>
      <c r="F163" s="107"/>
      <c r="G163" s="107"/>
      <c r="H163" s="112"/>
      <c r="I163" s="106"/>
      <c r="J163" s="106"/>
      <c r="K163" s="106"/>
    </row>
    <row r="164" spans="1:11">
      <c r="A164" s="106" t="s">
        <v>130</v>
      </c>
      <c r="B164" s="108">
        <v>3</v>
      </c>
      <c r="C164" s="135">
        <v>120.38</v>
      </c>
      <c r="D164" s="112">
        <f>D128</f>
        <v>0.34</v>
      </c>
      <c r="E164" s="112">
        <f t="shared" ref="E164:E167" si="30">SUM(C164:D164)</f>
        <v>120.72</v>
      </c>
      <c r="F164" s="107"/>
      <c r="G164" s="111"/>
      <c r="H164" s="112"/>
      <c r="I164" s="106"/>
      <c r="J164" s="112"/>
      <c r="K164" s="112"/>
    </row>
    <row r="165" spans="1:11">
      <c r="A165" s="106" t="s">
        <v>155</v>
      </c>
      <c r="B165" s="108">
        <v>3</v>
      </c>
      <c r="C165" s="135">
        <v>167.38</v>
      </c>
      <c r="D165" s="112">
        <f t="shared" ref="D165:D167" si="31">D129</f>
        <v>0.5</v>
      </c>
      <c r="E165" s="112">
        <f t="shared" si="30"/>
        <v>167.88</v>
      </c>
      <c r="F165" s="107"/>
      <c r="G165" s="111"/>
      <c r="H165" s="112"/>
      <c r="I165" s="106"/>
      <c r="J165" s="112"/>
      <c r="K165" s="112"/>
    </row>
    <row r="166" spans="1:11">
      <c r="A166" s="106" t="s">
        <v>131</v>
      </c>
      <c r="B166" s="108">
        <v>3</v>
      </c>
      <c r="C166" s="135">
        <v>210.87</v>
      </c>
      <c r="D166" s="112">
        <f t="shared" si="31"/>
        <v>0.65</v>
      </c>
      <c r="E166" s="112">
        <f t="shared" si="30"/>
        <v>211.52</v>
      </c>
      <c r="F166" s="107"/>
      <c r="G166" s="111"/>
      <c r="H166" s="112"/>
      <c r="I166" s="106"/>
      <c r="J166" s="112"/>
      <c r="K166" s="112"/>
    </row>
    <row r="167" spans="1:11">
      <c r="A167" s="106" t="s">
        <v>132</v>
      </c>
      <c r="B167" s="108">
        <v>3</v>
      </c>
      <c r="C167" s="135">
        <v>315.52999999999997</v>
      </c>
      <c r="D167" s="112">
        <f t="shared" si="31"/>
        <v>0.89</v>
      </c>
      <c r="E167" s="112">
        <f t="shared" si="30"/>
        <v>316.41999999999996</v>
      </c>
      <c r="F167" s="107"/>
      <c r="G167" s="111"/>
      <c r="H167" s="112"/>
      <c r="I167" s="106"/>
      <c r="J167" s="112"/>
      <c r="K167" s="112"/>
    </row>
    <row r="168" spans="1:11">
      <c r="A168" s="110" t="s">
        <v>153</v>
      </c>
      <c r="B168" s="108"/>
      <c r="C168" s="135"/>
      <c r="D168" s="112"/>
      <c r="E168" s="107"/>
      <c r="F168" s="107"/>
      <c r="G168" s="107"/>
      <c r="H168" s="112"/>
      <c r="I168" s="106"/>
      <c r="J168" s="106"/>
      <c r="K168" s="106"/>
    </row>
    <row r="169" spans="1:11">
      <c r="A169" s="106" t="s">
        <v>130</v>
      </c>
      <c r="B169" s="108">
        <v>3</v>
      </c>
      <c r="C169" s="135">
        <v>126.38</v>
      </c>
      <c r="D169" s="112">
        <f>D164</f>
        <v>0.34</v>
      </c>
      <c r="E169" s="112">
        <f t="shared" ref="E169:E172" si="32">SUM(C169:D169)</f>
        <v>126.72</v>
      </c>
      <c r="F169" s="107"/>
      <c r="G169" s="111"/>
      <c r="H169" s="112"/>
      <c r="I169" s="106"/>
      <c r="J169" s="106"/>
      <c r="K169" s="106"/>
    </row>
    <row r="170" spans="1:11">
      <c r="A170" s="106" t="s">
        <v>155</v>
      </c>
      <c r="B170" s="108">
        <v>3</v>
      </c>
      <c r="C170" s="135">
        <v>173.38</v>
      </c>
      <c r="D170" s="112">
        <f t="shared" ref="D170:D172" si="33">D165</f>
        <v>0.5</v>
      </c>
      <c r="E170" s="112">
        <f t="shared" si="32"/>
        <v>173.88</v>
      </c>
      <c r="F170" s="107"/>
      <c r="G170" s="111"/>
      <c r="H170" s="112"/>
      <c r="I170" s="106"/>
      <c r="J170" s="106"/>
      <c r="K170" s="106"/>
    </row>
    <row r="171" spans="1:11">
      <c r="A171" s="106" t="s">
        <v>131</v>
      </c>
      <c r="B171" s="108">
        <v>3</v>
      </c>
      <c r="C171" s="135">
        <v>216.87</v>
      </c>
      <c r="D171" s="112">
        <f t="shared" si="33"/>
        <v>0.65</v>
      </c>
      <c r="E171" s="112">
        <f t="shared" si="32"/>
        <v>217.52</v>
      </c>
      <c r="F171" s="107"/>
      <c r="G171" s="111"/>
      <c r="H171" s="112"/>
      <c r="I171" s="106"/>
      <c r="J171" s="106"/>
      <c r="K171" s="106"/>
    </row>
    <row r="172" spans="1:11">
      <c r="A172" s="106" t="s">
        <v>132</v>
      </c>
      <c r="B172" s="108">
        <v>3</v>
      </c>
      <c r="C172" s="135">
        <v>321.52999999999997</v>
      </c>
      <c r="D172" s="112">
        <f t="shared" si="33"/>
        <v>0.89</v>
      </c>
      <c r="E172" s="112">
        <f t="shared" si="32"/>
        <v>322.41999999999996</v>
      </c>
      <c r="F172" s="107"/>
      <c r="G172" s="111"/>
      <c r="H172" s="112"/>
      <c r="I172" s="106"/>
      <c r="J172" s="106"/>
      <c r="K172" s="106"/>
    </row>
    <row r="173" spans="1:11">
      <c r="A173" s="106"/>
      <c r="B173" s="106"/>
      <c r="C173" s="150"/>
      <c r="D173" s="106"/>
      <c r="E173" s="107"/>
      <c r="F173" s="107"/>
      <c r="G173" s="107"/>
      <c r="H173" s="112"/>
      <c r="I173" s="106"/>
      <c r="J173" s="106"/>
      <c r="K173" s="106"/>
    </row>
    <row r="174" spans="1:11">
      <c r="A174" s="110" t="s">
        <v>160</v>
      </c>
      <c r="B174" s="106"/>
      <c r="C174" s="135"/>
      <c r="D174" s="106"/>
      <c r="E174" s="107"/>
      <c r="F174" s="107"/>
      <c r="G174" s="107"/>
      <c r="H174" s="112"/>
      <c r="I174" s="106"/>
      <c r="J174" s="106"/>
      <c r="K174" s="106"/>
    </row>
    <row r="175" spans="1:11">
      <c r="A175" s="106" t="s">
        <v>155</v>
      </c>
      <c r="B175" s="108">
        <v>4</v>
      </c>
      <c r="C175" s="135">
        <v>214.49</v>
      </c>
      <c r="D175" s="111">
        <f>D139</f>
        <v>0.67</v>
      </c>
      <c r="E175" s="112">
        <f t="shared" ref="E175:E177" si="34">SUM(C175:D175)</f>
        <v>215.16</v>
      </c>
      <c r="F175" s="107"/>
      <c r="G175" s="111"/>
      <c r="H175" s="112"/>
      <c r="I175" s="106"/>
      <c r="J175" s="106"/>
      <c r="K175" s="106"/>
    </row>
    <row r="176" spans="1:11">
      <c r="A176" s="106" t="s">
        <v>131</v>
      </c>
      <c r="B176" s="108">
        <v>4</v>
      </c>
      <c r="C176" s="135">
        <v>283.24</v>
      </c>
      <c r="D176" s="111">
        <f t="shared" ref="D176:D177" si="35">D140</f>
        <v>0.87</v>
      </c>
      <c r="E176" s="112">
        <f t="shared" si="34"/>
        <v>284.11</v>
      </c>
      <c r="F176" s="107"/>
      <c r="G176" s="111"/>
      <c r="H176" s="112"/>
      <c r="I176" s="106"/>
      <c r="J176" s="106"/>
      <c r="K176" s="106"/>
    </row>
    <row r="177" spans="1:11">
      <c r="A177" s="106" t="s">
        <v>132</v>
      </c>
      <c r="B177" s="108">
        <v>4</v>
      </c>
      <c r="C177" s="135">
        <v>409.46</v>
      </c>
      <c r="D177" s="111">
        <f t="shared" si="35"/>
        <v>1.19</v>
      </c>
      <c r="E177" s="112">
        <f t="shared" si="34"/>
        <v>410.65</v>
      </c>
      <c r="F177" s="107"/>
      <c r="G177" s="111"/>
      <c r="H177" s="112"/>
      <c r="I177" s="106"/>
      <c r="J177" s="106"/>
      <c r="K177" s="106"/>
    </row>
    <row r="178" spans="1:11">
      <c r="A178" s="106" t="s">
        <v>153</v>
      </c>
      <c r="B178" s="108"/>
      <c r="C178" s="135"/>
      <c r="D178" s="111"/>
      <c r="E178" s="111"/>
      <c r="F178" s="107"/>
      <c r="G178" s="111"/>
      <c r="H178" s="112"/>
      <c r="I178" s="106"/>
      <c r="J178" s="106"/>
      <c r="K178" s="106"/>
    </row>
    <row r="179" spans="1:11">
      <c r="A179" s="106" t="s">
        <v>155</v>
      </c>
      <c r="B179" s="108">
        <v>4</v>
      </c>
      <c r="C179" s="135">
        <v>220.49</v>
      </c>
      <c r="D179" s="111">
        <f>D175</f>
        <v>0.67</v>
      </c>
      <c r="E179" s="112">
        <f t="shared" ref="E179:E181" si="36">SUM(C179:D179)</f>
        <v>221.16</v>
      </c>
      <c r="F179" s="107"/>
      <c r="G179" s="111"/>
      <c r="H179" s="112"/>
      <c r="I179" s="106"/>
      <c r="J179" s="106"/>
      <c r="K179" s="106"/>
    </row>
    <row r="180" spans="1:11">
      <c r="A180" s="106" t="s">
        <v>131</v>
      </c>
      <c r="B180" s="108">
        <v>4</v>
      </c>
      <c r="C180" s="135">
        <v>289.24</v>
      </c>
      <c r="D180" s="111">
        <f t="shared" ref="D180:D181" si="37">D176</f>
        <v>0.87</v>
      </c>
      <c r="E180" s="112">
        <f t="shared" si="36"/>
        <v>290.11</v>
      </c>
      <c r="F180" s="107"/>
      <c r="G180" s="111"/>
      <c r="H180" s="112"/>
      <c r="I180" s="106"/>
      <c r="J180" s="106"/>
      <c r="K180" s="106"/>
    </row>
    <row r="181" spans="1:11">
      <c r="A181" s="106" t="s">
        <v>132</v>
      </c>
      <c r="B181" s="108">
        <v>4</v>
      </c>
      <c r="C181" s="135">
        <v>415.46</v>
      </c>
      <c r="D181" s="111">
        <f t="shared" si="37"/>
        <v>1.19</v>
      </c>
      <c r="E181" s="112">
        <f t="shared" si="36"/>
        <v>416.65</v>
      </c>
      <c r="F181" s="107"/>
      <c r="G181" s="111"/>
      <c r="H181" s="112"/>
      <c r="I181" s="106"/>
      <c r="J181" s="106"/>
      <c r="K181" s="106"/>
    </row>
    <row r="182" spans="1:11">
      <c r="A182" s="106"/>
      <c r="B182" s="106"/>
      <c r="C182" s="150"/>
      <c r="D182" s="106"/>
      <c r="E182" s="111"/>
      <c r="F182" s="107"/>
      <c r="G182" s="111"/>
      <c r="H182" s="112"/>
      <c r="I182" s="106"/>
      <c r="J182" s="106"/>
      <c r="K182" s="106"/>
    </row>
    <row r="183" spans="1:11">
      <c r="A183" s="110" t="s">
        <v>161</v>
      </c>
      <c r="B183" s="106"/>
      <c r="C183" s="135"/>
      <c r="D183" s="106"/>
      <c r="E183" s="111"/>
      <c r="F183" s="107"/>
      <c r="G183" s="111"/>
      <c r="H183" s="112"/>
      <c r="I183" s="106"/>
      <c r="J183" s="106"/>
      <c r="K183" s="106"/>
    </row>
    <row r="184" spans="1:11">
      <c r="A184" s="106" t="s">
        <v>131</v>
      </c>
      <c r="B184" s="108">
        <v>5</v>
      </c>
      <c r="C184" s="135">
        <v>326.33</v>
      </c>
      <c r="D184" s="112">
        <f>D148</f>
        <v>1.08</v>
      </c>
      <c r="E184" s="112">
        <f t="shared" ref="E184:E185" si="38">SUM(C184:D184)</f>
        <v>327.40999999999997</v>
      </c>
      <c r="F184" s="107"/>
      <c r="G184" s="111"/>
      <c r="H184" s="112"/>
      <c r="I184" s="106"/>
      <c r="J184" s="106"/>
      <c r="K184" s="106"/>
    </row>
    <row r="185" spans="1:11">
      <c r="A185" s="106" t="s">
        <v>132</v>
      </c>
      <c r="B185" s="108">
        <v>5</v>
      </c>
      <c r="C185" s="135">
        <v>472.23</v>
      </c>
      <c r="D185" s="112">
        <f>D149</f>
        <v>1.48</v>
      </c>
      <c r="E185" s="112">
        <f t="shared" si="38"/>
        <v>473.71000000000004</v>
      </c>
      <c r="F185" s="107"/>
      <c r="G185" s="111"/>
      <c r="H185" s="112"/>
      <c r="I185" s="106"/>
      <c r="J185" s="106"/>
      <c r="K185" s="106"/>
    </row>
    <row r="186" spans="1:11">
      <c r="A186" s="106" t="s">
        <v>153</v>
      </c>
      <c r="B186" s="108"/>
      <c r="C186" s="135"/>
      <c r="D186" s="112"/>
      <c r="E186" s="111"/>
      <c r="F186" s="107"/>
      <c r="G186" s="111"/>
      <c r="H186" s="112"/>
      <c r="I186" s="106"/>
      <c r="J186" s="106"/>
      <c r="K186" s="106"/>
    </row>
    <row r="187" spans="1:11">
      <c r="A187" s="106" t="s">
        <v>131</v>
      </c>
      <c r="B187" s="108">
        <v>5</v>
      </c>
      <c r="C187" s="135">
        <v>332.33</v>
      </c>
      <c r="D187" s="112">
        <f>D184</f>
        <v>1.08</v>
      </c>
      <c r="E187" s="112">
        <f t="shared" ref="E187:E188" si="39">SUM(C187:D187)</f>
        <v>333.40999999999997</v>
      </c>
      <c r="F187" s="107"/>
      <c r="G187" s="111"/>
      <c r="H187" s="112"/>
      <c r="I187" s="106"/>
      <c r="J187" s="106"/>
      <c r="K187" s="106"/>
    </row>
    <row r="188" spans="1:11">
      <c r="A188" s="106" t="s">
        <v>132</v>
      </c>
      <c r="B188" s="108">
        <v>5</v>
      </c>
      <c r="C188" s="135">
        <v>478.23</v>
      </c>
      <c r="D188" s="112">
        <f>D185</f>
        <v>1.48</v>
      </c>
      <c r="E188" s="112">
        <f t="shared" si="39"/>
        <v>479.71000000000004</v>
      </c>
      <c r="F188" s="107"/>
      <c r="G188" s="111"/>
      <c r="H188" s="112"/>
      <c r="I188" s="106"/>
      <c r="J188" s="106"/>
      <c r="K188" s="106"/>
    </row>
    <row r="189" spans="1:11">
      <c r="A189" s="106"/>
      <c r="B189" s="106"/>
      <c r="C189" s="150"/>
      <c r="D189" s="106"/>
      <c r="E189" s="107"/>
      <c r="F189" s="107"/>
      <c r="G189" s="107"/>
      <c r="H189" s="106"/>
      <c r="I189" s="106"/>
      <c r="J189" s="106"/>
      <c r="K189" s="106"/>
    </row>
    <row r="190" spans="1:11">
      <c r="A190" s="106"/>
      <c r="B190" s="106"/>
      <c r="C190" s="135"/>
      <c r="D190" s="106"/>
      <c r="E190" s="107"/>
      <c r="F190" s="107"/>
      <c r="G190" s="107"/>
      <c r="H190" s="106"/>
      <c r="I190" s="106"/>
      <c r="J190" s="106"/>
      <c r="K190" s="106"/>
    </row>
    <row r="191" spans="1:11">
      <c r="A191" s="106"/>
      <c r="B191" s="106"/>
      <c r="C191" s="135"/>
      <c r="D191" s="106"/>
      <c r="E191" s="107"/>
      <c r="F191" s="107"/>
      <c r="G191" s="107"/>
      <c r="H191" s="106"/>
      <c r="I191" s="106"/>
      <c r="J191" s="106"/>
      <c r="K191" s="106"/>
    </row>
    <row r="192" spans="1:11">
      <c r="A192" s="106"/>
      <c r="B192" s="106"/>
      <c r="C192" s="150"/>
      <c r="D192" s="106"/>
      <c r="E192" s="107"/>
      <c r="F192" s="107"/>
      <c r="G192" s="107"/>
      <c r="H192" s="106"/>
      <c r="I192" s="106"/>
      <c r="J192" s="106"/>
      <c r="K192" s="106"/>
    </row>
    <row r="193" spans="1:11">
      <c r="A193" s="107"/>
      <c r="B193" s="107"/>
      <c r="C193" s="150"/>
      <c r="D193" s="106"/>
      <c r="E193" s="107"/>
      <c r="F193" s="107"/>
      <c r="G193" s="107"/>
      <c r="H193" s="106"/>
      <c r="I193" s="106"/>
      <c r="J193" s="106"/>
      <c r="K193" s="106"/>
    </row>
    <row r="194" spans="1:11">
      <c r="A194" s="106"/>
      <c r="B194" s="106"/>
      <c r="C194" s="150"/>
      <c r="D194" s="106"/>
      <c r="E194" s="107"/>
      <c r="F194" s="107"/>
      <c r="G194" s="107"/>
      <c r="H194" s="106"/>
      <c r="I194" s="106"/>
      <c r="J194" s="106"/>
      <c r="K194" s="106"/>
    </row>
    <row r="195" spans="1:11">
      <c r="A195" s="110"/>
      <c r="B195" s="106"/>
      <c r="C195" s="150"/>
      <c r="D195" s="106"/>
      <c r="E195" s="107"/>
      <c r="F195" s="107"/>
      <c r="G195" s="107"/>
      <c r="H195" s="106"/>
      <c r="I195" s="106"/>
      <c r="J195" s="106"/>
      <c r="K195" s="106"/>
    </row>
    <row r="196" spans="1:11">
      <c r="A196" s="110"/>
      <c r="B196" s="106"/>
      <c r="C196" s="150"/>
      <c r="D196" s="106"/>
      <c r="E196" s="107"/>
      <c r="F196" s="107"/>
      <c r="G196" s="107"/>
      <c r="H196" s="106"/>
      <c r="I196" s="106"/>
      <c r="J196" s="106"/>
      <c r="K196" s="106"/>
    </row>
  </sheetData>
  <pageMargins left="0.7" right="0.7" top="0.75" bottom="0.75" header="0.3" footer="0.3"/>
  <pageSetup scale="85" orientation="portrait" r:id="rId1"/>
  <headerFooter>
    <oddFooter>&amp;L&amp;F - &amp;A&amp;C&amp;D&amp;R&amp;P of &amp;N</oddFooter>
  </headerFooter>
  <rowBreaks count="3" manualBreakCount="3">
    <brk id="51" max="16383" man="1"/>
    <brk id="103" max="16383" man="1"/>
    <brk id="153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3"/>
  <sheetViews>
    <sheetView topLeftCell="A64" workbookViewId="0">
      <selection activeCell="C82" sqref="C82"/>
    </sheetView>
  </sheetViews>
  <sheetFormatPr defaultColWidth="9.1796875" defaultRowHeight="14.5"/>
  <cols>
    <col min="1" max="1" width="33.7265625" style="344" customWidth="1"/>
    <col min="2" max="2" width="13.1796875" style="344" customWidth="1"/>
    <col min="3" max="3" width="5.81640625" style="344" customWidth="1"/>
    <col min="4" max="4" width="11.54296875" style="344" bestFit="1" customWidth="1"/>
    <col min="5" max="5" width="6.7265625" style="344" customWidth="1"/>
    <col min="6" max="6" width="11.1796875" style="344" customWidth="1"/>
    <col min="7" max="7" width="9.1796875" style="344"/>
    <col min="8" max="8" width="2.453125" style="344" customWidth="1"/>
    <col min="9" max="9" width="9.1796875" style="344"/>
    <col min="10" max="10" width="16.1796875" style="344" customWidth="1"/>
    <col min="11" max="16384" width="9.1796875" style="344"/>
  </cols>
  <sheetData>
    <row r="1" spans="1:10">
      <c r="A1" s="352" t="s">
        <v>98</v>
      </c>
    </row>
    <row r="2" spans="1:10">
      <c r="A2" s="25" t="s">
        <v>884</v>
      </c>
    </row>
    <row r="3" spans="1:10">
      <c r="A3" s="25" t="s">
        <v>885</v>
      </c>
    </row>
    <row r="4" spans="1:10">
      <c r="B4" s="195" t="s">
        <v>686</v>
      </c>
      <c r="D4" s="195" t="s">
        <v>886</v>
      </c>
    </row>
    <row r="5" spans="1:10">
      <c r="B5" s="342" t="s">
        <v>687</v>
      </c>
      <c r="D5" s="343" t="s">
        <v>887</v>
      </c>
      <c r="F5" s="343" t="s">
        <v>704</v>
      </c>
      <c r="J5" s="195"/>
    </row>
    <row r="6" spans="1:10">
      <c r="A6" s="344" t="s">
        <v>269</v>
      </c>
    </row>
    <row r="7" spans="1:10">
      <c r="A7" s="344" t="s">
        <v>144</v>
      </c>
      <c r="B7" s="345">
        <f>'Murrey''s Rev 2015'!N300</f>
        <v>7809281.6476947553</v>
      </c>
      <c r="D7" s="345"/>
      <c r="E7" s="345"/>
      <c r="F7" s="345"/>
      <c r="G7" s="345"/>
      <c r="H7" s="345"/>
      <c r="J7" s="345"/>
    </row>
    <row r="8" spans="1:10">
      <c r="A8" s="344" t="s">
        <v>284</v>
      </c>
      <c r="B8" s="345">
        <f>'Murrey''s Rev 2015'!N301</f>
        <v>2869900.042305246</v>
      </c>
      <c r="D8" s="345"/>
      <c r="E8" s="345"/>
      <c r="F8" s="345"/>
      <c r="G8" s="345"/>
      <c r="H8" s="345"/>
      <c r="J8" s="345"/>
    </row>
    <row r="9" spans="1:10">
      <c r="A9" s="344" t="s">
        <v>299</v>
      </c>
      <c r="B9" s="345">
        <f>'Murrey''s Rev 2015'!N302</f>
        <v>1588699.7400000002</v>
      </c>
      <c r="D9" s="345"/>
      <c r="E9" s="345"/>
      <c r="F9" s="345"/>
      <c r="G9" s="345"/>
      <c r="H9" s="345"/>
      <c r="J9" s="345"/>
    </row>
    <row r="10" spans="1:10">
      <c r="A10" s="25" t="s">
        <v>688</v>
      </c>
      <c r="B10" s="196">
        <f>SUM(B7:B9)</f>
        <v>12267881.430000002</v>
      </c>
      <c r="D10" s="345">
        <f>'Murrey''s IS'!AE16+'Murrey''s IS'!AE17</f>
        <v>12226955.690000001</v>
      </c>
      <c r="E10" s="345"/>
      <c r="F10" s="345">
        <f>B10-D10</f>
        <v>40925.740000000224</v>
      </c>
      <c r="G10" s="345"/>
      <c r="H10" s="345"/>
      <c r="J10" s="345"/>
    </row>
    <row r="11" spans="1:10">
      <c r="B11" s="346"/>
      <c r="D11" s="345"/>
      <c r="E11" s="345"/>
      <c r="F11" s="345"/>
      <c r="G11" s="345"/>
      <c r="H11" s="345"/>
      <c r="J11" s="345"/>
    </row>
    <row r="12" spans="1:10">
      <c r="D12" s="345"/>
      <c r="E12" s="345"/>
      <c r="F12" s="345"/>
      <c r="G12" s="345"/>
      <c r="H12" s="345"/>
      <c r="J12" s="345"/>
    </row>
    <row r="13" spans="1:10">
      <c r="A13" s="25" t="s">
        <v>648</v>
      </c>
      <c r="D13" s="345"/>
      <c r="E13" s="345"/>
      <c r="F13" s="345"/>
      <c r="G13" s="345"/>
      <c r="H13" s="345"/>
      <c r="J13" s="345"/>
    </row>
    <row r="14" spans="1:10">
      <c r="A14" s="344" t="s">
        <v>144</v>
      </c>
      <c r="B14" s="345">
        <f>'Murrey''s Rev 2015'!Q300</f>
        <v>4547033.8604553994</v>
      </c>
      <c r="D14" s="345"/>
      <c r="E14" s="345"/>
      <c r="F14" s="345"/>
      <c r="G14" s="345"/>
      <c r="H14" s="345"/>
      <c r="J14" s="345"/>
    </row>
    <row r="15" spans="1:10">
      <c r="A15" s="344" t="s">
        <v>284</v>
      </c>
      <c r="B15" s="345">
        <f>'Murrey''s Rev 2015'!Q301</f>
        <v>518476.94954460225</v>
      </c>
      <c r="D15" s="345"/>
      <c r="E15" s="345"/>
      <c r="F15" s="345"/>
      <c r="G15" s="345"/>
      <c r="H15" s="345"/>
      <c r="J15" s="345"/>
    </row>
    <row r="16" spans="1:10">
      <c r="A16" s="344" t="s">
        <v>455</v>
      </c>
      <c r="B16" s="345">
        <f>'Murrey''s Rev 2015'!Q302</f>
        <v>99661.85</v>
      </c>
      <c r="D16" s="345"/>
      <c r="E16" s="345"/>
      <c r="F16" s="345"/>
      <c r="G16" s="345"/>
      <c r="H16" s="345"/>
      <c r="J16" s="345"/>
    </row>
    <row r="17" spans="1:10">
      <c r="A17" s="25" t="s">
        <v>688</v>
      </c>
      <c r="B17" s="196">
        <f>SUM(B14:B16)</f>
        <v>5165172.6600000011</v>
      </c>
      <c r="D17" s="345">
        <f>'Murrey''s IS'!AE18+'Murrey''s IS'!AE19</f>
        <v>5205370.9500000011</v>
      </c>
      <c r="E17" s="345"/>
      <c r="F17" s="345">
        <f>B17-D17</f>
        <v>-40198.290000000037</v>
      </c>
      <c r="G17" s="345"/>
      <c r="H17" s="345"/>
      <c r="J17" s="345"/>
    </row>
    <row r="18" spans="1:10">
      <c r="A18" s="25"/>
      <c r="B18" s="196"/>
      <c r="D18" s="345"/>
      <c r="E18" s="345"/>
      <c r="F18" s="345"/>
      <c r="G18" s="345"/>
      <c r="H18" s="345"/>
      <c r="J18" s="345"/>
    </row>
    <row r="19" spans="1:10">
      <c r="B19" s="345"/>
      <c r="D19" s="345"/>
      <c r="E19" s="345"/>
      <c r="F19" s="345"/>
      <c r="G19" s="345"/>
      <c r="H19" s="345"/>
      <c r="J19" s="345"/>
    </row>
    <row r="20" spans="1:10">
      <c r="A20" s="344" t="s">
        <v>689</v>
      </c>
      <c r="B20" s="347">
        <f>'Murrey''s Rev 2015'!R303</f>
        <v>1706678.76</v>
      </c>
      <c r="D20" s="345">
        <f>'Murrey''s IS'!AE11+'Murrey''s IS'!AE15</f>
        <v>1706680.31</v>
      </c>
      <c r="E20" s="345"/>
      <c r="F20" s="346">
        <f>B20-D20</f>
        <v>-1.5500000000465661</v>
      </c>
      <c r="G20" s="345"/>
      <c r="H20" s="345"/>
      <c r="J20" s="345"/>
    </row>
    <row r="21" spans="1:10">
      <c r="A21" s="23" t="s">
        <v>890</v>
      </c>
      <c r="B21" s="347"/>
      <c r="D21" s="345">
        <f>'Murrey''s IS'!AE14</f>
        <v>2582.64</v>
      </c>
      <c r="E21" s="345"/>
      <c r="F21" s="346">
        <f>B21-D21</f>
        <v>-2582.64</v>
      </c>
      <c r="G21" s="345"/>
      <c r="H21" s="345"/>
      <c r="J21" s="345"/>
    </row>
    <row r="22" spans="1:10">
      <c r="B22" s="347"/>
      <c r="D22" s="345"/>
      <c r="E22" s="345"/>
      <c r="F22" s="345"/>
      <c r="G22" s="345"/>
      <c r="H22" s="345"/>
      <c r="J22" s="345"/>
    </row>
    <row r="23" spans="1:10">
      <c r="A23" s="344" t="s">
        <v>690</v>
      </c>
      <c r="B23" s="345">
        <f>'Murrey''s Rev 2015'!S303</f>
        <v>3527070.8000000003</v>
      </c>
      <c r="D23" s="345">
        <f>'Murrey''s IS'!AE12</f>
        <v>3527035.16</v>
      </c>
      <c r="E23" s="345"/>
      <c r="F23" s="345">
        <f>B23-D23</f>
        <v>35.640000000130385</v>
      </c>
      <c r="G23" s="345"/>
      <c r="H23" s="345"/>
      <c r="J23" s="345"/>
    </row>
    <row r="24" spans="1:10">
      <c r="D24" s="345"/>
      <c r="E24" s="345"/>
      <c r="F24" s="345"/>
      <c r="G24" s="345"/>
      <c r="H24" s="345"/>
      <c r="J24" s="345"/>
    </row>
    <row r="25" spans="1:10">
      <c r="A25" s="25" t="s">
        <v>701</v>
      </c>
      <c r="B25" s="197">
        <f>SUM(B10+B17+B20+B23)</f>
        <v>22666803.650000006</v>
      </c>
      <c r="C25" s="25"/>
      <c r="D25" s="196">
        <f>SUM(D10+D17+D20+D21+D23)</f>
        <v>22668624.75</v>
      </c>
      <c r="E25" s="196"/>
      <c r="F25" s="345">
        <f>B25-D25</f>
        <v>-1821.0999999940395</v>
      </c>
      <c r="G25" s="345"/>
      <c r="H25" s="345"/>
      <c r="J25" s="196"/>
    </row>
    <row r="26" spans="1:10">
      <c r="A26" t="s">
        <v>891</v>
      </c>
      <c r="B26" s="346">
        <v>2583</v>
      </c>
      <c r="D26" s="345"/>
      <c r="E26" s="345"/>
      <c r="F26" s="345">
        <f>B26-D26</f>
        <v>2583</v>
      </c>
      <c r="G26" s="345"/>
      <c r="H26" s="345"/>
      <c r="J26" s="345"/>
    </row>
    <row r="27" spans="1:10">
      <c r="A27" s="25" t="s">
        <v>641</v>
      </c>
      <c r="B27" s="197">
        <f>SUM(B25:B26)</f>
        <v>22669386.650000006</v>
      </c>
      <c r="D27" s="197">
        <f>SUM(D25:D26)</f>
        <v>22668624.75</v>
      </c>
      <c r="E27" s="345"/>
      <c r="F27" s="197">
        <f>SUM(F25:F26)</f>
        <v>761.90000000596046</v>
      </c>
      <c r="G27" s="348">
        <f>F27/D27</f>
        <v>3.3610331831266497E-5</v>
      </c>
      <c r="H27" s="345"/>
      <c r="J27" s="197"/>
    </row>
    <row r="28" spans="1:10">
      <c r="A28" s="25"/>
      <c r="B28" s="197"/>
      <c r="D28" s="197"/>
      <c r="E28" s="345"/>
      <c r="F28" s="197"/>
      <c r="G28" s="348"/>
      <c r="H28" s="345"/>
    </row>
    <row r="29" spans="1:10">
      <c r="A29" s="25" t="s">
        <v>700</v>
      </c>
      <c r="D29" s="345"/>
      <c r="E29" s="345"/>
      <c r="F29" s="345"/>
      <c r="G29" s="345"/>
      <c r="H29" s="345"/>
    </row>
    <row r="30" spans="1:10">
      <c r="A30" s="344" t="s">
        <v>698</v>
      </c>
      <c r="B30" s="346">
        <f>'Murrey''s Rev 2015'!N306</f>
        <v>-296675.71499999997</v>
      </c>
      <c r="F30" s="345"/>
    </row>
    <row r="31" spans="1:10">
      <c r="A31" s="344" t="s">
        <v>693</v>
      </c>
      <c r="B31" s="346">
        <f>'Murrey''s Rev 2015'!N307</f>
        <v>-13273.119999999999</v>
      </c>
    </row>
    <row r="32" spans="1:10">
      <c r="A32" s="344" t="s">
        <v>694</v>
      </c>
      <c r="B32" s="346">
        <f>'Murrey''s Rev 2015'!N308</f>
        <v>-26011.089999999997</v>
      </c>
      <c r="F32" s="345"/>
    </row>
    <row r="33" spans="1:10">
      <c r="A33" s="344" t="s">
        <v>695</v>
      </c>
      <c r="B33" s="346">
        <f>'Murrey''s Rev 2015'!N309</f>
        <v>-9439.93</v>
      </c>
    </row>
    <row r="34" spans="1:10">
      <c r="A34" s="25" t="s">
        <v>17</v>
      </c>
      <c r="B34" s="198">
        <f>SUM(B30:B33)</f>
        <v>-345399.85499999992</v>
      </c>
    </row>
    <row r="36" spans="1:10">
      <c r="A36" s="25" t="s">
        <v>691</v>
      </c>
      <c r="B36" s="198">
        <f>B25+B34</f>
        <v>22321403.795000006</v>
      </c>
    </row>
    <row r="38" spans="1:10">
      <c r="A38" s="349"/>
      <c r="B38" s="350"/>
      <c r="C38" s="349"/>
      <c r="D38" s="349"/>
      <c r="E38" s="349"/>
      <c r="F38" s="349"/>
      <c r="G38" s="349"/>
    </row>
    <row r="39" spans="1:10">
      <c r="A39" s="352" t="s">
        <v>99</v>
      </c>
    </row>
    <row r="40" spans="1:10">
      <c r="A40" s="25" t="s">
        <v>884</v>
      </c>
    </row>
    <row r="41" spans="1:10">
      <c r="A41" s="25" t="s">
        <v>885</v>
      </c>
    </row>
    <row r="43" spans="1:10">
      <c r="B43" s="195" t="s">
        <v>686</v>
      </c>
      <c r="D43" s="195" t="s">
        <v>886</v>
      </c>
    </row>
    <row r="44" spans="1:10">
      <c r="B44" s="342" t="s">
        <v>687</v>
      </c>
      <c r="D44" s="343" t="s">
        <v>887</v>
      </c>
      <c r="F44" s="343" t="s">
        <v>704</v>
      </c>
    </row>
    <row r="45" spans="1:10">
      <c r="A45" s="344" t="s">
        <v>269</v>
      </c>
    </row>
    <row r="46" spans="1:10">
      <c r="A46" s="344" t="s">
        <v>144</v>
      </c>
      <c r="B46" s="345">
        <f>'American Rev 2015'!N294</f>
        <v>4159430.0580863962</v>
      </c>
      <c r="D46" s="345"/>
      <c r="E46" s="345"/>
      <c r="F46" s="345"/>
      <c r="G46" s="345"/>
      <c r="J46" s="345"/>
    </row>
    <row r="47" spans="1:10">
      <c r="A47" s="344" t="s">
        <v>284</v>
      </c>
      <c r="B47" s="345">
        <f>'American Rev 2015'!N295</f>
        <v>1539240.881913604</v>
      </c>
      <c r="D47" s="345"/>
      <c r="E47" s="345"/>
      <c r="F47" s="345"/>
      <c r="G47" s="345"/>
      <c r="J47" s="345"/>
    </row>
    <row r="48" spans="1:10">
      <c r="A48" s="344" t="s">
        <v>299</v>
      </c>
      <c r="B48" s="345">
        <f>'American Rev 2015'!N296</f>
        <v>667538.87</v>
      </c>
      <c r="D48" s="345"/>
      <c r="E48" s="345"/>
      <c r="F48" s="345"/>
      <c r="G48" s="345"/>
      <c r="J48" s="345"/>
    </row>
    <row r="49" spans="1:10">
      <c r="A49" s="25" t="s">
        <v>688</v>
      </c>
      <c r="B49" s="196">
        <f>SUM(B46:B48)</f>
        <v>6366209.8100000005</v>
      </c>
      <c r="D49" s="345">
        <f>'American IS'!AE14+'American IS'!AE15</f>
        <v>6365522.25</v>
      </c>
      <c r="E49" s="345"/>
      <c r="F49" s="345">
        <f>B49-D49</f>
        <v>687.56000000052154</v>
      </c>
      <c r="G49" s="345"/>
      <c r="J49" s="345"/>
    </row>
    <row r="50" spans="1:10">
      <c r="B50" s="346"/>
      <c r="D50" s="345"/>
      <c r="E50" s="345"/>
      <c r="F50" s="345"/>
      <c r="G50" s="345"/>
      <c r="J50" s="345"/>
    </row>
    <row r="51" spans="1:10">
      <c r="D51" s="345"/>
      <c r="E51" s="345"/>
      <c r="F51" s="345"/>
      <c r="G51" s="345"/>
      <c r="J51" s="345"/>
    </row>
    <row r="52" spans="1:10">
      <c r="A52" s="25" t="s">
        <v>648</v>
      </c>
      <c r="D52" s="345"/>
      <c r="E52" s="345"/>
      <c r="F52" s="345"/>
      <c r="G52" s="345"/>
      <c r="J52" s="345"/>
    </row>
    <row r="53" spans="1:10">
      <c r="A53" s="344" t="s">
        <v>144</v>
      </c>
      <c r="B53" s="345">
        <f>'American Rev 2015'!Q294</f>
        <v>1885931.9362052926</v>
      </c>
      <c r="D53" s="345"/>
      <c r="E53" s="345"/>
      <c r="F53" s="345"/>
      <c r="G53" s="345"/>
      <c r="J53" s="345"/>
    </row>
    <row r="54" spans="1:10">
      <c r="A54" s="344" t="s">
        <v>284</v>
      </c>
      <c r="B54" s="345">
        <f>'American Rev 2015'!Q295</f>
        <v>139201.85379470693</v>
      </c>
      <c r="D54" s="345"/>
      <c r="E54" s="345"/>
      <c r="F54" s="345"/>
      <c r="G54" s="345"/>
      <c r="J54" s="345"/>
    </row>
    <row r="55" spans="1:10">
      <c r="A55" s="25" t="s">
        <v>688</v>
      </c>
      <c r="B55" s="196">
        <f>SUM(B53:B54)</f>
        <v>2025133.7899999996</v>
      </c>
      <c r="D55" s="345">
        <f>'American IS'!AE16+'American IS'!AE17</f>
        <v>2024904.8499999996</v>
      </c>
      <c r="E55" s="345"/>
      <c r="F55" s="345">
        <f>B55-D55</f>
        <v>228.93999999994412</v>
      </c>
      <c r="G55" s="345"/>
      <c r="J55" s="345"/>
    </row>
    <row r="56" spans="1:10">
      <c r="A56" s="25"/>
      <c r="B56" s="196"/>
      <c r="D56" s="345"/>
      <c r="E56" s="345"/>
      <c r="F56" s="345"/>
      <c r="G56" s="345"/>
      <c r="J56" s="345"/>
    </row>
    <row r="57" spans="1:10">
      <c r="B57" s="345"/>
      <c r="D57" s="345"/>
      <c r="E57" s="345"/>
      <c r="F57" s="345"/>
      <c r="G57" s="345"/>
      <c r="J57" s="345"/>
    </row>
    <row r="58" spans="1:10">
      <c r="A58" s="344" t="s">
        <v>689</v>
      </c>
      <c r="B58" s="347">
        <f>'American Rev 2015'!R297</f>
        <v>231497.15</v>
      </c>
      <c r="D58" s="345">
        <f>'American IS'!AE11+'American IS'!AE13</f>
        <v>231456.6</v>
      </c>
      <c r="E58" s="345"/>
      <c r="F58" s="346">
        <f>B58-D58</f>
        <v>40.549999999988358</v>
      </c>
      <c r="G58" s="345"/>
      <c r="J58" s="345"/>
    </row>
    <row r="59" spans="1:10">
      <c r="A59" s="23" t="s">
        <v>890</v>
      </c>
      <c r="B59" s="347"/>
      <c r="D59" s="345">
        <v>2205</v>
      </c>
      <c r="E59" s="345"/>
      <c r="F59" s="346">
        <f>B59-D59</f>
        <v>-2205</v>
      </c>
      <c r="G59" s="345"/>
      <c r="J59" s="345"/>
    </row>
    <row r="60" spans="1:10">
      <c r="B60" s="347"/>
      <c r="D60" s="345"/>
      <c r="E60" s="345"/>
      <c r="F60" s="345"/>
      <c r="G60" s="345"/>
      <c r="J60" s="345"/>
    </row>
    <row r="61" spans="1:10">
      <c r="A61" s="344" t="s">
        <v>690</v>
      </c>
      <c r="B61" s="345">
        <f>'American Rev 2015'!S297</f>
        <v>625550.20000000007</v>
      </c>
      <c r="D61" s="345">
        <f>'American IS'!AE12</f>
        <v>625551.05999999994</v>
      </c>
      <c r="E61" s="345"/>
      <c r="F61" s="345">
        <f>B61-D61</f>
        <v>-0.85999999986961484</v>
      </c>
      <c r="G61" s="345"/>
      <c r="J61" s="345"/>
    </row>
    <row r="62" spans="1:10">
      <c r="D62" s="345"/>
      <c r="E62" s="345"/>
      <c r="F62" s="345"/>
      <c r="G62" s="345"/>
      <c r="J62" s="345"/>
    </row>
    <row r="63" spans="1:10">
      <c r="A63" s="25" t="s">
        <v>697</v>
      </c>
      <c r="B63" s="197">
        <f>SUM(B49+B55+B58+B61)</f>
        <v>9248390.9499999993</v>
      </c>
      <c r="C63" s="25"/>
      <c r="D63" s="197">
        <f>SUM(D49+D55+D58+D61+D59)</f>
        <v>9249639.7599999998</v>
      </c>
      <c r="E63" s="196"/>
      <c r="F63" s="197">
        <f>SUM(F49+F55+F58+F61+F59)</f>
        <v>-1248.8099999994156</v>
      </c>
      <c r="J63" s="197"/>
    </row>
    <row r="64" spans="1:10">
      <c r="A64" t="s">
        <v>891</v>
      </c>
      <c r="B64" s="430">
        <v>2205</v>
      </c>
      <c r="C64" s="25"/>
      <c r="D64" s="197"/>
      <c r="E64" s="196"/>
      <c r="F64" s="346">
        <f>B64-D64</f>
        <v>2205</v>
      </c>
      <c r="G64" s="351"/>
      <c r="J64" s="197"/>
    </row>
    <row r="65" spans="1:10">
      <c r="A65" s="25"/>
      <c r="B65" s="197">
        <f>B63+B64</f>
        <v>9250595.9499999993</v>
      </c>
      <c r="C65" s="25"/>
      <c r="D65" s="197">
        <f>D63+D64</f>
        <v>9249639.7599999998</v>
      </c>
      <c r="E65" s="196"/>
      <c r="F65" s="197">
        <f>SUM(F51+F57+F60+F63+F61+F64)</f>
        <v>955.33000000071479</v>
      </c>
      <c r="G65" s="351">
        <f>F65/D65</f>
        <v>1.0328294125918638E-4</v>
      </c>
      <c r="J65" s="197"/>
    </row>
    <row r="66" spans="1:10">
      <c r="B66" s="346"/>
      <c r="D66" s="345"/>
      <c r="E66" s="345"/>
      <c r="F66" s="345"/>
      <c r="G66" s="345"/>
      <c r="J66" s="345"/>
    </row>
    <row r="67" spans="1:10">
      <c r="A67" s="25" t="s">
        <v>700</v>
      </c>
      <c r="D67" s="345"/>
      <c r="E67" s="345"/>
      <c r="F67" s="345"/>
      <c r="G67" s="345"/>
      <c r="J67" s="345"/>
    </row>
    <row r="68" spans="1:10">
      <c r="A68" s="344" t="s">
        <v>698</v>
      </c>
      <c r="B68" s="346">
        <f>'American Rev 2015'!N301</f>
        <v>-158776.23499999999</v>
      </c>
      <c r="F68" s="345"/>
    </row>
    <row r="69" spans="1:10">
      <c r="A69" s="344" t="s">
        <v>693</v>
      </c>
      <c r="B69" s="346">
        <f>'American Rev 2015'!N302</f>
        <v>-2157.2599999999998</v>
      </c>
    </row>
    <row r="70" spans="1:10">
      <c r="A70" s="344" t="s">
        <v>694</v>
      </c>
      <c r="B70" s="346">
        <f>'American Rev 2015'!N303</f>
        <v>-9072.2199999999993</v>
      </c>
      <c r="F70" s="345"/>
    </row>
    <row r="71" spans="1:10">
      <c r="A71" s="344" t="s">
        <v>695</v>
      </c>
      <c r="B71" s="346">
        <f>'American Rev 2015'!N304</f>
        <v>-1750.32</v>
      </c>
    </row>
    <row r="72" spans="1:10">
      <c r="A72" s="25" t="s">
        <v>17</v>
      </c>
      <c r="B72" s="198">
        <f>SUM(B68:B71)</f>
        <v>-171756.035</v>
      </c>
    </row>
    <row r="74" spans="1:10">
      <c r="A74" s="25" t="s">
        <v>691</v>
      </c>
      <c r="B74" s="198">
        <f>B63+B72</f>
        <v>9076634.9149999991</v>
      </c>
    </row>
    <row r="76" spans="1:10">
      <c r="A76" s="349"/>
      <c r="B76" s="350"/>
      <c r="C76" s="349"/>
      <c r="D76" s="349"/>
      <c r="E76" s="349"/>
      <c r="F76" s="349"/>
      <c r="G76" s="349"/>
    </row>
    <row r="78" spans="1:10">
      <c r="A78" s="344" t="s">
        <v>883</v>
      </c>
      <c r="B78" s="353" t="s">
        <v>667</v>
      </c>
      <c r="C78" s="195"/>
      <c r="D78" s="195" t="s">
        <v>444</v>
      </c>
      <c r="F78" s="346"/>
    </row>
    <row r="80" spans="1:10">
      <c r="A80" s="344" t="s">
        <v>14</v>
      </c>
      <c r="B80" s="345">
        <f>B7</f>
        <v>7809281.6476947553</v>
      </c>
      <c r="C80" s="351">
        <f>'DF Calculation'!U19/B80</f>
        <v>3.1027058833209093E-3</v>
      </c>
      <c r="D80" s="345">
        <f>B46</f>
        <v>4159430.0580863962</v>
      </c>
      <c r="E80" s="351">
        <f>'DF Calculation'!X19/D80</f>
        <v>3.0998148654760873E-3</v>
      </c>
    </row>
    <row r="81" spans="1:5">
      <c r="A81" s="344" t="s">
        <v>258</v>
      </c>
      <c r="B81" s="345">
        <f>SUM('Murrey''s Rev 2015'!Q55:Q112)+'Murrey''s Rev 2015'!Q258+'Murrey''s Rev 2015'!Q259</f>
        <v>1208334.090455398</v>
      </c>
      <c r="C81" s="351">
        <f>'DF Calculation'!U53/B81</f>
        <v>3.1351106900032667E-3</v>
      </c>
      <c r="D81" s="345">
        <f>SUM('American Rev 2015'!Q58:Q112)+'American Rev 2015'!Q280</f>
        <v>373243.52620529308</v>
      </c>
      <c r="E81" s="351">
        <f>'DF Calculation'!X53/D81</f>
        <v>3.1584732404485337E-3</v>
      </c>
    </row>
    <row r="82" spans="1:5">
      <c r="A82" s="344" t="s">
        <v>15</v>
      </c>
      <c r="B82" s="345">
        <f>'Murrey''s Rev 2015'!Q289-B81</f>
        <v>3338699.7700000014</v>
      </c>
      <c r="C82" s="351">
        <f>'DF Calculation'!U104/B82</f>
        <v>3.2536652141204807E-3</v>
      </c>
      <c r="D82" s="345">
        <f>'American Rev 2015'!Q294-D81</f>
        <v>1512688.4099999995</v>
      </c>
      <c r="E82" s="351">
        <f>'DF Calculation'!X104/D82</f>
        <v>3.2476037254779897E-3</v>
      </c>
    </row>
    <row r="83" spans="1:5">
      <c r="B83" s="345"/>
      <c r="C83" s="351"/>
      <c r="D83" s="345"/>
    </row>
  </sheetData>
  <pageMargins left="0.7" right="0.7" top="0.75" bottom="0.75" header="0.3" footer="0.3"/>
  <pageSetup scale="57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W333"/>
  <sheetViews>
    <sheetView zoomScaleNormal="100" workbookViewId="0">
      <selection activeCell="A266" activeCellId="1" sqref="A243:B243 A266:B266"/>
    </sheetView>
  </sheetViews>
  <sheetFormatPr defaultColWidth="9.1796875" defaultRowHeight="13"/>
  <cols>
    <col min="1" max="1" width="20" style="378" customWidth="1"/>
    <col min="2" max="2" width="25.7265625" style="378" customWidth="1"/>
    <col min="3" max="3" width="9" style="378" bestFit="1" customWidth="1"/>
    <col min="4" max="4" width="12.453125" style="378" bestFit="1" customWidth="1"/>
    <col min="5" max="5" width="2.1796875" style="378" customWidth="1"/>
    <col min="6" max="6" width="10.1796875" style="378" bestFit="1" customWidth="1"/>
    <col min="7" max="7" width="13.54296875" style="378" bestFit="1" customWidth="1"/>
    <col min="8" max="8" width="2" style="378" customWidth="1"/>
    <col min="9" max="9" width="15.1796875" style="378" bestFit="1" customWidth="1"/>
    <col min="10" max="11" width="9.453125" style="378" bestFit="1" customWidth="1"/>
    <col min="12" max="12" width="3.7265625" style="378" customWidth="1"/>
    <col min="13" max="13" width="12.453125" style="378" bestFit="1" customWidth="1"/>
    <col min="14" max="14" width="15.453125" style="378" bestFit="1" customWidth="1"/>
    <col min="15" max="15" width="11" style="378" bestFit="1" customWidth="1"/>
    <col min="16" max="19" width="12.453125" style="378" bestFit="1" customWidth="1"/>
    <col min="20" max="20" width="10" style="378" bestFit="1" customWidth="1"/>
    <col min="21" max="21" width="9.81640625" style="389" bestFit="1" customWidth="1"/>
    <col min="22" max="22" width="16.54296875" style="378" customWidth="1"/>
    <col min="23" max="23" width="13.81640625" style="378" customWidth="1"/>
    <col min="24" max="16384" width="9.1796875" style="378"/>
  </cols>
  <sheetData>
    <row r="1" spans="1:22">
      <c r="A1" s="354" t="s">
        <v>98</v>
      </c>
      <c r="B1" s="354"/>
      <c r="C1" s="377"/>
      <c r="E1" s="355"/>
      <c r="F1" s="379"/>
      <c r="I1" s="380" t="s">
        <v>445</v>
      </c>
      <c r="J1" s="380"/>
      <c r="K1" s="380"/>
      <c r="L1" s="381"/>
      <c r="M1" s="382"/>
      <c r="N1" s="382"/>
      <c r="O1" s="382"/>
      <c r="P1" s="382"/>
      <c r="Q1" s="382"/>
      <c r="R1" s="382"/>
      <c r="S1" s="383"/>
      <c r="T1" s="383"/>
      <c r="U1" s="380"/>
      <c r="V1" s="383"/>
    </row>
    <row r="2" spans="1:22">
      <c r="A2" s="354" t="s">
        <v>888</v>
      </c>
      <c r="B2" s="356"/>
      <c r="C2" s="377"/>
      <c r="E2" s="357"/>
      <c r="F2" s="379"/>
      <c r="I2" s="380"/>
      <c r="J2" s="380"/>
      <c r="K2" s="380"/>
      <c r="L2" s="380"/>
      <c r="M2" s="382"/>
      <c r="N2" s="382"/>
      <c r="O2" s="382"/>
      <c r="P2" s="382"/>
      <c r="Q2" s="382"/>
      <c r="R2" s="382"/>
      <c r="S2" s="383"/>
      <c r="T2" s="383"/>
      <c r="U2" s="382"/>
      <c r="V2" s="384"/>
    </row>
    <row r="3" spans="1:22">
      <c r="A3" s="354" t="s">
        <v>885</v>
      </c>
      <c r="B3" s="358"/>
      <c r="C3" s="385">
        <v>2015</v>
      </c>
      <c r="D3" s="386"/>
      <c r="E3" s="359"/>
      <c r="F3" s="385">
        <v>2015</v>
      </c>
      <c r="G3" s="385"/>
      <c r="H3" s="385"/>
      <c r="I3" s="382" t="s">
        <v>17</v>
      </c>
      <c r="J3" s="382" t="s">
        <v>17</v>
      </c>
      <c r="K3" s="382" t="s">
        <v>274</v>
      </c>
      <c r="L3" s="380"/>
      <c r="M3" s="382" t="s">
        <v>446</v>
      </c>
      <c r="N3" s="382" t="s">
        <v>447</v>
      </c>
      <c r="O3" s="382" t="s">
        <v>258</v>
      </c>
      <c r="P3" s="382" t="s">
        <v>446</v>
      </c>
      <c r="Q3" s="382" t="s">
        <v>448</v>
      </c>
      <c r="R3" s="382"/>
      <c r="S3" s="383"/>
      <c r="T3" s="383"/>
      <c r="U3" s="380"/>
      <c r="V3" s="383"/>
    </row>
    <row r="4" spans="1:22">
      <c r="A4" s="360"/>
      <c r="B4" s="360"/>
      <c r="C4" s="361" t="s">
        <v>449</v>
      </c>
      <c r="D4" s="361" t="s">
        <v>449</v>
      </c>
      <c r="E4" s="362"/>
      <c r="F4" s="387" t="s">
        <v>450</v>
      </c>
      <c r="G4" s="361" t="s">
        <v>450</v>
      </c>
      <c r="H4" s="361"/>
      <c r="I4" s="382" t="s">
        <v>83</v>
      </c>
      <c r="J4" s="382" t="s">
        <v>84</v>
      </c>
      <c r="K4" s="382" t="s">
        <v>84</v>
      </c>
      <c r="L4" s="382"/>
      <c r="M4" s="382" t="s">
        <v>284</v>
      </c>
      <c r="N4" s="382"/>
      <c r="O4" s="382" t="s">
        <v>451</v>
      </c>
      <c r="P4" s="382" t="s">
        <v>452</v>
      </c>
      <c r="Q4" s="382" t="s">
        <v>452</v>
      </c>
      <c r="R4" s="382" t="s">
        <v>453</v>
      </c>
      <c r="S4" s="384" t="s">
        <v>454</v>
      </c>
      <c r="T4" s="384" t="s">
        <v>455</v>
      </c>
      <c r="U4" s="382" t="s">
        <v>17</v>
      </c>
      <c r="V4" s="384"/>
    </row>
    <row r="5" spans="1:22">
      <c r="A5" s="366" t="s">
        <v>164</v>
      </c>
      <c r="B5" s="366" t="s">
        <v>164</v>
      </c>
      <c r="C5" s="361" t="s">
        <v>456</v>
      </c>
      <c r="D5" s="363" t="s">
        <v>83</v>
      </c>
      <c r="E5" s="355"/>
      <c r="F5" s="387" t="s">
        <v>456</v>
      </c>
      <c r="G5" s="363" t="s">
        <v>83</v>
      </c>
      <c r="H5" s="361"/>
      <c r="I5" s="388" t="s">
        <v>668</v>
      </c>
      <c r="J5" s="388" t="s">
        <v>669</v>
      </c>
      <c r="K5" s="388" t="s">
        <v>670</v>
      </c>
      <c r="M5" s="389"/>
    </row>
    <row r="6" spans="1:22">
      <c r="A6" s="356" t="s">
        <v>457</v>
      </c>
      <c r="B6" s="356" t="s">
        <v>282</v>
      </c>
      <c r="C6" s="390">
        <v>-2.0499999999999998</v>
      </c>
      <c r="D6" s="391">
        <v>-167331.04499999998</v>
      </c>
      <c r="F6" s="390">
        <v>-0.49</v>
      </c>
      <c r="G6" s="391">
        <f>'[12]Murrey''s 3-15'!C6+'[12]Murrrey''s 4-15'!C6+'[12]Murrey''s 5-15'!C6+'[12]Murrey''s 6-15'!C6+'[12]Murrey''s 7-15'!C6+'[12]Murrey''s 8-15'!C6+'[12]Murrey''s 9-15'!C6+'[12]Murrey''s 10-15'!C6+'[12]Murrey''s 11-15'!C6+'[12]Murrey''s 12-15'!C6</f>
        <v>-129344.66999999998</v>
      </c>
      <c r="I6" s="392">
        <f>D6+G6</f>
        <v>-296675.71499999997</v>
      </c>
      <c r="J6" s="389">
        <f>D6/C6+G6/F6</f>
        <v>345593.61428571423</v>
      </c>
      <c r="K6" s="389">
        <f>ROUND(J6/12,0)</f>
        <v>28799</v>
      </c>
      <c r="U6" s="389">
        <f t="shared" ref="U6:U48" si="0">SUM(M6:S6)</f>
        <v>0</v>
      </c>
    </row>
    <row r="7" spans="1:22">
      <c r="A7" s="356" t="s">
        <v>458</v>
      </c>
      <c r="B7" s="356" t="s">
        <v>283</v>
      </c>
      <c r="C7" s="390">
        <v>7.1</v>
      </c>
      <c r="D7" s="391">
        <v>565610.71499999997</v>
      </c>
      <c r="F7" s="390">
        <v>7.1</v>
      </c>
      <c r="G7" s="391">
        <f>'[12]Murrey''s 3-15'!C7+'[12]Murrrey''s 4-15'!C7+'[12]Murrey''s 5-15'!C7+'[12]Murrey''s 6-15'!C7+'[12]Murrey''s 7-15'!C7+'[12]Murrey''s 8-15'!C7+'[12]Murrey''s 9-15'!C7+'[12]Murrey''s 10-15'!C7+'[12]Murrey''s 11-15'!C7+'[12]Murrey''s 12-15'!C7</f>
        <v>2201468.585</v>
      </c>
      <c r="I7" s="391">
        <f t="shared" ref="I7:I8" si="1">D7+G7</f>
        <v>2767079.3</v>
      </c>
      <c r="J7" s="389">
        <f t="shared" ref="J7:J8" si="2">D7/C7+G7/F7</f>
        <v>389729.47887323948</v>
      </c>
      <c r="K7" s="389">
        <f>ROUND(J7/12,0)</f>
        <v>32477</v>
      </c>
      <c r="M7" s="391">
        <f>I7</f>
        <v>2767079.3</v>
      </c>
      <c r="U7" s="389">
        <f t="shared" si="0"/>
        <v>2767079.3</v>
      </c>
      <c r="V7" s="391"/>
    </row>
    <row r="8" spans="1:22">
      <c r="A8" s="356" t="s">
        <v>459</v>
      </c>
      <c r="B8" s="356" t="s">
        <v>284</v>
      </c>
      <c r="C8" s="390">
        <v>7.1</v>
      </c>
      <c r="D8" s="391">
        <v>13267.269999999999</v>
      </c>
      <c r="F8" s="390">
        <v>7.1</v>
      </c>
      <c r="G8" s="391">
        <f>'[12]Murrey''s 3-15'!C8+'[12]Murrrey''s 4-15'!C8+'[12]Murrey''s 5-15'!C8+'[12]Murrey''s 6-15'!C8+'[12]Murrey''s 7-15'!C8+'[12]Murrey''s 8-15'!C8+'[12]Murrey''s 9-15'!C8+'[12]Murrey''s 10-15'!C8+'[12]Murrey''s 11-15'!C8+'[12]Murrey''s 12-15'!C8</f>
        <v>47240.130000000005</v>
      </c>
      <c r="I8" s="391">
        <f t="shared" si="1"/>
        <v>60507.4</v>
      </c>
      <c r="J8" s="389">
        <f t="shared" si="2"/>
        <v>8522.1690140845076</v>
      </c>
      <c r="K8" s="389">
        <f>ROUND(J8/12,0)</f>
        <v>710</v>
      </c>
      <c r="M8" s="391">
        <f>I8</f>
        <v>60507.4</v>
      </c>
      <c r="U8" s="389">
        <f t="shared" si="0"/>
        <v>60507.4</v>
      </c>
      <c r="V8" s="391"/>
    </row>
    <row r="9" spans="1:22">
      <c r="A9" s="356"/>
      <c r="B9" s="356"/>
      <c r="C9" s="379"/>
      <c r="F9" s="379"/>
      <c r="U9" s="389">
        <f t="shared" si="0"/>
        <v>0</v>
      </c>
      <c r="V9" s="391"/>
    </row>
    <row r="10" spans="1:22">
      <c r="A10" s="356" t="s">
        <v>460</v>
      </c>
      <c r="B10" s="356" t="s">
        <v>285</v>
      </c>
      <c r="C10" s="390">
        <v>10.3</v>
      </c>
      <c r="D10" s="391">
        <v>4336.6000000000004</v>
      </c>
      <c r="F10" s="390">
        <v>10.3</v>
      </c>
      <c r="G10" s="391">
        <f>'[12]Murrey''s 3-15'!C10+'[12]Murrrey''s 4-15'!C10+'[12]Murrey''s 5-15'!C10+'[12]Murrey''s 6-15'!C10+'[12]Murrey''s 7-15'!C10+'[12]Murrey''s 8-15'!C10+'[12]Murrey''s 9-15'!C10+'[12]Murrey''s 10-15'!C10+'[12]Murrey''s 11-15'!C10+'[12]Murrey''s 12-15'!C10</f>
        <v>16768.399999999998</v>
      </c>
      <c r="I10" s="391">
        <f>D10+G10</f>
        <v>21105</v>
      </c>
      <c r="J10" s="389">
        <f>D10/C10+G10/F10</f>
        <v>2049.029126213592</v>
      </c>
      <c r="K10" s="389">
        <f>ROUND(J10/12,0)</f>
        <v>171</v>
      </c>
      <c r="P10" s="391">
        <f>I10</f>
        <v>21105</v>
      </c>
      <c r="U10" s="389">
        <f t="shared" si="0"/>
        <v>21105</v>
      </c>
      <c r="V10" s="391"/>
    </row>
    <row r="11" spans="1:22">
      <c r="A11" s="356"/>
      <c r="B11" s="356"/>
      <c r="C11" s="379"/>
      <c r="F11" s="379"/>
      <c r="U11" s="389">
        <f t="shared" si="0"/>
        <v>0</v>
      </c>
      <c r="V11" s="391"/>
    </row>
    <row r="12" spans="1:22">
      <c r="A12" s="356" t="s">
        <v>461</v>
      </c>
      <c r="B12" s="356" t="s">
        <v>286</v>
      </c>
      <c r="C12" s="390">
        <v>4.07</v>
      </c>
      <c r="D12" s="391">
        <v>68711.100000000006</v>
      </c>
      <c r="F12" s="390">
        <v>4.1399999999999997</v>
      </c>
      <c r="G12" s="391">
        <f>'[12]Murrey''s 3-15'!C12+'[12]Murrrey''s 4-15'!C12+'[12]Murrey''s 5-15'!C12+'[12]Murrey''s 6-15'!C12+'[12]Murrey''s 7-15'!C12+'[12]Murrey''s 8-15'!C12+'[12]Murrey''s 9-15'!C12+'[12]Murrey''s 10-15'!C12+'[12]Murrey''s 11-15'!C12+'[12]Murrey''s 12-15'!C12</f>
        <v>384275.25000000006</v>
      </c>
      <c r="I12" s="391">
        <f t="shared" ref="I12:I19" si="3">D12+G12</f>
        <v>452986.35000000009</v>
      </c>
      <c r="J12" s="389">
        <f t="shared" ref="J12:J19" si="4">D12/C12+G12/F12</f>
        <v>109702.44284798634</v>
      </c>
      <c r="K12" s="389">
        <f t="shared" ref="K12:K19" si="5">ROUND(J12/12,0)</f>
        <v>9142</v>
      </c>
      <c r="P12" s="391">
        <f t="shared" ref="P12:P19" si="6">I12</f>
        <v>452986.35000000009</v>
      </c>
      <c r="U12" s="389">
        <f t="shared" si="0"/>
        <v>452986.35000000009</v>
      </c>
      <c r="V12" s="391"/>
    </row>
    <row r="13" spans="1:22">
      <c r="A13" s="356" t="s">
        <v>462</v>
      </c>
      <c r="B13" s="356" t="s">
        <v>287</v>
      </c>
      <c r="C13" s="390">
        <v>8.25</v>
      </c>
      <c r="D13" s="391">
        <v>321.75</v>
      </c>
      <c r="F13" s="390">
        <v>8.25</v>
      </c>
      <c r="G13" s="391">
        <f>'[12]Murrey''s 3-15'!C13+'[12]Murrrey''s 4-15'!C13+'[12]Murrey''s 5-15'!C13+'[12]Murrey''s 6-15'!C13+'[12]Murrey''s 7-15'!C13+'[12]Murrey''s 8-15'!C13+'[12]Murrey''s 9-15'!C13+'[12]Murrey''s 10-15'!C13+'[12]Murrey''s 11-15'!C13+'[12]Murrey''s 12-15'!C13</f>
        <v>1945.9</v>
      </c>
      <c r="I13" s="391">
        <f t="shared" si="3"/>
        <v>2267.65</v>
      </c>
      <c r="J13" s="389">
        <f t="shared" si="4"/>
        <v>274.86666666666667</v>
      </c>
      <c r="K13" s="389">
        <f t="shared" si="5"/>
        <v>23</v>
      </c>
      <c r="P13" s="391">
        <f t="shared" si="6"/>
        <v>2267.65</v>
      </c>
      <c r="U13" s="389">
        <f t="shared" si="0"/>
        <v>2267.65</v>
      </c>
      <c r="V13" s="391"/>
    </row>
    <row r="14" spans="1:22">
      <c r="A14" s="356" t="s">
        <v>463</v>
      </c>
      <c r="B14" s="356" t="s">
        <v>288</v>
      </c>
      <c r="C14" s="390">
        <v>4.62</v>
      </c>
      <c r="D14" s="391">
        <v>1899.825</v>
      </c>
      <c r="F14" s="390">
        <v>4.62</v>
      </c>
      <c r="G14" s="391">
        <f>'[12]Murrey''s 3-15'!C14+'[12]Murrrey''s 4-15'!C14+'[12]Murrey''s 5-15'!C14+'[12]Murrey''s 6-15'!C14+'[12]Murrey''s 7-15'!C14+'[12]Murrey''s 8-15'!C14+'[12]Murrey''s 9-15'!C14+'[12]Murrey''s 10-15'!C14+'[12]Murrey''s 11-15'!C14+'[12]Murrey''s 12-15'!C14</f>
        <v>7273.4899999999989</v>
      </c>
      <c r="I14" s="391">
        <f t="shared" si="3"/>
        <v>9173.3149999999987</v>
      </c>
      <c r="J14" s="389">
        <f t="shared" si="4"/>
        <v>1985.566017316017</v>
      </c>
      <c r="K14" s="389">
        <f t="shared" si="5"/>
        <v>165</v>
      </c>
      <c r="P14" s="391">
        <f t="shared" si="6"/>
        <v>9173.3149999999987</v>
      </c>
      <c r="U14" s="389">
        <f t="shared" si="0"/>
        <v>9173.3149999999987</v>
      </c>
      <c r="V14" s="391"/>
    </row>
    <row r="15" spans="1:22">
      <c r="A15" s="356" t="s">
        <v>464</v>
      </c>
      <c r="B15" s="356" t="s">
        <v>289</v>
      </c>
      <c r="C15" s="390">
        <v>2.06</v>
      </c>
      <c r="D15" s="391">
        <v>261.39</v>
      </c>
      <c r="F15" s="390">
        <v>2.06</v>
      </c>
      <c r="G15" s="391">
        <f>'[12]Murrey''s 3-15'!C15+'[12]Murrrey''s 4-15'!C15+'[12]Murrey''s 5-15'!C15+'[12]Murrey''s 6-15'!C15+'[12]Murrey''s 7-15'!C15+'[12]Murrey''s 8-15'!C15+'[12]Murrey''s 9-15'!C15+'[12]Murrey''s 10-15'!C15+'[12]Murrey''s 11-15'!C15+'[12]Murrey''s 12-15'!C15</f>
        <v>1216.0899999999999</v>
      </c>
      <c r="I15" s="391">
        <f t="shared" si="3"/>
        <v>1477.48</v>
      </c>
      <c r="J15" s="389">
        <f t="shared" si="4"/>
        <v>717.22330097087365</v>
      </c>
      <c r="K15" s="389">
        <f t="shared" si="5"/>
        <v>60</v>
      </c>
      <c r="P15" s="391">
        <f t="shared" si="6"/>
        <v>1477.48</v>
      </c>
      <c r="U15" s="389">
        <f t="shared" si="0"/>
        <v>1477.48</v>
      </c>
      <c r="V15" s="391"/>
    </row>
    <row r="16" spans="1:22">
      <c r="A16" s="356" t="s">
        <v>465</v>
      </c>
      <c r="B16" s="356" t="s">
        <v>290</v>
      </c>
      <c r="C16" s="390">
        <v>0.77</v>
      </c>
      <c r="D16" s="391">
        <v>8.4700000000000006</v>
      </c>
      <c r="F16" s="390">
        <v>0.77</v>
      </c>
      <c r="G16" s="391">
        <f>'[12]Murrey''s 3-15'!C16+'[12]Murrrey''s 4-15'!C16+'[12]Murrey''s 5-15'!C16+'[12]Murrey''s 6-15'!C16+'[12]Murrey''s 7-15'!C16+'[12]Murrey''s 8-15'!C16+'[12]Murrey''s 9-15'!C16+'[12]Murrey''s 10-15'!C16+'[12]Murrey''s 11-15'!C16+'[12]Murrey''s 12-15'!C16</f>
        <v>28.49</v>
      </c>
      <c r="I16" s="391">
        <f t="shared" si="3"/>
        <v>36.96</v>
      </c>
      <c r="J16" s="389">
        <f t="shared" si="4"/>
        <v>48</v>
      </c>
      <c r="K16" s="389">
        <f t="shared" si="5"/>
        <v>4</v>
      </c>
      <c r="P16" s="391">
        <f t="shared" si="6"/>
        <v>36.96</v>
      </c>
      <c r="U16" s="389">
        <f t="shared" si="0"/>
        <v>36.96</v>
      </c>
      <c r="V16" s="391"/>
    </row>
    <row r="17" spans="1:22">
      <c r="A17" s="356" t="s">
        <v>466</v>
      </c>
      <c r="B17" s="356" t="s">
        <v>291</v>
      </c>
      <c r="C17" s="390">
        <v>0.77</v>
      </c>
      <c r="D17" s="391">
        <v>0</v>
      </c>
      <c r="F17" s="390">
        <v>0.77</v>
      </c>
      <c r="G17" s="391">
        <f>'[12]Murrey''s 3-15'!C17+'[12]Murrrey''s 4-15'!C17+'[12]Murrey''s 5-15'!C17+'[12]Murrey''s 6-15'!C17+'[12]Murrey''s 7-15'!C17+'[12]Murrey''s 8-15'!C17+'[12]Murrey''s 9-15'!C17+'[12]Murrey''s 10-15'!C17+'[12]Murrey''s 11-15'!C17+'[12]Murrey''s 12-15'!C17</f>
        <v>0</v>
      </c>
      <c r="I17" s="391">
        <f t="shared" si="3"/>
        <v>0</v>
      </c>
      <c r="J17" s="389">
        <f t="shared" si="4"/>
        <v>0</v>
      </c>
      <c r="K17" s="389">
        <f t="shared" si="5"/>
        <v>0</v>
      </c>
      <c r="P17" s="391">
        <f t="shared" si="6"/>
        <v>0</v>
      </c>
      <c r="U17" s="389">
        <f t="shared" si="0"/>
        <v>0</v>
      </c>
      <c r="V17" s="391"/>
    </row>
    <row r="18" spans="1:22">
      <c r="A18" s="356" t="s">
        <v>467</v>
      </c>
      <c r="B18" s="356" t="s">
        <v>292</v>
      </c>
      <c r="C18" s="390">
        <v>0.77</v>
      </c>
      <c r="D18" s="391">
        <v>6.93</v>
      </c>
      <c r="F18" s="390">
        <v>0.77</v>
      </c>
      <c r="G18" s="391">
        <f>'[12]Murrey''s 3-15'!C18+'[12]Murrrey''s 4-15'!C18+'[12]Murrey''s 5-15'!C18+'[12]Murrey''s 6-15'!C18+'[12]Murrey''s 7-15'!C18+'[12]Murrey''s 8-15'!C18+'[12]Murrey''s 9-15'!C18+'[12]Murrey''s 10-15'!C18+'[12]Murrey''s 11-15'!C18+'[12]Murrey''s 12-15'!C18</f>
        <v>18.479999999999997</v>
      </c>
      <c r="I18" s="391">
        <f t="shared" si="3"/>
        <v>25.409999999999997</v>
      </c>
      <c r="J18" s="389">
        <f t="shared" si="4"/>
        <v>33</v>
      </c>
      <c r="K18" s="389">
        <f t="shared" si="5"/>
        <v>3</v>
      </c>
      <c r="P18" s="391">
        <f t="shared" si="6"/>
        <v>25.409999999999997</v>
      </c>
      <c r="U18" s="389">
        <f t="shared" si="0"/>
        <v>25.409999999999997</v>
      </c>
      <c r="V18" s="391"/>
    </row>
    <row r="19" spans="1:22">
      <c r="A19" s="364" t="s">
        <v>468</v>
      </c>
      <c r="B19" s="356" t="s">
        <v>293</v>
      </c>
      <c r="C19" s="377">
        <v>7.81</v>
      </c>
      <c r="D19" s="391">
        <v>152.65</v>
      </c>
      <c r="F19" s="377">
        <v>7.81</v>
      </c>
      <c r="G19" s="391">
        <f>'[12]Murrey''s 3-15'!C19+'[12]Murrrey''s 4-15'!C19+'[12]Murrey''s 5-15'!C19+'[12]Murrey''s 6-15'!C19+'[12]Murrey''s 7-15'!C19+'[12]Murrey''s 8-15'!C19+'[12]Murrey''s 9-15'!C19+'[12]Murrey''s 10-15'!C19+'[12]Murrey''s 11-15'!C19+'[12]Murrey''s 12-15'!C19</f>
        <v>626.31500000000005</v>
      </c>
      <c r="I19" s="391">
        <f t="shared" si="3"/>
        <v>778.96500000000003</v>
      </c>
      <c r="J19" s="389">
        <f t="shared" si="4"/>
        <v>99.739436619718319</v>
      </c>
      <c r="K19" s="389">
        <f t="shared" si="5"/>
        <v>8</v>
      </c>
      <c r="P19" s="391">
        <f t="shared" si="6"/>
        <v>778.96500000000003</v>
      </c>
      <c r="U19" s="389">
        <f t="shared" si="0"/>
        <v>778.96500000000003</v>
      </c>
      <c r="V19" s="391"/>
    </row>
    <row r="20" spans="1:22">
      <c r="A20" s="356"/>
      <c r="B20" s="356"/>
      <c r="C20" s="379"/>
      <c r="F20" s="379"/>
      <c r="U20" s="389">
        <f t="shared" si="0"/>
        <v>0</v>
      </c>
      <c r="V20" s="391"/>
    </row>
    <row r="21" spans="1:22">
      <c r="A21" s="365" t="s">
        <v>469</v>
      </c>
      <c r="B21" s="365" t="s">
        <v>294</v>
      </c>
      <c r="C21" s="377">
        <v>10.66</v>
      </c>
      <c r="D21" s="391">
        <v>5880.58</v>
      </c>
      <c r="F21" s="377">
        <v>10.66</v>
      </c>
      <c r="G21" s="391">
        <f>'[12]Murrey''s 3-15'!C21+'[12]Murrrey''s 4-15'!C21+'[12]Murrey''s 5-15'!C21+'[12]Murrey''s 6-15'!C21+'[12]Murrey''s 7-15'!C21+'[12]Murrey''s 8-15'!C21+'[12]Murrey''s 9-15'!C21+'[12]Murrey''s 10-15'!C21+'[12]Murrey''s 11-15'!C21+'[12]Murrey''s 12-15'!C21</f>
        <v>22342.654999999999</v>
      </c>
      <c r="I21" s="391">
        <f t="shared" ref="I21:I30" si="7">D21+G21</f>
        <v>28223.235000000001</v>
      </c>
      <c r="J21" s="389">
        <f t="shared" ref="J21:J24" si="8">D21/C21+G21/F21</f>
        <v>2647.5830206378987</v>
      </c>
      <c r="K21" s="389">
        <f t="shared" ref="K21:K24" si="9">ROUND(J21/12,0)</f>
        <v>221</v>
      </c>
      <c r="M21" s="391">
        <f>I21</f>
        <v>28223.235000000001</v>
      </c>
      <c r="U21" s="389">
        <f t="shared" si="0"/>
        <v>28223.235000000001</v>
      </c>
      <c r="V21" s="391"/>
    </row>
    <row r="22" spans="1:22">
      <c r="A22" s="356" t="s">
        <v>470</v>
      </c>
      <c r="B22" s="356" t="s">
        <v>295</v>
      </c>
      <c r="C22" s="377">
        <v>20.72</v>
      </c>
      <c r="D22" s="391">
        <v>225.57999999999998</v>
      </c>
      <c r="F22" s="377">
        <v>20.72</v>
      </c>
      <c r="G22" s="391">
        <f>'[12]Murrey''s 3-15'!C22+'[12]Murrrey''s 4-15'!C22+'[12]Murrey''s 5-15'!C22+'[12]Murrey''s 6-15'!C22+'[12]Murrey''s 7-15'!C22+'[12]Murrey''s 8-15'!C22+'[12]Murrey''s 9-15'!C22+'[12]Murrey''s 10-15'!C22+'[12]Murrey''s 11-15'!C22+'[12]Murrey''s 12-15'!C22</f>
        <v>1181.0400000000002</v>
      </c>
      <c r="I22" s="391">
        <f t="shared" si="7"/>
        <v>1406.6200000000001</v>
      </c>
      <c r="J22" s="389">
        <f t="shared" si="8"/>
        <v>67.887065637065646</v>
      </c>
      <c r="K22" s="389">
        <f t="shared" si="9"/>
        <v>6</v>
      </c>
      <c r="M22" s="391">
        <f t="shared" ref="M22:M24" si="10">I22</f>
        <v>1406.6200000000001</v>
      </c>
      <c r="U22" s="389">
        <f t="shared" si="0"/>
        <v>1406.6200000000001</v>
      </c>
      <c r="V22" s="391"/>
    </row>
    <row r="23" spans="1:22">
      <c r="A23" s="356" t="s">
        <v>471</v>
      </c>
      <c r="B23" s="356" t="s">
        <v>166</v>
      </c>
      <c r="C23" s="377">
        <v>12.43</v>
      </c>
      <c r="D23" s="391">
        <v>136.72999999999999</v>
      </c>
      <c r="F23" s="377">
        <v>12.43</v>
      </c>
      <c r="G23" s="391">
        <f>'[12]Murrey''s 3-15'!C23+'[12]Murrrey''s 4-15'!C23+'[12]Murrey''s 5-15'!C23+'[12]Murrey''s 6-15'!C23+'[12]Murrey''s 7-15'!C23+'[12]Murrey''s 8-15'!C23+'[12]Murrey''s 9-15'!C23+'[12]Murrey''s 10-15'!C23+'[12]Murrey''s 11-15'!C23+'[12]Murrey''s 12-15'!C23</f>
        <v>359.64000000000004</v>
      </c>
      <c r="I23" s="391">
        <f t="shared" si="7"/>
        <v>496.37</v>
      </c>
      <c r="J23" s="389">
        <f t="shared" si="8"/>
        <v>39.933226065969436</v>
      </c>
      <c r="K23" s="389">
        <f t="shared" si="9"/>
        <v>3</v>
      </c>
      <c r="M23" s="391">
        <f t="shared" si="10"/>
        <v>496.37</v>
      </c>
      <c r="U23" s="389">
        <f t="shared" si="0"/>
        <v>496.37</v>
      </c>
      <c r="V23" s="391"/>
    </row>
    <row r="24" spans="1:22">
      <c r="A24" s="356" t="s">
        <v>472</v>
      </c>
      <c r="B24" s="356" t="s">
        <v>296</v>
      </c>
      <c r="C24" s="377">
        <v>4.4400000000000004</v>
      </c>
      <c r="D24" s="391">
        <v>951.34499999999991</v>
      </c>
      <c r="F24" s="377">
        <v>4.4400000000000004</v>
      </c>
      <c r="G24" s="391">
        <f>'[12]Murrey''s 3-15'!C24+'[12]Murrrey''s 4-15'!C24+'[12]Murrey''s 5-15'!C24+'[12]Murrey''s 6-15'!C24+'[12]Murrey''s 7-15'!C24+'[12]Murrey''s 8-15'!C24+'[12]Murrey''s 9-15'!C24+'[12]Murrey''s 10-15'!C24+'[12]Murrey''s 11-15'!C24+'[12]Murrey''s 12-15'!C24</f>
        <v>3092.56</v>
      </c>
      <c r="I24" s="391">
        <f t="shared" si="7"/>
        <v>4043.9049999999997</v>
      </c>
      <c r="J24" s="389">
        <f t="shared" si="8"/>
        <v>910.7894144144143</v>
      </c>
      <c r="K24" s="389">
        <f t="shared" si="9"/>
        <v>76</v>
      </c>
      <c r="M24" s="391">
        <f t="shared" si="10"/>
        <v>4043.9049999999997</v>
      </c>
      <c r="U24" s="389">
        <f t="shared" si="0"/>
        <v>4043.9049999999997</v>
      </c>
      <c r="V24" s="391"/>
    </row>
    <row r="25" spans="1:22">
      <c r="A25" s="356"/>
      <c r="B25" s="356"/>
      <c r="C25" s="377"/>
      <c r="F25" s="377"/>
      <c r="G25" s="391">
        <f>'[12]Murrey''s 3-15'!C25+'[12]Murrrey''s 4-15'!C25+'[12]Murrey''s 5-15'!C25+'[12]Murrey''s 6-15'!C25+'[12]Murrey''s 7-15'!C25+'[12]Murrey''s 8-15'!C25+'[12]Murrey''s 9-15'!C25+'[12]Murrey''s 10-15'!C25+'[12]Murrey''s 11-15'!C25+'[12]Murrey''s 12-15'!C25</f>
        <v>0</v>
      </c>
      <c r="U25" s="389">
        <f t="shared" si="0"/>
        <v>0</v>
      </c>
      <c r="V25" s="391"/>
    </row>
    <row r="26" spans="1:22">
      <c r="A26" s="356" t="s">
        <v>671</v>
      </c>
      <c r="B26" s="356" t="s">
        <v>297</v>
      </c>
      <c r="C26" s="377">
        <v>4.54</v>
      </c>
      <c r="F26" s="377">
        <v>4.54</v>
      </c>
      <c r="G26" s="391">
        <f>'[12]Murrey''s 3-15'!C26+'[12]Murrrey''s 4-15'!C26+'[12]Murrey''s 5-15'!C26+'[12]Murrey''s 6-15'!C26+'[12]Murrey''s 7-15'!C26+'[12]Murrey''s 8-15'!C26+'[12]Murrey''s 9-15'!C26+'[12]Murrey''s 10-15'!C26+'[12]Murrey''s 11-15'!C26+'[12]Murrey''s 12-15'!C26</f>
        <v>449.28999999999996</v>
      </c>
      <c r="I26" s="391">
        <f t="shared" si="7"/>
        <v>449.28999999999996</v>
      </c>
      <c r="J26" s="389">
        <f t="shared" ref="J26:J30" si="11">D26/C26+G26/F26</f>
        <v>98.96255506607929</v>
      </c>
      <c r="K26" s="389">
        <f t="shared" ref="K26:K30" si="12">ROUND(J26/12,0)</f>
        <v>8</v>
      </c>
      <c r="N26" s="391">
        <f>I26</f>
        <v>449.28999999999996</v>
      </c>
      <c r="U26" s="389">
        <f t="shared" si="0"/>
        <v>449.28999999999996</v>
      </c>
      <c r="V26" s="391"/>
    </row>
    <row r="27" spans="1:22">
      <c r="A27" s="356" t="s">
        <v>474</v>
      </c>
      <c r="B27" s="356" t="s">
        <v>298</v>
      </c>
      <c r="C27" s="377">
        <v>11.6</v>
      </c>
      <c r="D27" s="391">
        <v>0</v>
      </c>
      <c r="F27" s="377">
        <v>11.6</v>
      </c>
      <c r="G27" s="391">
        <f>'[12]Murrey''s 3-15'!C27+'[12]Murrrey''s 4-15'!C27+'[12]Murrey''s 5-15'!C27+'[12]Murrey''s 6-15'!C27+'[12]Murrey''s 7-15'!C27+'[12]Murrey''s 8-15'!C27+'[12]Murrey''s 9-15'!C27+'[12]Murrey''s 10-15'!C27+'[12]Murrey''s 11-15'!C27+'[12]Murrey''s 12-15'!C27</f>
        <v>174</v>
      </c>
      <c r="I27" s="391">
        <f t="shared" si="7"/>
        <v>174</v>
      </c>
      <c r="J27" s="389">
        <f t="shared" si="11"/>
        <v>15</v>
      </c>
      <c r="K27" s="389">
        <f t="shared" si="12"/>
        <v>1</v>
      </c>
      <c r="N27" s="391">
        <f>I27</f>
        <v>174</v>
      </c>
      <c r="U27" s="389">
        <f t="shared" si="0"/>
        <v>174</v>
      </c>
      <c r="V27" s="391"/>
    </row>
    <row r="28" spans="1:22">
      <c r="A28" s="356" t="s">
        <v>475</v>
      </c>
      <c r="B28" s="356" t="s">
        <v>299</v>
      </c>
      <c r="C28" s="390">
        <v>6.53</v>
      </c>
      <c r="D28" s="391">
        <v>312330.06</v>
      </c>
      <c r="F28" s="390">
        <v>6.53</v>
      </c>
      <c r="G28" s="391">
        <f>'[12]Murrey''s 3-15'!C28+'[12]Murrrey''s 4-15'!C28+'[12]Murrey''s 5-15'!C28+'[12]Murrey''s 6-15'!C28+'[12]Murrey''s 7-15'!C28+'[12]Murrey''s 8-15'!C28+'[12]Murrey''s 9-15'!C28+'[12]Murrey''s 10-15'!C28+'[12]Murrey''s 11-15'!C28+'[12]Murrey''s 12-15'!C28</f>
        <v>1231291.6100000001</v>
      </c>
      <c r="I28" s="391">
        <f t="shared" si="7"/>
        <v>1543621.6700000002</v>
      </c>
      <c r="J28" s="389">
        <f t="shared" si="11"/>
        <v>236389.22970903522</v>
      </c>
      <c r="K28" s="389">
        <f t="shared" si="12"/>
        <v>19699</v>
      </c>
      <c r="N28" s="391">
        <f t="shared" ref="N28:N30" si="13">I28</f>
        <v>1543621.6700000002</v>
      </c>
      <c r="U28" s="389">
        <f t="shared" si="0"/>
        <v>1543621.6700000002</v>
      </c>
      <c r="V28" s="391"/>
    </row>
    <row r="29" spans="1:22">
      <c r="A29" s="356" t="s">
        <v>476</v>
      </c>
      <c r="B29" s="356" t="s">
        <v>300</v>
      </c>
      <c r="C29" s="390">
        <v>19.34</v>
      </c>
      <c r="D29" s="391">
        <v>77.36</v>
      </c>
      <c r="F29" s="390">
        <v>19.34</v>
      </c>
      <c r="G29" s="391">
        <f>'[12]Murrey''s 3-15'!C29+'[12]Murrrey''s 4-15'!C29+'[12]Murrey''s 5-15'!C29+'[12]Murrey''s 6-15'!C29+'[12]Murrey''s 7-15'!C29+'[12]Murrey''s 8-15'!C29+'[12]Murrey''s 9-15'!C29+'[12]Murrey''s 10-15'!C29+'[12]Murrey''s 11-15'!C29+'[12]Murrey''s 12-15'!C29</f>
        <v>831.62</v>
      </c>
      <c r="I29" s="391">
        <f t="shared" si="7"/>
        <v>908.98</v>
      </c>
      <c r="J29" s="389">
        <f t="shared" si="11"/>
        <v>47</v>
      </c>
      <c r="K29" s="389">
        <f t="shared" si="12"/>
        <v>4</v>
      </c>
      <c r="N29" s="391">
        <f t="shared" si="13"/>
        <v>908.98</v>
      </c>
      <c r="U29" s="389">
        <f t="shared" si="0"/>
        <v>908.98</v>
      </c>
      <c r="V29" s="391"/>
    </row>
    <row r="30" spans="1:22">
      <c r="A30" s="356" t="s">
        <v>477</v>
      </c>
      <c r="B30" s="356" t="s">
        <v>301</v>
      </c>
      <c r="C30" s="390">
        <v>2.1</v>
      </c>
      <c r="D30" s="391">
        <v>100.8</v>
      </c>
      <c r="F30" s="390">
        <v>2.1</v>
      </c>
      <c r="G30" s="391">
        <f>'[12]Murrey''s 3-15'!C30+'[12]Murrrey''s 4-15'!C30+'[12]Murrey''s 5-15'!C30+'[12]Murrey''s 6-15'!C30+'[12]Murrey''s 7-15'!C30+'[12]Murrey''s 8-15'!C30+'[12]Murrey''s 9-15'!C30+'[12]Murrey''s 10-15'!C30+'[12]Murrey''s 11-15'!C30+'[12]Murrey''s 12-15'!C30</f>
        <v>764.40000000000009</v>
      </c>
      <c r="I30" s="391">
        <f t="shared" si="7"/>
        <v>865.2</v>
      </c>
      <c r="J30" s="389">
        <f t="shared" si="11"/>
        <v>412</v>
      </c>
      <c r="K30" s="389">
        <f t="shared" si="12"/>
        <v>34</v>
      </c>
      <c r="N30" s="391">
        <f t="shared" si="13"/>
        <v>865.2</v>
      </c>
      <c r="U30" s="389">
        <f t="shared" si="0"/>
        <v>865.2</v>
      </c>
      <c r="V30" s="391"/>
    </row>
    <row r="31" spans="1:22">
      <c r="A31" s="356"/>
      <c r="B31" s="356"/>
      <c r="C31" s="379"/>
      <c r="F31" s="379"/>
      <c r="U31" s="389">
        <f t="shared" si="0"/>
        <v>0</v>
      </c>
      <c r="V31" s="391"/>
    </row>
    <row r="32" spans="1:22">
      <c r="A32" s="356" t="s">
        <v>478</v>
      </c>
      <c r="B32" s="356" t="s">
        <v>302</v>
      </c>
      <c r="C32" s="390">
        <v>13.11</v>
      </c>
      <c r="D32" s="391">
        <v>26798.26</v>
      </c>
      <c r="F32" s="390">
        <v>13.3</v>
      </c>
      <c r="G32" s="391">
        <f>'[12]Murrey''s 3-15'!C32+'[12]Murrrey''s 4-15'!C32+'[12]Murrey''s 5-15'!C32+'[12]Murrey''s 6-15'!C32+'[12]Murrey''s 7-15'!C32+'[12]Murrey''s 8-15'!C32+'[12]Murrey''s 9-15'!C32+'[12]Murrey''s 10-15'!C32+'[12]Murrey''s 11-15'!C32+'[12]Murrey''s 12-15'!C32</f>
        <v>110179.035</v>
      </c>
      <c r="I32" s="391">
        <f t="shared" ref="I32:I48" si="14">D32+G32</f>
        <v>136977.29500000001</v>
      </c>
      <c r="J32" s="389">
        <f t="shared" ref="J32:J48" si="15">D32/C32+G32/F32</f>
        <v>10328.246284188732</v>
      </c>
      <c r="K32" s="389">
        <f t="shared" ref="K32:K48" si="16">ROUND(J32/12,0)</f>
        <v>861</v>
      </c>
      <c r="P32" s="391">
        <f>I32</f>
        <v>136977.29500000001</v>
      </c>
      <c r="U32" s="389">
        <f t="shared" si="0"/>
        <v>136977.29500000001</v>
      </c>
      <c r="V32" s="391"/>
    </row>
    <row r="33" spans="1:22">
      <c r="A33" s="356" t="s">
        <v>479</v>
      </c>
      <c r="B33" s="356" t="s">
        <v>303</v>
      </c>
      <c r="C33" s="390">
        <v>14.11</v>
      </c>
      <c r="D33" s="391">
        <v>462.11</v>
      </c>
      <c r="F33" s="390">
        <v>14.3</v>
      </c>
      <c r="G33" s="391">
        <f>'[12]Murrey''s 3-15'!C33+'[12]Murrrey''s 4-15'!C33+'[12]Murrey''s 5-15'!C33+'[12]Murrey''s 6-15'!C33+'[12]Murrey''s 7-15'!C33+'[12]Murrey''s 8-15'!C33+'[12]Murrey''s 9-15'!C33+'[12]Murrey''s 10-15'!C33+'[12]Murrey''s 11-15'!C33+'[12]Murrey''s 12-15'!C33</f>
        <v>1599.5499999999997</v>
      </c>
      <c r="I33" s="391">
        <f t="shared" si="14"/>
        <v>2061.66</v>
      </c>
      <c r="J33" s="389">
        <f t="shared" si="15"/>
        <v>144.60717489455971</v>
      </c>
      <c r="K33" s="389">
        <f t="shared" si="16"/>
        <v>12</v>
      </c>
      <c r="M33" s="393">
        <f>(C33-C32)*J33</f>
        <v>144.60717489455971</v>
      </c>
      <c r="P33" s="391">
        <f>I33-M33</f>
        <v>1917.0528251054402</v>
      </c>
      <c r="U33" s="389">
        <f t="shared" si="0"/>
        <v>2061.66</v>
      </c>
      <c r="V33" s="391"/>
    </row>
    <row r="34" spans="1:22">
      <c r="A34" s="356" t="s">
        <v>480</v>
      </c>
      <c r="B34" s="356" t="s">
        <v>304</v>
      </c>
      <c r="C34" s="390">
        <v>10.23</v>
      </c>
      <c r="D34" s="391">
        <v>10937.144999999999</v>
      </c>
      <c r="F34" s="390">
        <v>10.3</v>
      </c>
      <c r="G34" s="391">
        <f>'[12]Murrey''s 3-15'!C34+'[12]Murrrey''s 4-15'!C34+'[12]Murrey''s 5-15'!C34+'[12]Murrey''s 6-15'!C34+'[12]Murrey''s 7-15'!C34+'[12]Murrey''s 8-15'!C34+'[12]Murrey''s 9-15'!C34+'[12]Murrey''s 10-15'!C34+'[12]Murrey''s 11-15'!C34+'[12]Murrey''s 12-15'!C34</f>
        <v>45117.485000000001</v>
      </c>
      <c r="I34" s="391">
        <f t="shared" si="14"/>
        <v>56054.63</v>
      </c>
      <c r="J34" s="389">
        <f t="shared" si="15"/>
        <v>5449.462982945648</v>
      </c>
      <c r="K34" s="389">
        <f t="shared" si="16"/>
        <v>454</v>
      </c>
      <c r="M34" s="393"/>
      <c r="P34" s="391">
        <f t="shared" ref="P34:P48" si="17">I34-M34</f>
        <v>56054.63</v>
      </c>
      <c r="U34" s="389">
        <f t="shared" si="0"/>
        <v>56054.63</v>
      </c>
      <c r="V34" s="391"/>
    </row>
    <row r="35" spans="1:22">
      <c r="A35" s="356" t="s">
        <v>481</v>
      </c>
      <c r="B35" s="356" t="s">
        <v>305</v>
      </c>
      <c r="C35" s="390">
        <v>16.3</v>
      </c>
      <c r="D35" s="391">
        <v>927151.71500000008</v>
      </c>
      <c r="F35" s="390">
        <v>16.62</v>
      </c>
      <c r="G35" s="391">
        <f>'[12]Murrey''s 3-15'!C35+'[12]Murrrey''s 4-15'!C35+'[12]Murrey''s 5-15'!C35+'[12]Murrey''s 6-15'!C35+'[12]Murrey''s 7-15'!C35+'[12]Murrey''s 8-15'!C35+'[12]Murrey''s 9-15'!C35+'[12]Murrey''s 10-15'!C35+'[12]Murrey''s 11-15'!C35+'[12]Murrey''s 12-15'!C35</f>
        <v>3670598.21</v>
      </c>
      <c r="I35" s="391">
        <f t="shared" si="14"/>
        <v>4597749.9249999998</v>
      </c>
      <c r="J35" s="389">
        <f t="shared" si="15"/>
        <v>277734.7579097547</v>
      </c>
      <c r="K35" s="389">
        <f t="shared" si="16"/>
        <v>23145</v>
      </c>
      <c r="M35" s="393"/>
      <c r="P35" s="391">
        <f t="shared" si="17"/>
        <v>4597749.9249999998</v>
      </c>
      <c r="U35" s="389">
        <f t="shared" si="0"/>
        <v>4597749.9249999998</v>
      </c>
      <c r="V35" s="391"/>
    </row>
    <row r="36" spans="1:22">
      <c r="A36" s="356" t="s">
        <v>482</v>
      </c>
      <c r="B36" s="356" t="s">
        <v>306</v>
      </c>
      <c r="C36" s="390">
        <v>17.3</v>
      </c>
      <c r="D36" s="391">
        <v>16787.475000000002</v>
      </c>
      <c r="F36" s="390">
        <v>17.62</v>
      </c>
      <c r="G36" s="391">
        <f>'[12]Murrey''s 3-15'!C36+'[12]Murrrey''s 4-15'!C36+'[12]Murrey''s 5-15'!C36+'[12]Murrey''s 6-15'!C36+'[12]Murrey''s 7-15'!C36+'[12]Murrey''s 8-15'!C36+'[12]Murrey''s 9-15'!C36+'[12]Murrey''s 10-15'!C36+'[12]Murrey''s 11-15'!C36+'[12]Murrey''s 12-15'!C36</f>
        <v>61563.424999999996</v>
      </c>
      <c r="I36" s="391">
        <f t="shared" si="14"/>
        <v>78350.899999999994</v>
      </c>
      <c r="J36" s="389">
        <f t="shared" si="15"/>
        <v>4464.3257530525607</v>
      </c>
      <c r="K36" s="389">
        <f t="shared" si="16"/>
        <v>372</v>
      </c>
      <c r="M36" s="393">
        <f>(C36-C35)*J36</f>
        <v>4464.3257530525607</v>
      </c>
      <c r="P36" s="391">
        <f t="shared" si="17"/>
        <v>73886.574246947435</v>
      </c>
      <c r="U36" s="389">
        <f t="shared" si="0"/>
        <v>78350.899999999994</v>
      </c>
      <c r="V36" s="391"/>
    </row>
    <row r="37" spans="1:22">
      <c r="A37" s="356" t="s">
        <v>483</v>
      </c>
      <c r="B37" s="356" t="s">
        <v>307</v>
      </c>
      <c r="C37" s="390">
        <v>23.94</v>
      </c>
      <c r="D37" s="391">
        <v>439766.89</v>
      </c>
      <c r="F37" s="390">
        <v>24.43</v>
      </c>
      <c r="G37" s="391">
        <f>'[12]Murrey''s 3-15'!C37+'[12]Murrrey''s 4-15'!C37+'[12]Murrey''s 5-15'!C37+'[12]Murrey''s 6-15'!C37+'[12]Murrey''s 7-15'!C37+'[12]Murrey''s 8-15'!C37+'[12]Murrey''s 9-15'!C37+'[12]Murrey''s 10-15'!C37+'[12]Murrey''s 11-15'!C37+'[12]Murrey''s 12-15'!C37</f>
        <v>1737368.7250000001</v>
      </c>
      <c r="I37" s="391">
        <f t="shared" si="14"/>
        <v>2177135.6150000002</v>
      </c>
      <c r="J37" s="389">
        <f t="shared" si="15"/>
        <v>89485.74259909564</v>
      </c>
      <c r="K37" s="389">
        <f t="shared" si="16"/>
        <v>7457</v>
      </c>
      <c r="M37" s="393"/>
      <c r="P37" s="391">
        <f t="shared" si="17"/>
        <v>2177135.6150000002</v>
      </c>
      <c r="U37" s="389">
        <f t="shared" si="0"/>
        <v>2177135.6150000002</v>
      </c>
      <c r="V37" s="391"/>
    </row>
    <row r="38" spans="1:22">
      <c r="A38" s="356" t="s">
        <v>484</v>
      </c>
      <c r="B38" s="356" t="s">
        <v>308</v>
      </c>
      <c r="C38" s="390">
        <v>25.94</v>
      </c>
      <c r="D38" s="391">
        <v>9309.2200000000012</v>
      </c>
      <c r="F38" s="390">
        <v>26.43</v>
      </c>
      <c r="G38" s="391">
        <f>'[12]Murrey''s 3-15'!C38+'[12]Murrrey''s 4-15'!C38+'[12]Murrey''s 5-15'!C38+'[12]Murrey''s 6-15'!C38+'[12]Murrey''s 7-15'!C38+'[12]Murrey''s 8-15'!C38+'[12]Murrey''s 9-15'!C38+'[12]Murrey''s 10-15'!C38+'[12]Murrey''s 11-15'!C38+'[12]Murrey''s 12-15'!C38</f>
        <v>33864.68</v>
      </c>
      <c r="I38" s="391">
        <f t="shared" si="14"/>
        <v>43173.9</v>
      </c>
      <c r="J38" s="389">
        <f t="shared" si="15"/>
        <v>1640.1721073486328</v>
      </c>
      <c r="K38" s="389">
        <f t="shared" si="16"/>
        <v>137</v>
      </c>
      <c r="M38" s="393">
        <f>(C38-C37)*J38</f>
        <v>3280.3442146972657</v>
      </c>
      <c r="P38" s="391">
        <f t="shared" si="17"/>
        <v>39893.555785302735</v>
      </c>
      <c r="U38" s="389">
        <f t="shared" si="0"/>
        <v>43173.9</v>
      </c>
      <c r="V38" s="391"/>
    </row>
    <row r="39" spans="1:22">
      <c r="A39" s="356" t="s">
        <v>485</v>
      </c>
      <c r="B39" s="356" t="s">
        <v>309</v>
      </c>
      <c r="C39" s="390">
        <v>33.159999999999997</v>
      </c>
      <c r="D39" s="391">
        <v>30841.705000000002</v>
      </c>
      <c r="F39" s="390">
        <v>33.9</v>
      </c>
      <c r="G39" s="391">
        <f>'[12]Murrey''s 3-15'!C39+'[12]Murrrey''s 4-15'!C39+'[12]Murrey''s 5-15'!C39+'[12]Murrey''s 6-15'!C39+'[12]Murrey''s 7-15'!C39+'[12]Murrey''s 8-15'!C39+'[12]Murrey''s 9-15'!C39+'[12]Murrey''s 10-15'!C39+'[12]Murrey''s 11-15'!C39+'[12]Murrey''s 12-15'!C39</f>
        <v>123392.04999999999</v>
      </c>
      <c r="I39" s="391">
        <f t="shared" si="14"/>
        <v>154233.755</v>
      </c>
      <c r="J39" s="389">
        <f t="shared" si="15"/>
        <v>4569.9710863748123</v>
      </c>
      <c r="K39" s="389">
        <f t="shared" si="16"/>
        <v>381</v>
      </c>
      <c r="M39" s="393"/>
      <c r="P39" s="391">
        <f t="shared" si="17"/>
        <v>154233.755</v>
      </c>
      <c r="U39" s="389">
        <f t="shared" si="0"/>
        <v>154233.755</v>
      </c>
      <c r="V39" s="391"/>
    </row>
    <row r="40" spans="1:22">
      <c r="A40" s="356" t="s">
        <v>486</v>
      </c>
      <c r="B40" s="356" t="s">
        <v>310</v>
      </c>
      <c r="C40" s="390">
        <v>36.159999999999997</v>
      </c>
      <c r="D40" s="391">
        <v>357.08000000000004</v>
      </c>
      <c r="F40" s="390">
        <v>36.9</v>
      </c>
      <c r="G40" s="391">
        <f>'[12]Murrey''s 3-15'!C40+'[12]Murrrey''s 4-15'!C40+'[12]Murrey''s 5-15'!C40+'[12]Murrey''s 6-15'!C40+'[12]Murrey''s 7-15'!C40+'[12]Murrey''s 8-15'!C40+'[12]Murrey''s 9-15'!C40+'[12]Murrey''s 10-15'!C40+'[12]Murrey''s 11-15'!C40+'[12]Murrey''s 12-15'!C40</f>
        <v>2168.6150000000002</v>
      </c>
      <c r="I40" s="391">
        <f t="shared" si="14"/>
        <v>2525.6950000000002</v>
      </c>
      <c r="J40" s="389">
        <f t="shared" si="15"/>
        <v>68.64505420054202</v>
      </c>
      <c r="K40" s="389">
        <f t="shared" si="16"/>
        <v>6</v>
      </c>
      <c r="M40" s="393">
        <f>(C40-C39)*J40</f>
        <v>205.93516260162608</v>
      </c>
      <c r="P40" s="391">
        <f t="shared" si="17"/>
        <v>2319.7598373983742</v>
      </c>
      <c r="U40" s="389">
        <f t="shared" si="0"/>
        <v>2525.6950000000002</v>
      </c>
      <c r="V40" s="391"/>
    </row>
    <row r="41" spans="1:22">
      <c r="A41" s="356" t="s">
        <v>487</v>
      </c>
      <c r="B41" s="356" t="s">
        <v>311</v>
      </c>
      <c r="C41" s="390">
        <v>43.64</v>
      </c>
      <c r="D41" s="391">
        <v>4631.2950000000001</v>
      </c>
      <c r="F41" s="390">
        <v>44.57</v>
      </c>
      <c r="G41" s="391">
        <f>'[12]Murrey''s 3-15'!C41+'[12]Murrrey''s 4-15'!C41+'[12]Murrey''s 5-15'!C41+'[12]Murrey''s 6-15'!C41+'[12]Murrey''s 7-15'!C41+'[12]Murrey''s 8-15'!C41+'[12]Murrey''s 9-15'!C41+'[12]Murrey''s 10-15'!C41+'[12]Murrey''s 11-15'!C41+'[12]Murrey''s 12-15'!C41</f>
        <v>18568.544999999998</v>
      </c>
      <c r="I41" s="391">
        <f t="shared" si="14"/>
        <v>23199.839999999997</v>
      </c>
      <c r="J41" s="389">
        <f t="shared" si="15"/>
        <v>522.7403242091093</v>
      </c>
      <c r="K41" s="389">
        <f t="shared" si="16"/>
        <v>44</v>
      </c>
      <c r="M41" s="393"/>
      <c r="P41" s="391">
        <f t="shared" si="17"/>
        <v>23199.839999999997</v>
      </c>
      <c r="U41" s="389">
        <f t="shared" si="0"/>
        <v>23199.839999999997</v>
      </c>
      <c r="V41" s="391"/>
    </row>
    <row r="42" spans="1:22">
      <c r="A42" s="356" t="s">
        <v>488</v>
      </c>
      <c r="B42" s="356" t="s">
        <v>312</v>
      </c>
      <c r="C42" s="390">
        <v>47.64</v>
      </c>
      <c r="D42" s="391">
        <v>95.28</v>
      </c>
      <c r="F42" s="390">
        <v>48.57</v>
      </c>
      <c r="G42" s="391">
        <f>'[12]Murrey''s 3-15'!C42+'[12]Murrrey''s 4-15'!C42+'[12]Murrey''s 5-15'!C42+'[12]Murrey''s 6-15'!C42+'[12]Murrey''s 7-15'!C42+'[12]Murrey''s 8-15'!C42+'[12]Murrey''s 9-15'!C42+'[12]Murrey''s 10-15'!C42+'[12]Murrey''s 11-15'!C42+'[12]Murrey''s 12-15'!C42</f>
        <v>485.7</v>
      </c>
      <c r="I42" s="391">
        <f t="shared" si="14"/>
        <v>580.98</v>
      </c>
      <c r="J42" s="389">
        <f t="shared" si="15"/>
        <v>12</v>
      </c>
      <c r="K42" s="389">
        <f t="shared" si="16"/>
        <v>1</v>
      </c>
      <c r="M42" s="393">
        <f>(C42-C41)*J42</f>
        <v>48</v>
      </c>
      <c r="P42" s="391">
        <f t="shared" si="17"/>
        <v>532.98</v>
      </c>
      <c r="U42" s="389">
        <f t="shared" si="0"/>
        <v>580.98</v>
      </c>
      <c r="V42" s="391"/>
    </row>
    <row r="43" spans="1:22">
      <c r="A43" s="356" t="s">
        <v>489</v>
      </c>
      <c r="B43" s="356" t="s">
        <v>313</v>
      </c>
      <c r="C43" s="390">
        <v>53</v>
      </c>
      <c r="D43" s="391">
        <v>702.25</v>
      </c>
      <c r="F43" s="390">
        <v>54.12</v>
      </c>
      <c r="G43" s="391">
        <f>'[12]Murrey''s 3-15'!C43+'[12]Murrrey''s 4-15'!C43+'[12]Murrey''s 5-15'!C43+'[12]Murrey''s 6-15'!C43+'[12]Murrey''s 7-15'!C43+'[12]Murrey''s 8-15'!C43+'[12]Murrey''s 9-15'!C43+'[12]Murrey''s 10-15'!C43+'[12]Murrey''s 11-15'!C43+'[12]Murrey''s 12-15'!C43</f>
        <v>2548.2900000000004</v>
      </c>
      <c r="I43" s="391">
        <f t="shared" si="14"/>
        <v>3250.5400000000004</v>
      </c>
      <c r="J43" s="389">
        <f t="shared" si="15"/>
        <v>60.335920177383599</v>
      </c>
      <c r="K43" s="389">
        <f t="shared" si="16"/>
        <v>5</v>
      </c>
      <c r="M43" s="393"/>
      <c r="P43" s="391">
        <f t="shared" si="17"/>
        <v>3250.5400000000004</v>
      </c>
      <c r="U43" s="389">
        <f t="shared" si="0"/>
        <v>3250.5400000000004</v>
      </c>
      <c r="V43" s="391"/>
    </row>
    <row r="44" spans="1:22">
      <c r="A44" s="356" t="s">
        <v>490</v>
      </c>
      <c r="B44" s="356" t="s">
        <v>314</v>
      </c>
      <c r="C44" s="390">
        <v>58</v>
      </c>
      <c r="D44" s="391">
        <v>0</v>
      </c>
      <c r="F44" s="390">
        <v>59.12</v>
      </c>
      <c r="G44" s="391">
        <f>'[12]Murrey''s 3-15'!C44+'[12]Murrrey''s 4-15'!C44+'[12]Murrey''s 5-15'!C44+'[12]Murrey''s 6-15'!C44+'[12]Murrey''s 7-15'!C44+'[12]Murrey''s 8-15'!C44+'[12]Murrey''s 9-15'!C44+'[12]Murrey''s 10-15'!C44+'[12]Murrey''s 11-15'!C44+'[12]Murrey''s 12-15'!C44</f>
        <v>0</v>
      </c>
      <c r="I44" s="391">
        <f t="shared" si="14"/>
        <v>0</v>
      </c>
      <c r="J44" s="389">
        <f t="shared" si="15"/>
        <v>0</v>
      </c>
      <c r="K44" s="389">
        <f t="shared" si="16"/>
        <v>0</v>
      </c>
      <c r="M44" s="393">
        <f>(C44-C43)*J44</f>
        <v>0</v>
      </c>
      <c r="P44" s="391">
        <f t="shared" si="17"/>
        <v>0</v>
      </c>
      <c r="U44" s="389">
        <f t="shared" si="0"/>
        <v>0</v>
      </c>
      <c r="V44" s="391"/>
    </row>
    <row r="45" spans="1:22">
      <c r="A45" s="356" t="s">
        <v>491</v>
      </c>
      <c r="B45" s="356" t="s">
        <v>315</v>
      </c>
      <c r="C45" s="390">
        <v>58.16</v>
      </c>
      <c r="D45" s="391">
        <v>639.76</v>
      </c>
      <c r="F45" s="390">
        <v>59.66</v>
      </c>
      <c r="G45" s="391">
        <f>'[12]Murrey''s 3-15'!C45+'[12]Murrrey''s 4-15'!C45+'[12]Murrey''s 5-15'!C45+'[12]Murrey''s 6-15'!C45+'[12]Murrey''s 7-15'!C45+'[12]Murrey''s 8-15'!C45+'[12]Murrey''s 9-15'!C45+'[12]Murrey''s 10-15'!C45+'[12]Murrey''s 11-15'!C45+'[12]Murrey''s 12-15'!C45</f>
        <v>2182.0999999999995</v>
      </c>
      <c r="I45" s="391">
        <f t="shared" si="14"/>
        <v>2821.8599999999997</v>
      </c>
      <c r="J45" s="389">
        <f t="shared" si="15"/>
        <v>47.575595038551789</v>
      </c>
      <c r="K45" s="389">
        <f t="shared" si="16"/>
        <v>4</v>
      </c>
      <c r="M45" s="393"/>
      <c r="P45" s="391">
        <f t="shared" si="17"/>
        <v>2821.8599999999997</v>
      </c>
      <c r="U45" s="389">
        <f t="shared" si="0"/>
        <v>2821.8599999999997</v>
      </c>
      <c r="V45" s="391"/>
    </row>
    <row r="46" spans="1:22">
      <c r="A46" s="356" t="s">
        <v>492</v>
      </c>
      <c r="B46" s="356" t="s">
        <v>316</v>
      </c>
      <c r="C46" s="390">
        <v>64.16</v>
      </c>
      <c r="D46" s="391">
        <v>0</v>
      </c>
      <c r="F46" s="390">
        <v>65.66</v>
      </c>
      <c r="G46" s="391">
        <f>'[12]Murrey''s 3-15'!C46+'[12]Murrrey''s 4-15'!C46+'[12]Murrey''s 5-15'!C46+'[12]Murrey''s 6-15'!C46+'[12]Murrey''s 7-15'!C46+'[12]Murrey''s 8-15'!C46+'[12]Murrey''s 9-15'!C46+'[12]Murrey''s 10-15'!C46+'[12]Murrey''s 11-15'!C46+'[12]Murrey''s 12-15'!C46</f>
        <v>0</v>
      </c>
      <c r="I46" s="391">
        <f t="shared" si="14"/>
        <v>0</v>
      </c>
      <c r="J46" s="389">
        <f t="shared" si="15"/>
        <v>0</v>
      </c>
      <c r="K46" s="389">
        <f t="shared" si="16"/>
        <v>0</v>
      </c>
      <c r="M46" s="393">
        <f>(C46-C45)*J46</f>
        <v>0</v>
      </c>
      <c r="P46" s="391">
        <f t="shared" si="17"/>
        <v>0</v>
      </c>
      <c r="U46" s="389">
        <f t="shared" si="0"/>
        <v>0</v>
      </c>
      <c r="V46" s="391"/>
    </row>
    <row r="47" spans="1:22">
      <c r="A47" s="356" t="s">
        <v>493</v>
      </c>
      <c r="B47" s="356" t="s">
        <v>317</v>
      </c>
      <c r="C47" s="390">
        <v>32.39</v>
      </c>
      <c r="D47" s="391">
        <v>8100.2650000000003</v>
      </c>
      <c r="F47" s="390">
        <v>32.78</v>
      </c>
      <c r="G47" s="391">
        <f>'[12]Murrey''s 3-15'!C47+'[12]Murrrey''s 4-15'!C47+'[12]Murrey''s 5-15'!C47+'[12]Murrey''s 6-15'!C47+'[12]Murrey''s 7-15'!C47+'[12]Murrey''s 8-15'!C47+'[12]Murrey''s 9-15'!C47+'[12]Murrey''s 10-15'!C47+'[12]Murrey''s 11-15'!C47+'[12]Murrey''s 12-15'!C47</f>
        <v>38923.1</v>
      </c>
      <c r="I47" s="391">
        <f t="shared" si="14"/>
        <v>47023.364999999998</v>
      </c>
      <c r="J47" s="389">
        <f t="shared" si="15"/>
        <v>1437.4892706736705</v>
      </c>
      <c r="K47" s="389">
        <f t="shared" si="16"/>
        <v>120</v>
      </c>
      <c r="M47" s="393"/>
      <c r="P47" s="391">
        <f t="shared" si="17"/>
        <v>47023.364999999998</v>
      </c>
      <c r="U47" s="389">
        <f t="shared" si="0"/>
        <v>47023.364999999998</v>
      </c>
      <c r="V47" s="391"/>
    </row>
    <row r="48" spans="1:22">
      <c r="A48" s="356" t="s">
        <v>494</v>
      </c>
      <c r="B48" s="356" t="s">
        <v>318</v>
      </c>
      <c r="C48" s="390">
        <v>64.78</v>
      </c>
      <c r="D48" s="391">
        <v>647.75</v>
      </c>
      <c r="F48" s="390">
        <v>65.56</v>
      </c>
      <c r="G48" s="391">
        <f>'[12]Murrey''s 3-15'!C48+'[12]Murrrey''s 4-15'!C48+'[12]Murrey''s 5-15'!C48+'[12]Murrey''s 6-15'!C48+'[12]Murrey''s 7-15'!C48+'[12]Murrey''s 8-15'!C48+'[12]Murrey''s 9-15'!C48+'[12]Murrey''s 10-15'!C48+'[12]Murrey''s 11-15'!C48+'[12]Murrey''s 12-15'!C48</f>
        <v>3786.0200000000004</v>
      </c>
      <c r="I48" s="391">
        <f t="shared" si="14"/>
        <v>4433.7700000000004</v>
      </c>
      <c r="J48" s="389">
        <f t="shared" si="15"/>
        <v>67.748160432616444</v>
      </c>
      <c r="K48" s="389">
        <f t="shared" si="16"/>
        <v>6</v>
      </c>
      <c r="M48" s="393"/>
      <c r="P48" s="391">
        <f t="shared" si="17"/>
        <v>4433.7700000000004</v>
      </c>
      <c r="U48" s="389">
        <f t="shared" si="0"/>
        <v>4433.7700000000004</v>
      </c>
      <c r="V48" s="391"/>
    </row>
    <row r="49" spans="1:23">
      <c r="A49" s="354" t="s">
        <v>17</v>
      </c>
      <c r="B49" s="354" t="s">
        <v>17</v>
      </c>
      <c r="C49" s="379"/>
      <c r="D49" s="386">
        <f>SUM(D6:D48)</f>
        <v>2284176.31</v>
      </c>
      <c r="F49" s="379"/>
      <c r="G49" s="386">
        <f>SUM(G6:G48)</f>
        <v>9644348.8049999978</v>
      </c>
      <c r="I49" s="386">
        <f>SUM(I6:I48)</f>
        <v>11928525.115</v>
      </c>
      <c r="M49" s="386">
        <f t="shared" ref="M49:U49" si="18">SUM(M6:M48)</f>
        <v>2869900.042305246</v>
      </c>
      <c r="N49" s="386">
        <f t="shared" si="18"/>
        <v>1546019.1400000001</v>
      </c>
      <c r="O49" s="386">
        <f t="shared" si="18"/>
        <v>0</v>
      </c>
      <c r="P49" s="386">
        <f t="shared" si="18"/>
        <v>7809281.6476947553</v>
      </c>
      <c r="Q49" s="386">
        <f t="shared" si="18"/>
        <v>0</v>
      </c>
      <c r="R49" s="386">
        <f t="shared" si="18"/>
        <v>0</v>
      </c>
      <c r="S49" s="386">
        <f t="shared" si="18"/>
        <v>0</v>
      </c>
      <c r="T49" s="386">
        <f t="shared" si="18"/>
        <v>0</v>
      </c>
      <c r="U49" s="380">
        <f t="shared" si="18"/>
        <v>12225200.83</v>
      </c>
      <c r="V49" s="391"/>
    </row>
    <row r="50" spans="1:23">
      <c r="A50" s="354"/>
      <c r="B50" s="354" t="s">
        <v>97</v>
      </c>
      <c r="C50" s="379"/>
      <c r="D50" s="386">
        <f>'[12]Murrey''s 1-15'!C49+'[12]Murrey''s 2-15'!C49+'[12]Murrey''s 1-15'!L49</f>
        <v>2284176.31</v>
      </c>
      <c r="F50" s="379"/>
      <c r="G50" s="386">
        <f>'[12]Murrey''s 3-15'!C49+'[12]Murrrey''s 4-15'!C49+'[12]Murrey''s 5-15'!C49+'[12]Murrey''s 6-15'!C49+'[12]Murrey''s 7-15'!C49+'[12]Murrey''s 8-15'!C49+'[12]Murrey''s 9-15'!C49+'[12]Murrey''s 10-15'!C49+'[12]Murrey''s 11-15'!C49+'[12]Murrey''s 12-15'!C49</f>
        <v>9644348.8049999997</v>
      </c>
      <c r="I50" s="386">
        <f>D50+G50</f>
        <v>11928525.115</v>
      </c>
      <c r="Q50" s="391"/>
      <c r="V50" s="391"/>
    </row>
    <row r="51" spans="1:23">
      <c r="A51" s="354"/>
      <c r="B51" s="354"/>
      <c r="C51" s="379"/>
      <c r="D51" s="394"/>
      <c r="F51" s="379"/>
      <c r="I51" s="391"/>
      <c r="V51" s="391"/>
    </row>
    <row r="52" spans="1:23">
      <c r="A52" s="354"/>
      <c r="B52" s="354"/>
      <c r="C52" s="379"/>
      <c r="F52" s="395"/>
      <c r="V52" s="391"/>
    </row>
    <row r="53" spans="1:23">
      <c r="A53" s="366" t="s">
        <v>184</v>
      </c>
      <c r="B53" s="366" t="s">
        <v>184</v>
      </c>
      <c r="C53" s="379"/>
      <c r="F53" s="379"/>
      <c r="V53" s="391"/>
    </row>
    <row r="54" spans="1:23">
      <c r="A54" s="356" t="s">
        <v>495</v>
      </c>
      <c r="B54" s="356" t="s">
        <v>319</v>
      </c>
      <c r="C54" s="390">
        <v>-2.0499999999999998</v>
      </c>
      <c r="D54" s="391">
        <v>-1952.65</v>
      </c>
      <c r="F54" s="390">
        <v>-0.49</v>
      </c>
      <c r="G54" s="391">
        <f>'[12]Murrey''s 3-15'!C54+'[12]Murrrey''s 4-15'!C54+'[12]Murrey''s 5-15'!C54+'[12]Murrey''s 6-15'!C54+'[12]Murrey''s 7-15'!C54+'[12]Murrey''s 8-15'!C54+'[12]Murrey''s 9-15'!C54+'[12]Murrey''s 10-15'!C54+'[12]Murrey''s 11-15'!C54+'[12]Murrey''s 12-15'!C54</f>
        <v>-2450.3900000000003</v>
      </c>
      <c r="I54" s="392">
        <f t="shared" ref="I54:I56" si="19">D54+G54</f>
        <v>-4403.0400000000009</v>
      </c>
      <c r="J54" s="389">
        <f t="shared" ref="J54:J56" si="20">D54/C54+G54/F54</f>
        <v>5953.3081134892991</v>
      </c>
      <c r="K54" s="389">
        <f t="shared" ref="K54:K56" si="21">ROUND(J54/12,0)</f>
        <v>496</v>
      </c>
      <c r="U54" s="389">
        <f>SUM(M54:S54)</f>
        <v>0</v>
      </c>
      <c r="V54" s="391"/>
      <c r="W54" s="391"/>
    </row>
    <row r="55" spans="1:23">
      <c r="A55" s="356" t="s">
        <v>496</v>
      </c>
      <c r="B55" s="356" t="s">
        <v>284</v>
      </c>
      <c r="C55" s="390">
        <v>7.1</v>
      </c>
      <c r="D55" s="391">
        <v>6784.0599999999995</v>
      </c>
      <c r="F55" s="390">
        <v>7.1</v>
      </c>
      <c r="G55" s="391">
        <f>'[12]Murrey''s 3-15'!C55+'[12]Murrrey''s 4-15'!C55+'[12]Murrey''s 5-15'!C55+'[12]Murrey''s 6-15'!C55+'[12]Murrey''s 7-15'!C55+'[12]Murrey''s 8-15'!C55+'[12]Murrey''s 9-15'!C55+'[12]Murrey''s 10-15'!C55+'[12]Murrey''s 11-15'!C55+'[12]Murrey''s 12-15'!C55</f>
        <v>35432.89</v>
      </c>
      <c r="I55" s="391">
        <f t="shared" si="19"/>
        <v>42216.95</v>
      </c>
      <c r="J55" s="389">
        <f t="shared" si="20"/>
        <v>5946.0492957746474</v>
      </c>
      <c r="K55" s="389">
        <f t="shared" si="21"/>
        <v>496</v>
      </c>
      <c r="O55" s="391">
        <f>I55</f>
        <v>42216.95</v>
      </c>
      <c r="U55" s="389">
        <f t="shared" ref="U55:U118" si="22">SUM(M55:S55)</f>
        <v>42216.95</v>
      </c>
      <c r="V55" s="391"/>
      <c r="W55" s="391"/>
    </row>
    <row r="56" spans="1:23">
      <c r="A56" s="356" t="s">
        <v>497</v>
      </c>
      <c r="B56" s="356" t="s">
        <v>284</v>
      </c>
      <c r="C56" s="390">
        <v>7.1</v>
      </c>
      <c r="D56" s="391">
        <v>0</v>
      </c>
      <c r="F56" s="390">
        <v>7.1</v>
      </c>
      <c r="G56" s="391">
        <f>'[12]Murrey''s 3-15'!C56+'[12]Murrrey''s 4-15'!C56+'[12]Murrey''s 5-15'!C56+'[12]Murrey''s 6-15'!C56+'[12]Murrey''s 7-15'!C56+'[12]Murrey''s 8-15'!C56+'[12]Murrey''s 9-15'!C56+'[12]Murrey''s 10-15'!C56+'[12]Murrey''s 11-15'!C56+'[12]Murrey''s 12-15'!C56</f>
        <v>0</v>
      </c>
      <c r="I56" s="391">
        <f t="shared" si="19"/>
        <v>0</v>
      </c>
      <c r="J56" s="389">
        <f t="shared" si="20"/>
        <v>0</v>
      </c>
      <c r="K56" s="389">
        <f t="shared" si="21"/>
        <v>0</v>
      </c>
      <c r="O56" s="391">
        <f>I56</f>
        <v>0</v>
      </c>
      <c r="U56" s="389">
        <f t="shared" si="22"/>
        <v>0</v>
      </c>
      <c r="V56" s="391"/>
      <c r="W56" s="391"/>
    </row>
    <row r="57" spans="1:23">
      <c r="A57" s="354"/>
      <c r="B57" s="354"/>
      <c r="C57" s="379"/>
      <c r="F57" s="379"/>
      <c r="U57" s="389">
        <f t="shared" si="22"/>
        <v>0</v>
      </c>
      <c r="V57" s="391"/>
      <c r="W57" s="391"/>
    </row>
    <row r="58" spans="1:23">
      <c r="A58" s="356" t="s">
        <v>498</v>
      </c>
      <c r="B58" s="356" t="s">
        <v>286</v>
      </c>
      <c r="C58" s="390">
        <v>4.07</v>
      </c>
      <c r="D58" s="391">
        <v>82.23</v>
      </c>
      <c r="F58" s="390">
        <v>4.1399999999999997</v>
      </c>
      <c r="G58" s="391">
        <f>'[12]Murrey''s 3-15'!C58+'[12]Murrrey''s 4-15'!C58+'[12]Murrey''s 5-15'!C58+'[12]Murrey''s 6-15'!C58+'[12]Murrey''s 7-15'!C58+'[12]Murrey''s 8-15'!C58+'[12]Murrey''s 9-15'!C58+'[12]Murrey''s 10-15'!C58+'[12]Murrey''s 11-15'!C58+'[12]Murrey''s 12-15'!C58</f>
        <v>22780.36</v>
      </c>
      <c r="I58" s="391">
        <f t="shared" ref="I58" si="23">D58+G58</f>
        <v>22862.59</v>
      </c>
      <c r="J58" s="389">
        <f t="shared" ref="J58" si="24">D58/C58+G58/F58</f>
        <v>5522.7063466628688</v>
      </c>
      <c r="K58" s="389">
        <f>ROUND(J58/12,0)</f>
        <v>460</v>
      </c>
      <c r="Q58" s="391">
        <f>I58</f>
        <v>22862.59</v>
      </c>
      <c r="U58" s="389">
        <f t="shared" si="22"/>
        <v>22862.59</v>
      </c>
      <c r="V58" s="391"/>
      <c r="W58" s="391"/>
    </row>
    <row r="59" spans="1:23">
      <c r="A59" s="356"/>
      <c r="B59" s="356"/>
      <c r="C59" s="379"/>
      <c r="F59" s="379"/>
      <c r="U59" s="389">
        <f t="shared" si="22"/>
        <v>0</v>
      </c>
      <c r="V59" s="391"/>
      <c r="W59" s="391"/>
    </row>
    <row r="60" spans="1:23">
      <c r="A60" s="356" t="s">
        <v>499</v>
      </c>
      <c r="B60" s="356" t="s">
        <v>320</v>
      </c>
      <c r="C60" s="390">
        <v>22.21</v>
      </c>
      <c r="D60" s="391">
        <v>399.78</v>
      </c>
      <c r="F60" s="390">
        <v>22.49</v>
      </c>
      <c r="G60" s="391">
        <f>'[12]Murrey''s 3-15'!C60+'[12]Murrrey''s 4-15'!C60+'[12]Murrey''s 5-15'!C60+'[12]Murrey''s 6-15'!C60+'[12]Murrey''s 7-15'!C60+'[12]Murrey''s 8-15'!C60+'[12]Murrey''s 9-15'!C60+'[12]Murrey''s 10-15'!C60+'[12]Murrey''s 11-15'!C60+'[12]Murrey''s 12-15'!C60</f>
        <v>2473.9</v>
      </c>
      <c r="I60" s="391">
        <f t="shared" ref="I60:I61" si="25">D60+G60</f>
        <v>2873.6800000000003</v>
      </c>
      <c r="J60" s="389">
        <f t="shared" ref="J60:J61" si="26">D60/C60+G60/F60</f>
        <v>128</v>
      </c>
      <c r="K60" s="389">
        <f t="shared" ref="K60:K61" si="27">ROUND(J60/12,0)</f>
        <v>11</v>
      </c>
      <c r="Q60" s="391">
        <f>I60</f>
        <v>2873.6800000000003</v>
      </c>
      <c r="U60" s="389">
        <f t="shared" si="22"/>
        <v>2873.6800000000003</v>
      </c>
      <c r="V60" s="391"/>
      <c r="W60" s="391"/>
    </row>
    <row r="61" spans="1:23">
      <c r="A61" s="356" t="s">
        <v>500</v>
      </c>
      <c r="B61" s="356" t="s">
        <v>321</v>
      </c>
      <c r="C61" s="390">
        <v>39.1</v>
      </c>
      <c r="D61" s="391">
        <v>977.5</v>
      </c>
      <c r="F61" s="390">
        <v>39.1</v>
      </c>
      <c r="G61" s="391">
        <f>'[12]Murrey''s 3-15'!C61+'[12]Murrrey''s 4-15'!C61+'[12]Murrey''s 5-15'!C61+'[12]Murrey''s 6-15'!C61+'[12]Murrey''s 7-15'!C61+'[12]Murrey''s 8-15'!C61+'[12]Murrey''s 9-15'!C61+'[12]Murrey''s 10-15'!C61+'[12]Murrey''s 11-15'!C61+'[12]Murrey''s 12-15'!C61</f>
        <v>5747.71</v>
      </c>
      <c r="I61" s="391">
        <f t="shared" si="25"/>
        <v>6725.21</v>
      </c>
      <c r="J61" s="389">
        <f t="shared" si="26"/>
        <v>172.00025575447569</v>
      </c>
      <c r="K61" s="389">
        <f t="shared" si="27"/>
        <v>14</v>
      </c>
      <c r="Q61" s="391">
        <f>I61</f>
        <v>6725.21</v>
      </c>
      <c r="U61" s="389">
        <f t="shared" si="22"/>
        <v>6725.21</v>
      </c>
      <c r="V61" s="391"/>
      <c r="W61" s="391"/>
    </row>
    <row r="62" spans="1:23">
      <c r="A62" s="356"/>
      <c r="B62" s="356"/>
      <c r="C62" s="379"/>
      <c r="F62" s="379"/>
      <c r="U62" s="389">
        <f t="shared" si="22"/>
        <v>0</v>
      </c>
      <c r="V62" s="391"/>
      <c r="W62" s="391"/>
    </row>
    <row r="63" spans="1:23">
      <c r="A63" s="356" t="s">
        <v>501</v>
      </c>
      <c r="B63" s="356" t="s">
        <v>322</v>
      </c>
      <c r="C63" s="390">
        <v>-3.55</v>
      </c>
      <c r="D63" s="391">
        <v>-6434.5499999999993</v>
      </c>
      <c r="F63" s="390">
        <v>-1.91</v>
      </c>
      <c r="G63" s="391">
        <f>'[12]Murrey''s 3-15'!C63+'[12]Murrrey''s 4-15'!C63+'[12]Murrey''s 5-15'!C63+'[12]Murrey''s 6-15'!C63+'[12]Murrey''s 7-15'!C63+'[12]Murrey''s 8-15'!C63+'[12]Murrey''s 9-15'!C63+'[12]Murrey''s 10-15'!C63+'[12]Murrey''s 11-15'!C63+'[12]Murrey''s 12-15'!C63</f>
        <v>-19576.539999999997</v>
      </c>
      <c r="I63" s="392">
        <f t="shared" ref="I63:I64" si="28">D63+G63</f>
        <v>-26011.089999999997</v>
      </c>
      <c r="J63" s="389">
        <f t="shared" ref="J63:J64" si="29">D63/C63+G63/F63</f>
        <v>12062.0466779736</v>
      </c>
      <c r="K63" s="389">
        <f t="shared" ref="K63:K64" si="30">ROUND(J63/12,0)</f>
        <v>1005</v>
      </c>
      <c r="U63" s="389">
        <f t="shared" si="22"/>
        <v>0</v>
      </c>
      <c r="V63" s="391"/>
      <c r="W63" s="391"/>
    </row>
    <row r="64" spans="1:23">
      <c r="A64" s="356" t="s">
        <v>502</v>
      </c>
      <c r="B64" s="356" t="s">
        <v>323</v>
      </c>
      <c r="C64" s="390">
        <v>0.75</v>
      </c>
      <c r="D64" s="391">
        <v>531</v>
      </c>
      <c r="F64" s="390">
        <v>0.75</v>
      </c>
      <c r="G64" s="391">
        <f>'[12]Murrey''s 3-15'!C64+'[12]Murrrey''s 4-15'!C64+'[12]Murrey''s 5-15'!C64+'[12]Murrey''s 6-15'!C64+'[12]Murrey''s 7-15'!C64+'[12]Murrey''s 8-15'!C64+'[12]Murrey''s 9-15'!C64+'[12]Murrey''s 10-15'!C64+'[12]Murrey''s 11-15'!C64+'[12]Murrey''s 12-15'!C64</f>
        <v>2647.5</v>
      </c>
      <c r="I64" s="396">
        <f t="shared" si="28"/>
        <v>3178.5</v>
      </c>
      <c r="J64" s="389">
        <f t="shared" si="29"/>
        <v>4238</v>
      </c>
      <c r="K64" s="389">
        <f t="shared" si="30"/>
        <v>353</v>
      </c>
      <c r="O64" s="391">
        <f>I64</f>
        <v>3178.5</v>
      </c>
      <c r="U64" s="389">
        <f t="shared" si="22"/>
        <v>3178.5</v>
      </c>
      <c r="V64" s="391"/>
      <c r="W64" s="391"/>
    </row>
    <row r="65" spans="1:23">
      <c r="A65" s="356"/>
      <c r="B65" s="356"/>
      <c r="C65" s="379"/>
      <c r="F65" s="379"/>
      <c r="U65" s="389">
        <f t="shared" si="22"/>
        <v>0</v>
      </c>
      <c r="V65" s="391"/>
      <c r="W65" s="391"/>
    </row>
    <row r="66" spans="1:23">
      <c r="A66" s="356" t="s">
        <v>503</v>
      </c>
      <c r="B66" s="356" t="s">
        <v>288</v>
      </c>
      <c r="C66" s="390">
        <v>4.62</v>
      </c>
      <c r="D66" s="391">
        <v>92.97</v>
      </c>
      <c r="F66" s="390">
        <v>4.62</v>
      </c>
      <c r="G66" s="391">
        <f>'[12]Murrey''s 3-15'!C66+'[12]Murrrey''s 4-15'!C66+'[12]Murrey''s 5-15'!C66+'[12]Murrey''s 6-15'!C66+'[12]Murrey''s 7-15'!C66+'[12]Murrey''s 8-15'!C66+'[12]Murrey''s 9-15'!C66+'[12]Murrey''s 10-15'!C66+'[12]Murrey''s 11-15'!C66+'[12]Murrey''s 12-15'!C66</f>
        <v>488.45999999999992</v>
      </c>
      <c r="I66" s="391">
        <f t="shared" ref="I66:I70" si="31">D66+G66</f>
        <v>581.42999999999995</v>
      </c>
      <c r="J66" s="389">
        <f t="shared" ref="J66:J70" si="32">D66/C66+G66/F66</f>
        <v>125.85064935064932</v>
      </c>
      <c r="K66" s="389">
        <f t="shared" ref="K66:K70" si="33">ROUND(J66/12,0)</f>
        <v>10</v>
      </c>
      <c r="Q66" s="391">
        <f t="shared" ref="Q66:Q70" si="34">I66</f>
        <v>581.42999999999995</v>
      </c>
      <c r="U66" s="389">
        <f t="shared" si="22"/>
        <v>581.42999999999995</v>
      </c>
      <c r="V66" s="391"/>
      <c r="W66" s="391"/>
    </row>
    <row r="67" spans="1:23">
      <c r="A67" s="356" t="s">
        <v>504</v>
      </c>
      <c r="B67" s="356" t="s">
        <v>289</v>
      </c>
      <c r="C67" s="390">
        <v>2.06</v>
      </c>
      <c r="D67" s="391">
        <v>12.36</v>
      </c>
      <c r="F67" s="390">
        <v>2.06</v>
      </c>
      <c r="G67" s="391">
        <f>'[12]Murrey''s 3-15'!C67+'[12]Murrrey''s 4-15'!C67+'[12]Murrey''s 5-15'!C67+'[12]Murrey''s 6-15'!C67+'[12]Murrey''s 7-15'!C67+'[12]Murrey''s 8-15'!C67+'[12]Murrey''s 9-15'!C67+'[12]Murrey''s 10-15'!C67+'[12]Murrey''s 11-15'!C67+'[12]Murrey''s 12-15'!C67</f>
        <v>61.8</v>
      </c>
      <c r="I67" s="391">
        <f t="shared" si="31"/>
        <v>74.16</v>
      </c>
      <c r="J67" s="389">
        <f t="shared" si="32"/>
        <v>36</v>
      </c>
      <c r="K67" s="389">
        <f t="shared" si="33"/>
        <v>3</v>
      </c>
      <c r="Q67" s="391">
        <f t="shared" si="34"/>
        <v>74.16</v>
      </c>
      <c r="U67" s="389">
        <f t="shared" si="22"/>
        <v>74.16</v>
      </c>
      <c r="V67" s="391"/>
      <c r="W67" s="391"/>
    </row>
    <row r="68" spans="1:23">
      <c r="A68" s="356" t="s">
        <v>505</v>
      </c>
      <c r="B68" s="356" t="s">
        <v>324</v>
      </c>
      <c r="C68" s="390">
        <v>7.8</v>
      </c>
      <c r="D68" s="391">
        <v>62.32</v>
      </c>
      <c r="F68" s="390">
        <v>7.8</v>
      </c>
      <c r="G68" s="391">
        <f>'[12]Murrey''s 3-15'!C68+'[12]Murrrey''s 4-15'!C68+'[12]Murrey''s 5-15'!C68+'[12]Murrey''s 6-15'!C68+'[12]Murrey''s 7-15'!C68+'[12]Murrey''s 8-15'!C68+'[12]Murrey''s 9-15'!C68+'[12]Murrey''s 10-15'!C68+'[12]Murrey''s 11-15'!C68+'[12]Murrey''s 12-15'!C68</f>
        <v>311.60000000000002</v>
      </c>
      <c r="I68" s="391">
        <f t="shared" si="31"/>
        <v>373.92</v>
      </c>
      <c r="J68" s="389">
        <f t="shared" si="32"/>
        <v>47.938461538461546</v>
      </c>
      <c r="K68" s="389">
        <f t="shared" si="33"/>
        <v>4</v>
      </c>
      <c r="Q68" s="391">
        <f t="shared" si="34"/>
        <v>373.92</v>
      </c>
      <c r="U68" s="389">
        <f t="shared" si="22"/>
        <v>373.92</v>
      </c>
      <c r="V68" s="391"/>
      <c r="W68" s="391"/>
    </row>
    <row r="69" spans="1:23">
      <c r="A69" s="356" t="s">
        <v>506</v>
      </c>
      <c r="B69" s="356" t="s">
        <v>292</v>
      </c>
      <c r="C69" s="390">
        <v>0.77</v>
      </c>
      <c r="D69" s="391">
        <v>0</v>
      </c>
      <c r="F69" s="390">
        <v>0.77</v>
      </c>
      <c r="G69" s="391">
        <f>'[12]Murrey''s 3-15'!C69+'[12]Murrrey''s 4-15'!C69+'[12]Murrey''s 5-15'!C69+'[12]Murrey''s 6-15'!C69+'[12]Murrey''s 7-15'!C69+'[12]Murrey''s 8-15'!C69+'[12]Murrey''s 9-15'!C69+'[12]Murrey''s 10-15'!C69+'[12]Murrey''s 11-15'!C69+'[12]Murrey''s 12-15'!C69</f>
        <v>0</v>
      </c>
      <c r="I69" s="391">
        <f t="shared" si="31"/>
        <v>0</v>
      </c>
      <c r="J69" s="389">
        <f t="shared" si="32"/>
        <v>0</v>
      </c>
      <c r="K69" s="389">
        <f t="shared" si="33"/>
        <v>0</v>
      </c>
      <c r="Q69" s="391">
        <f t="shared" si="34"/>
        <v>0</v>
      </c>
      <c r="U69" s="389">
        <f t="shared" si="22"/>
        <v>0</v>
      </c>
      <c r="V69" s="391"/>
      <c r="W69" s="391"/>
    </row>
    <row r="70" spans="1:23">
      <c r="A70" s="356" t="s">
        <v>465</v>
      </c>
      <c r="B70" s="356" t="s">
        <v>290</v>
      </c>
      <c r="C70" s="390">
        <v>0.77</v>
      </c>
      <c r="D70" s="391">
        <v>0</v>
      </c>
      <c r="F70" s="390">
        <v>0.77</v>
      </c>
      <c r="G70" s="391">
        <f>'[12]Murrey''s 3-15'!C70+'[12]Murrrey''s 4-15'!C70+'[12]Murrey''s 5-15'!C70+'[12]Murrey''s 6-15'!C70+'[12]Murrey''s 7-15'!C70+'[12]Murrey''s 8-15'!C70+'[12]Murrey''s 9-15'!C70+'[12]Murrey''s 10-15'!C70+'[12]Murrey''s 11-15'!C70+'[12]Murrey''s 12-15'!C70</f>
        <v>0</v>
      </c>
      <c r="I70" s="391">
        <f t="shared" si="31"/>
        <v>0</v>
      </c>
      <c r="J70" s="389">
        <f t="shared" si="32"/>
        <v>0</v>
      </c>
      <c r="K70" s="389">
        <f t="shared" si="33"/>
        <v>0</v>
      </c>
      <c r="Q70" s="391">
        <f t="shared" si="34"/>
        <v>0</v>
      </c>
      <c r="U70" s="389">
        <f t="shared" si="22"/>
        <v>0</v>
      </c>
      <c r="V70" s="391"/>
      <c r="W70" s="391"/>
    </row>
    <row r="71" spans="1:23">
      <c r="A71" s="356"/>
      <c r="B71" s="356"/>
      <c r="C71" s="379"/>
      <c r="F71" s="379"/>
      <c r="U71" s="389">
        <f t="shared" si="22"/>
        <v>0</v>
      </c>
      <c r="V71" s="391"/>
      <c r="W71" s="391"/>
    </row>
    <row r="72" spans="1:23">
      <c r="A72" s="356" t="s">
        <v>507</v>
      </c>
      <c r="B72" s="356" t="s">
        <v>299</v>
      </c>
      <c r="C72" s="390">
        <v>6.53</v>
      </c>
      <c r="D72" s="391">
        <v>4511.25</v>
      </c>
      <c r="F72" s="390">
        <v>6.53</v>
      </c>
      <c r="G72" s="391">
        <f>'[12]Murrey''s 3-15'!C72+'[12]Murrrey''s 4-15'!C72+'[12]Murrey''s 5-15'!C72+'[12]Murrey''s 6-15'!C72+'[12]Murrey''s 7-15'!C72+'[12]Murrey''s 8-15'!C72+'[12]Murrey''s 9-15'!C72+'[12]Murrey''s 10-15'!C72+'[12]Murrey''s 11-15'!C72+'[12]Murrey''s 12-15'!C72</f>
        <v>24128.499999999996</v>
      </c>
      <c r="I72" s="391">
        <f t="shared" ref="I72:I74" si="35">D72+G72</f>
        <v>28639.749999999996</v>
      </c>
      <c r="J72" s="389">
        <f t="shared" ref="J72:J74" si="36">D72/C72+G72/F72</f>
        <v>4385.8728943338429</v>
      </c>
      <c r="K72" s="389">
        <f t="shared" ref="K72:K74" si="37">ROUND(J72/12,0)</f>
        <v>365</v>
      </c>
      <c r="N72" s="391">
        <f>I72</f>
        <v>28639.749999999996</v>
      </c>
      <c r="U72" s="389">
        <f t="shared" si="22"/>
        <v>28639.749999999996</v>
      </c>
      <c r="V72" s="391"/>
      <c r="W72" s="391"/>
    </row>
    <row r="73" spans="1:23">
      <c r="A73" s="356" t="s">
        <v>476</v>
      </c>
      <c r="B73" s="356" t="s">
        <v>325</v>
      </c>
      <c r="C73" s="390">
        <v>19.34</v>
      </c>
      <c r="D73" s="391">
        <v>0</v>
      </c>
      <c r="F73" s="390">
        <v>19.34</v>
      </c>
      <c r="G73" s="391">
        <f>'[12]Murrey''s 3-15'!C73+'[12]Murrrey''s 4-15'!C73+'[12]Murrey''s 5-15'!C73+'[12]Murrey''s 6-15'!C73+'[12]Murrey''s 7-15'!C73+'[12]Murrey''s 8-15'!C73+'[12]Murrey''s 9-15'!C73+'[12]Murrey''s 10-15'!C73+'[12]Murrey''s 11-15'!C73+'[12]Murrey''s 12-15'!C73</f>
        <v>0</v>
      </c>
      <c r="I73" s="391">
        <f t="shared" si="35"/>
        <v>0</v>
      </c>
      <c r="J73" s="389">
        <f t="shared" si="36"/>
        <v>0</v>
      </c>
      <c r="K73" s="389">
        <f t="shared" si="37"/>
        <v>0</v>
      </c>
      <c r="N73" s="391">
        <f t="shared" ref="N73:N74" si="38">I73</f>
        <v>0</v>
      </c>
      <c r="U73" s="389">
        <f t="shared" si="22"/>
        <v>0</v>
      </c>
      <c r="V73" s="391"/>
      <c r="W73" s="391"/>
    </row>
    <row r="74" spans="1:23">
      <c r="A74" s="357" t="s">
        <v>477</v>
      </c>
      <c r="B74" s="357" t="s">
        <v>301</v>
      </c>
      <c r="C74" s="390">
        <v>2.1</v>
      </c>
      <c r="D74" s="391">
        <v>0</v>
      </c>
      <c r="F74" s="390">
        <v>2.1</v>
      </c>
      <c r="G74" s="391">
        <f>'[12]Murrey''s 3-15'!C74+'[12]Murrrey''s 4-15'!C74+'[12]Murrey''s 5-15'!C74+'[12]Murrey''s 6-15'!C74+'[12]Murrey''s 7-15'!C74+'[12]Murrey''s 8-15'!C74+'[12]Murrey''s 9-15'!C74+'[12]Murrey''s 10-15'!C74+'[12]Murrey''s 11-15'!C74+'[12]Murrey''s 12-15'!C74</f>
        <v>0</v>
      </c>
      <c r="I74" s="391">
        <f t="shared" si="35"/>
        <v>0</v>
      </c>
      <c r="J74" s="389">
        <f t="shared" si="36"/>
        <v>0</v>
      </c>
      <c r="K74" s="389">
        <f t="shared" si="37"/>
        <v>0</v>
      </c>
      <c r="N74" s="391">
        <f t="shared" si="38"/>
        <v>0</v>
      </c>
      <c r="U74" s="389">
        <f t="shared" si="22"/>
        <v>0</v>
      </c>
      <c r="V74" s="391"/>
      <c r="W74" s="391"/>
    </row>
    <row r="75" spans="1:23">
      <c r="A75" s="356"/>
      <c r="B75" s="356"/>
      <c r="C75" s="379"/>
      <c r="F75" s="379"/>
      <c r="U75" s="389">
        <f t="shared" si="22"/>
        <v>0</v>
      </c>
      <c r="V75" s="391"/>
      <c r="W75" s="391"/>
    </row>
    <row r="76" spans="1:23">
      <c r="A76" s="356" t="s">
        <v>508</v>
      </c>
      <c r="B76" s="356" t="s">
        <v>305</v>
      </c>
      <c r="C76" s="390">
        <v>17.79</v>
      </c>
      <c r="D76" s="391">
        <v>15286.33</v>
      </c>
      <c r="F76" s="390">
        <v>18.11</v>
      </c>
      <c r="G76" s="391">
        <f>'[12]Murrey''s 3-15'!C76+'[12]Murrrey''s 4-15'!C76+'[12]Murrey''s 5-15'!C76+'[12]Murrey''s 6-15'!C76+'[12]Murrey''s 7-15'!C76+'[12]Murrey''s 8-15'!C76+'[12]Murrey''s 9-15'!C76+'[12]Murrey''s 10-15'!C76+'[12]Murrey''s 11-15'!C76+'[12]Murrey''s 12-15'!C76</f>
        <v>79942.319999999992</v>
      </c>
      <c r="I76" s="391">
        <f t="shared" ref="I76:I85" si="39">D76+G76</f>
        <v>95228.65</v>
      </c>
      <c r="J76" s="389">
        <f t="shared" ref="J76:J85" si="40">D76/C76+G76/F76</f>
        <v>5273.5292601673182</v>
      </c>
      <c r="K76" s="389">
        <f t="shared" ref="K76:K85" si="41">ROUND(J76/12,0)</f>
        <v>439</v>
      </c>
      <c r="Q76" s="391">
        <f>I76-O76</f>
        <v>95228.65</v>
      </c>
      <c r="U76" s="389">
        <f t="shared" si="22"/>
        <v>95228.65</v>
      </c>
      <c r="V76" s="391"/>
      <c r="W76" s="391"/>
    </row>
    <row r="77" spans="1:23">
      <c r="A77" s="356" t="s">
        <v>509</v>
      </c>
      <c r="B77" s="356" t="s">
        <v>306</v>
      </c>
      <c r="C77" s="390">
        <v>18.54</v>
      </c>
      <c r="D77" s="391">
        <v>74.16</v>
      </c>
      <c r="F77" s="390">
        <v>18.86</v>
      </c>
      <c r="G77" s="391">
        <f>'[12]Murrey''s 3-15'!C77+'[12]Murrrey''s 4-15'!C77+'[12]Murrey''s 5-15'!C77+'[12]Murrey''s 6-15'!C77+'[12]Murrey''s 7-15'!C77+'[12]Murrey''s 8-15'!C77+'[12]Murrey''s 9-15'!C77+'[12]Murrey''s 10-15'!C77+'[12]Murrey''s 11-15'!C77+'[12]Murrey''s 12-15'!C77</f>
        <v>396.06</v>
      </c>
      <c r="I77" s="391">
        <f t="shared" si="39"/>
        <v>470.22</v>
      </c>
      <c r="J77" s="389">
        <f t="shared" si="40"/>
        <v>25</v>
      </c>
      <c r="K77" s="389">
        <f t="shared" si="41"/>
        <v>2</v>
      </c>
      <c r="O77" s="393">
        <f>(C77-C76)*J77</f>
        <v>18.75</v>
      </c>
      <c r="Q77" s="391">
        <f t="shared" ref="Q77:Q85" si="42">I77-O77</f>
        <v>451.47</v>
      </c>
      <c r="U77" s="389">
        <f t="shared" si="22"/>
        <v>470.22</v>
      </c>
      <c r="V77" s="391"/>
      <c r="W77" s="391"/>
    </row>
    <row r="78" spans="1:23">
      <c r="A78" s="356" t="s">
        <v>510</v>
      </c>
      <c r="B78" s="356" t="s">
        <v>307</v>
      </c>
      <c r="C78" s="390">
        <v>27.97</v>
      </c>
      <c r="D78" s="391">
        <v>2662.0299999999997</v>
      </c>
      <c r="F78" s="390">
        <v>28.46</v>
      </c>
      <c r="G78" s="391">
        <f>'[12]Murrey''s 3-15'!C78+'[12]Murrrey''s 4-15'!C78+'[12]Murrey''s 5-15'!C78+'[12]Murrey''s 6-15'!C78+'[12]Murrey''s 7-15'!C78+'[12]Murrey''s 8-15'!C78+'[12]Murrey''s 9-15'!C78+'[12]Murrey''s 10-15'!C78+'[12]Murrey''s 11-15'!C78+'[12]Murrey''s 12-15'!C78</f>
        <v>16376.15</v>
      </c>
      <c r="I78" s="391">
        <f t="shared" si="39"/>
        <v>19038.18</v>
      </c>
      <c r="J78" s="389">
        <f t="shared" si="40"/>
        <v>670.58381910042658</v>
      </c>
      <c r="K78" s="389">
        <f t="shared" si="41"/>
        <v>56</v>
      </c>
      <c r="Q78" s="391">
        <f t="shared" si="42"/>
        <v>19038.18</v>
      </c>
      <c r="U78" s="389">
        <f t="shared" si="22"/>
        <v>19038.18</v>
      </c>
      <c r="V78" s="391"/>
      <c r="W78" s="391"/>
    </row>
    <row r="79" spans="1:23">
      <c r="A79" s="356" t="s">
        <v>511</v>
      </c>
      <c r="B79" s="356" t="s">
        <v>308</v>
      </c>
      <c r="C79" s="390">
        <v>28.72</v>
      </c>
      <c r="D79" s="391">
        <v>0</v>
      </c>
      <c r="F79" s="390">
        <v>29.21</v>
      </c>
      <c r="G79" s="391">
        <f>'[12]Murrey''s 3-15'!C79+'[12]Murrrey''s 4-15'!C79+'[12]Murrey''s 5-15'!C79+'[12]Murrey''s 6-15'!C79+'[12]Murrey''s 7-15'!C79+'[12]Murrey''s 8-15'!C79+'[12]Murrey''s 9-15'!C79+'[12]Murrey''s 10-15'!C79+'[12]Murrey''s 11-15'!C79+'[12]Murrey''s 12-15'!C79</f>
        <v>0</v>
      </c>
      <c r="I79" s="391">
        <f t="shared" si="39"/>
        <v>0</v>
      </c>
      <c r="J79" s="389">
        <f t="shared" si="40"/>
        <v>0</v>
      </c>
      <c r="K79" s="389">
        <f t="shared" si="41"/>
        <v>0</v>
      </c>
      <c r="O79" s="393">
        <f>(C79-C78)*J79</f>
        <v>0</v>
      </c>
      <c r="Q79" s="391">
        <f t="shared" si="42"/>
        <v>0</v>
      </c>
      <c r="U79" s="389">
        <f t="shared" si="22"/>
        <v>0</v>
      </c>
      <c r="V79" s="391"/>
      <c r="W79" s="391"/>
    </row>
    <row r="80" spans="1:23">
      <c r="A80" s="356" t="s">
        <v>512</v>
      </c>
      <c r="B80" s="356" t="s">
        <v>309</v>
      </c>
      <c r="C80" s="390">
        <v>41.14</v>
      </c>
      <c r="D80" s="391">
        <v>575.96</v>
      </c>
      <c r="F80" s="390">
        <v>41.88</v>
      </c>
      <c r="G80" s="391">
        <f>'[12]Murrey''s 3-15'!C80+'[12]Murrrey''s 4-15'!C80+'[12]Murrey''s 5-15'!C80+'[12]Murrey''s 6-15'!C80+'[12]Murrey''s 7-15'!C80+'[12]Murrey''s 8-15'!C80+'[12]Murrey''s 9-15'!C80+'[12]Murrey''s 10-15'!C80+'[12]Murrey''s 11-15'!C80+'[12]Murrey''s 12-15'!C80</f>
        <v>2910.66</v>
      </c>
      <c r="I80" s="391">
        <f t="shared" si="39"/>
        <v>3486.62</v>
      </c>
      <c r="J80" s="389">
        <f t="shared" si="40"/>
        <v>83.499999999999986</v>
      </c>
      <c r="K80" s="389">
        <f t="shared" si="41"/>
        <v>7</v>
      </c>
      <c r="Q80" s="391">
        <f t="shared" si="42"/>
        <v>3486.62</v>
      </c>
      <c r="U80" s="389">
        <f t="shared" si="22"/>
        <v>3486.62</v>
      </c>
      <c r="V80" s="391"/>
      <c r="W80" s="391"/>
    </row>
    <row r="81" spans="1:23">
      <c r="A81" s="356" t="s">
        <v>513</v>
      </c>
      <c r="B81" s="356" t="s">
        <v>310</v>
      </c>
      <c r="C81" s="390">
        <v>41.89</v>
      </c>
      <c r="D81" s="391">
        <v>83.78</v>
      </c>
      <c r="F81" s="390">
        <v>42.63</v>
      </c>
      <c r="G81" s="391">
        <f>'[12]Murrey''s 3-15'!C81+'[12]Murrrey''s 4-15'!C81+'[12]Murrey''s 5-15'!C81+'[12]Murrey''s 6-15'!C81+'[12]Murrey''s 7-15'!C81+'[12]Murrey''s 8-15'!C81+'[12]Murrey''s 9-15'!C81+'[12]Murrey''s 10-15'!C81+'[12]Murrey''s 11-15'!C81+'[12]Murrey''s 12-15'!C81</f>
        <v>426.3</v>
      </c>
      <c r="I81" s="391">
        <f t="shared" si="39"/>
        <v>510.08000000000004</v>
      </c>
      <c r="J81" s="389">
        <f t="shared" si="40"/>
        <v>12</v>
      </c>
      <c r="K81" s="389">
        <f t="shared" si="41"/>
        <v>1</v>
      </c>
      <c r="O81" s="393">
        <f>(C81-C80)*J81</f>
        <v>9</v>
      </c>
      <c r="Q81" s="391">
        <f t="shared" si="42"/>
        <v>501.08000000000004</v>
      </c>
      <c r="U81" s="389">
        <f t="shared" si="22"/>
        <v>510.08000000000004</v>
      </c>
      <c r="V81" s="391"/>
      <c r="W81" s="391"/>
    </row>
    <row r="82" spans="1:23">
      <c r="A82" s="356" t="s">
        <v>514</v>
      </c>
      <c r="B82" s="356" t="s">
        <v>311</v>
      </c>
      <c r="C82" s="390">
        <v>54.45</v>
      </c>
      <c r="D82" s="391">
        <v>435.6</v>
      </c>
      <c r="F82" s="390">
        <v>55.38</v>
      </c>
      <c r="G82" s="391">
        <f>'[12]Murrey''s 3-15'!C82+'[12]Murrrey''s 4-15'!C82+'[12]Murrey''s 5-15'!C82+'[12]Murrey''s 6-15'!C82+'[12]Murrey''s 7-15'!C82+'[12]Murrey''s 8-15'!C82+'[12]Murrey''s 9-15'!C82+'[12]Murrey''s 10-15'!C82+'[12]Murrey''s 11-15'!C82+'[12]Murrey''s 12-15'!C82</f>
        <v>2049.06</v>
      </c>
      <c r="I82" s="391">
        <f t="shared" si="39"/>
        <v>2484.66</v>
      </c>
      <c r="J82" s="389">
        <f t="shared" si="40"/>
        <v>45</v>
      </c>
      <c r="K82" s="389">
        <f t="shared" si="41"/>
        <v>4</v>
      </c>
      <c r="Q82" s="391">
        <f t="shared" si="42"/>
        <v>2484.66</v>
      </c>
      <c r="U82" s="389">
        <f t="shared" si="22"/>
        <v>2484.66</v>
      </c>
      <c r="V82" s="391"/>
      <c r="W82" s="391"/>
    </row>
    <row r="83" spans="1:23">
      <c r="A83" s="356" t="s">
        <v>515</v>
      </c>
      <c r="B83" s="356" t="s">
        <v>312</v>
      </c>
      <c r="C83" s="390">
        <v>55.2</v>
      </c>
      <c r="D83" s="391">
        <v>110.4</v>
      </c>
      <c r="F83" s="390">
        <v>56.13</v>
      </c>
      <c r="G83" s="391">
        <f>'[12]Murrey''s 3-15'!C83+'[12]Murrrey''s 4-15'!C83+'[12]Murrey''s 5-15'!C83+'[12]Murrey''s 6-15'!C83+'[12]Murrey''s 7-15'!C83+'[12]Murrey''s 8-15'!C83+'[12]Murrey''s 9-15'!C83+'[12]Murrey''s 10-15'!C83+'[12]Murrey''s 11-15'!C83+'[12]Murrey''s 12-15'!C83</f>
        <v>561.30000000000007</v>
      </c>
      <c r="I83" s="391">
        <f t="shared" si="39"/>
        <v>671.7</v>
      </c>
      <c r="J83" s="389">
        <f t="shared" si="40"/>
        <v>12</v>
      </c>
      <c r="K83" s="389">
        <f t="shared" si="41"/>
        <v>1</v>
      </c>
      <c r="O83" s="393">
        <f>(C83-C82)*J83</f>
        <v>9</v>
      </c>
      <c r="Q83" s="391">
        <f t="shared" si="42"/>
        <v>662.7</v>
      </c>
      <c r="U83" s="389">
        <f t="shared" si="22"/>
        <v>671.7</v>
      </c>
      <c r="V83" s="391"/>
      <c r="W83" s="391"/>
    </row>
    <row r="84" spans="1:23">
      <c r="A84" s="356" t="s">
        <v>516</v>
      </c>
      <c r="B84" s="356" t="s">
        <v>315</v>
      </c>
      <c r="C84" s="390">
        <v>81.69</v>
      </c>
      <c r="D84" s="391">
        <v>0</v>
      </c>
      <c r="F84" s="390">
        <v>83.19</v>
      </c>
      <c r="G84" s="391">
        <f>'[12]Murrey''s 3-15'!C84+'[12]Murrrey''s 4-15'!C84+'[12]Murrey''s 5-15'!C84+'[12]Murrey''s 6-15'!C84+'[12]Murrey''s 7-15'!C84+'[12]Murrey''s 8-15'!C84+'[12]Murrey''s 9-15'!C84+'[12]Murrey''s 10-15'!C84+'[12]Murrey''s 11-15'!C84+'[12]Murrey''s 12-15'!C84</f>
        <v>0</v>
      </c>
      <c r="I84" s="391">
        <f t="shared" si="39"/>
        <v>0</v>
      </c>
      <c r="J84" s="389">
        <f t="shared" si="40"/>
        <v>0</v>
      </c>
      <c r="K84" s="389">
        <f t="shared" si="41"/>
        <v>0</v>
      </c>
      <c r="Q84" s="391">
        <f t="shared" si="42"/>
        <v>0</v>
      </c>
      <c r="U84" s="389">
        <f t="shared" si="22"/>
        <v>0</v>
      </c>
      <c r="V84" s="391"/>
      <c r="W84" s="391"/>
    </row>
    <row r="85" spans="1:23">
      <c r="A85" s="356" t="s">
        <v>517</v>
      </c>
      <c r="B85" s="356" t="s">
        <v>317</v>
      </c>
      <c r="C85" s="390">
        <v>32.39</v>
      </c>
      <c r="D85" s="391">
        <v>64.78</v>
      </c>
      <c r="F85" s="390">
        <v>32.78</v>
      </c>
      <c r="G85" s="391">
        <f>'[12]Murrey''s 3-15'!C85+'[12]Murrrey''s 4-15'!C85+'[12]Murrey''s 5-15'!C85+'[12]Murrey''s 6-15'!C85+'[12]Murrey''s 7-15'!C85+'[12]Murrey''s 8-15'!C85+'[12]Murrey''s 9-15'!C85+'[12]Murrey''s 10-15'!C85+'[12]Murrey''s 11-15'!C85+'[12]Murrey''s 12-15'!C85</f>
        <v>295.02</v>
      </c>
      <c r="I85" s="391">
        <f t="shared" si="39"/>
        <v>359.79999999999995</v>
      </c>
      <c r="J85" s="389">
        <f t="shared" si="40"/>
        <v>11</v>
      </c>
      <c r="K85" s="389">
        <f t="shared" si="41"/>
        <v>1</v>
      </c>
      <c r="Q85" s="391">
        <f t="shared" si="42"/>
        <v>359.79999999999995</v>
      </c>
      <c r="U85" s="389">
        <f t="shared" si="22"/>
        <v>359.79999999999995</v>
      </c>
      <c r="V85" s="391"/>
      <c r="W85" s="391"/>
    </row>
    <row r="86" spans="1:23">
      <c r="A86" s="356"/>
      <c r="B86" s="356"/>
      <c r="C86" s="379"/>
      <c r="F86" s="379"/>
      <c r="U86" s="389">
        <f t="shared" si="22"/>
        <v>0</v>
      </c>
      <c r="V86" s="391"/>
      <c r="W86" s="391"/>
    </row>
    <row r="87" spans="1:23">
      <c r="A87" s="354" t="s">
        <v>518</v>
      </c>
      <c r="B87" s="354" t="s">
        <v>326</v>
      </c>
      <c r="C87" s="379"/>
      <c r="F87" s="379"/>
      <c r="U87" s="389">
        <f t="shared" si="22"/>
        <v>0</v>
      </c>
      <c r="V87" s="391"/>
      <c r="W87" s="391"/>
    </row>
    <row r="88" spans="1:23">
      <c r="A88" s="356" t="s">
        <v>519</v>
      </c>
      <c r="B88" s="356" t="s">
        <v>327</v>
      </c>
      <c r="C88" s="390">
        <v>105.05</v>
      </c>
      <c r="D88" s="391">
        <v>54043.08</v>
      </c>
      <c r="F88" s="390">
        <v>106.73</v>
      </c>
      <c r="G88" s="391">
        <f>'[12]Murrey''s 3-15'!C88+'[12]Murrrey''s 4-15'!C88+'[12]Murrey''s 5-15'!C88+'[12]Murrey''s 6-15'!C88+'[12]Murrey''s 7-15'!C88+'[12]Murrey''s 8-15'!C88+'[12]Murrey''s 9-15'!C88+'[12]Murrey''s 10-15'!C88+'[12]Murrey''s 11-15'!C88+'[12]Murrey''s 12-15'!C88</f>
        <v>278053.17000000004</v>
      </c>
      <c r="I88" s="391">
        <f t="shared" ref="I88:I105" si="43">D88+G88</f>
        <v>332096.25000000006</v>
      </c>
      <c r="J88" s="389">
        <f t="shared" ref="J88:J105" si="44">D88/C88+G88/F88</f>
        <v>3119.6526536042479</v>
      </c>
      <c r="K88" s="389">
        <f t="shared" ref="K88:K105" si="45">ROUND(J88/12,0)</f>
        <v>260</v>
      </c>
      <c r="N88" s="393"/>
      <c r="O88" s="393">
        <f>J88*$B$317*$B$323</f>
        <v>59300.541396567067</v>
      </c>
      <c r="Q88" s="391">
        <f>I88-O88</f>
        <v>272795.70860343298</v>
      </c>
      <c r="U88" s="389">
        <f t="shared" si="22"/>
        <v>332096.25000000006</v>
      </c>
      <c r="V88" s="391"/>
      <c r="W88" s="391"/>
    </row>
    <row r="89" spans="1:23">
      <c r="A89" s="356" t="s">
        <v>520</v>
      </c>
      <c r="B89" s="356" t="s">
        <v>328</v>
      </c>
      <c r="C89" s="397">
        <v>210.09</v>
      </c>
      <c r="D89" s="391">
        <v>0</v>
      </c>
      <c r="F89" s="397">
        <v>213.47</v>
      </c>
      <c r="G89" s="391">
        <f>'[12]Murrey''s 3-15'!C89+'[12]Murrrey''s 4-15'!C89+'[12]Murrey''s 5-15'!C89+'[12]Murrey''s 6-15'!C89+'[12]Murrey''s 7-15'!C89+'[12]Murrey''s 8-15'!C89+'[12]Murrey''s 9-15'!C89+'[12]Murrey''s 10-15'!C89+'[12]Murrey''s 11-15'!C89+'[12]Murrey''s 12-15'!C89</f>
        <v>0</v>
      </c>
      <c r="I89" s="391">
        <f t="shared" si="43"/>
        <v>0</v>
      </c>
      <c r="J89" s="389">
        <f t="shared" si="44"/>
        <v>0</v>
      </c>
      <c r="K89" s="389">
        <f t="shared" si="45"/>
        <v>0</v>
      </c>
      <c r="N89" s="393"/>
      <c r="O89" s="393">
        <f>J89*B317*B323</f>
        <v>0</v>
      </c>
      <c r="Q89" s="391">
        <f t="shared" ref="Q89:Q111" si="46">I89-O89</f>
        <v>0</v>
      </c>
      <c r="U89" s="389">
        <f t="shared" si="22"/>
        <v>0</v>
      </c>
      <c r="V89" s="391"/>
      <c r="W89" s="391"/>
    </row>
    <row r="90" spans="1:23">
      <c r="A90" s="356" t="s">
        <v>521</v>
      </c>
      <c r="B90" s="356" t="s">
        <v>329</v>
      </c>
      <c r="C90" s="397">
        <v>147.31</v>
      </c>
      <c r="D90" s="391">
        <v>12041.779999999999</v>
      </c>
      <c r="F90" s="397">
        <v>149.69</v>
      </c>
      <c r="G90" s="391">
        <f>'[12]Murrey''s 3-15'!C90+'[12]Murrrey''s 4-15'!C90+'[12]Murrey''s 5-15'!C90+'[12]Murrey''s 6-15'!C90+'[12]Murrey''s 7-15'!C90+'[12]Murrey''s 8-15'!C90+'[12]Murrey''s 9-15'!C90+'[12]Murrey''s 10-15'!C90+'[12]Murrey''s 11-15'!C90+'[12]Murrey''s 12-15'!C90</f>
        <v>58940.44</v>
      </c>
      <c r="I90" s="391">
        <f t="shared" si="43"/>
        <v>70982.22</v>
      </c>
      <c r="J90" s="389">
        <f t="shared" si="44"/>
        <v>475.49450112179204</v>
      </c>
      <c r="K90" s="389">
        <f t="shared" si="45"/>
        <v>40</v>
      </c>
      <c r="N90" s="393"/>
      <c r="O90" s="393">
        <f>J90*$B$317*$B$323*$B$327</f>
        <v>13557.798485210711</v>
      </c>
      <c r="Q90" s="391">
        <f t="shared" si="46"/>
        <v>57424.42151478929</v>
      </c>
      <c r="U90" s="389">
        <f t="shared" si="22"/>
        <v>70982.22</v>
      </c>
      <c r="V90" s="391"/>
      <c r="W90" s="391"/>
    </row>
    <row r="91" spans="1:23">
      <c r="A91" s="356" t="s">
        <v>522</v>
      </c>
      <c r="B91" s="356" t="s">
        <v>330</v>
      </c>
      <c r="C91" s="397">
        <v>294.61</v>
      </c>
      <c r="D91" s="391">
        <v>0</v>
      </c>
      <c r="F91" s="397">
        <v>299.38</v>
      </c>
      <c r="G91" s="391">
        <f>'[12]Murrey''s 3-15'!C91+'[12]Murrrey''s 4-15'!C91+'[12]Murrey''s 5-15'!C91+'[12]Murrey''s 6-15'!C91+'[12]Murrey''s 7-15'!C91+'[12]Murrey''s 8-15'!C91+'[12]Murrey''s 9-15'!C91+'[12]Murrey''s 10-15'!C91+'[12]Murrey''s 11-15'!C91+'[12]Murrey''s 12-15'!C91</f>
        <v>0</v>
      </c>
      <c r="I91" s="391">
        <f t="shared" si="43"/>
        <v>0</v>
      </c>
      <c r="J91" s="389">
        <f t="shared" si="44"/>
        <v>0</v>
      </c>
      <c r="K91" s="389">
        <f t="shared" si="45"/>
        <v>0</v>
      </c>
      <c r="N91" s="393"/>
      <c r="O91" s="393">
        <f>J91*$B$318*$B$323*$B$327</f>
        <v>0</v>
      </c>
      <c r="Q91" s="391">
        <f t="shared" si="46"/>
        <v>0</v>
      </c>
      <c r="U91" s="389">
        <f t="shared" si="22"/>
        <v>0</v>
      </c>
      <c r="V91" s="391"/>
      <c r="W91" s="391"/>
    </row>
    <row r="92" spans="1:23">
      <c r="A92" s="357" t="s">
        <v>523</v>
      </c>
      <c r="B92" s="357" t="s">
        <v>331</v>
      </c>
      <c r="C92" s="397">
        <v>441.92</v>
      </c>
      <c r="D92" s="391">
        <v>0</v>
      </c>
      <c r="F92" s="397">
        <v>449.06</v>
      </c>
      <c r="G92" s="391">
        <f>'[12]Murrey''s 3-15'!C92+'[12]Murrrey''s 4-15'!C92+'[12]Murrey''s 5-15'!C92+'[12]Murrey''s 6-15'!C92+'[12]Murrey''s 7-15'!C92+'[12]Murrey''s 8-15'!C92+'[12]Murrey''s 9-15'!C92+'[12]Murrey''s 10-15'!C92+'[12]Murrey''s 11-15'!C92+'[12]Murrey''s 12-15'!C92</f>
        <v>0</v>
      </c>
      <c r="I92" s="391">
        <f t="shared" si="43"/>
        <v>0</v>
      </c>
      <c r="J92" s="389">
        <f t="shared" si="44"/>
        <v>0</v>
      </c>
      <c r="K92" s="389">
        <f t="shared" si="45"/>
        <v>0</v>
      </c>
      <c r="N92" s="393"/>
      <c r="O92" s="393">
        <f>J92*$B$319*$B$323*$B$327</f>
        <v>0</v>
      </c>
      <c r="Q92" s="391">
        <f t="shared" si="46"/>
        <v>0</v>
      </c>
      <c r="U92" s="389">
        <f t="shared" si="22"/>
        <v>0</v>
      </c>
      <c r="V92" s="391"/>
      <c r="W92" s="391"/>
    </row>
    <row r="93" spans="1:23">
      <c r="A93" s="356" t="s">
        <v>524</v>
      </c>
      <c r="B93" s="356" t="s">
        <v>332</v>
      </c>
      <c r="C93" s="390">
        <v>185.63</v>
      </c>
      <c r="D93" s="391">
        <v>30024.05</v>
      </c>
      <c r="F93" s="390">
        <v>188.7</v>
      </c>
      <c r="G93" s="391">
        <f>'[12]Murrey''s 3-15'!C93+'[12]Murrrey''s 4-15'!C93+'[12]Murrey''s 5-15'!C93+'[12]Murrey''s 6-15'!C93+'[12]Murrey''s 7-15'!C93+'[12]Murrey''s 8-15'!C93+'[12]Murrey''s 9-15'!C93+'[12]Murrey''s 10-15'!C93+'[12]Murrey''s 11-15'!C93+'[12]Murrey''s 12-15'!C93</f>
        <v>146431.28000000003</v>
      </c>
      <c r="I93" s="391">
        <f t="shared" si="43"/>
        <v>176455.33000000002</v>
      </c>
      <c r="J93" s="389">
        <f t="shared" si="44"/>
        <v>937.74179118926463</v>
      </c>
      <c r="K93" s="389">
        <f t="shared" si="45"/>
        <v>78</v>
      </c>
      <c r="N93" s="393"/>
      <c r="O93" s="393">
        <f>J93*$B$317*$B$323*$B$328</f>
        <v>35650.504772358749</v>
      </c>
      <c r="Q93" s="391">
        <f t="shared" si="46"/>
        <v>140804.82522764127</v>
      </c>
      <c r="U93" s="389">
        <f t="shared" si="22"/>
        <v>176455.33000000002</v>
      </c>
      <c r="V93" s="391"/>
      <c r="W93" s="391"/>
    </row>
    <row r="94" spans="1:23">
      <c r="A94" s="356" t="s">
        <v>525</v>
      </c>
      <c r="B94" s="356" t="s">
        <v>333</v>
      </c>
      <c r="C94" s="390">
        <v>371.25</v>
      </c>
      <c r="D94" s="391">
        <v>3526.88</v>
      </c>
      <c r="F94" s="390">
        <v>377.4</v>
      </c>
      <c r="G94" s="391">
        <f>'[12]Murrey''s 3-15'!C94+'[12]Murrrey''s 4-15'!C94+'[12]Murrey''s 5-15'!C94+'[12]Murrey''s 6-15'!C94+'[12]Murrey''s 7-15'!C94+'[12]Murrey''s 8-15'!C94+'[12]Murrey''s 9-15'!C94+'[12]Murrey''s 10-15'!C94+'[12]Murrey''s 11-15'!C94+'[12]Murrey''s 12-15'!C94</f>
        <v>15567.75</v>
      </c>
      <c r="I94" s="391">
        <f t="shared" si="43"/>
        <v>19094.63</v>
      </c>
      <c r="J94" s="389">
        <f t="shared" si="44"/>
        <v>50.750013468013471</v>
      </c>
      <c r="K94" s="389">
        <f t="shared" si="45"/>
        <v>4</v>
      </c>
      <c r="N94" s="393"/>
      <c r="O94" s="393">
        <f>J94*$B$318*$B$323*$B$328</f>
        <v>3858.7671240377103</v>
      </c>
      <c r="Q94" s="391">
        <f t="shared" si="46"/>
        <v>15235.862875962292</v>
      </c>
      <c r="U94" s="389">
        <f t="shared" si="22"/>
        <v>19094.63</v>
      </c>
      <c r="V94" s="391"/>
      <c r="W94" s="391"/>
    </row>
    <row r="95" spans="1:23">
      <c r="A95" s="356" t="s">
        <v>526</v>
      </c>
      <c r="B95" s="356" t="s">
        <v>334</v>
      </c>
      <c r="C95" s="390">
        <v>556.88</v>
      </c>
      <c r="D95" s="391">
        <v>1437.12</v>
      </c>
      <c r="F95" s="390">
        <v>566.1</v>
      </c>
      <c r="G95" s="391">
        <f>'[12]Murrey''s 3-15'!C95+'[12]Murrrey''s 4-15'!C95+'[12]Murrey''s 5-15'!C95+'[12]Murrey''s 6-15'!C95+'[12]Murrey''s 7-15'!C95+'[12]Murrey''s 8-15'!C95+'[12]Murrey''s 9-15'!C95+'[12]Murrey''s 10-15'!C95+'[12]Murrey''s 11-15'!C95+'[12]Murrey''s 12-15'!C95</f>
        <v>11322.000000000002</v>
      </c>
      <c r="I95" s="391">
        <f t="shared" si="43"/>
        <v>12759.120000000003</v>
      </c>
      <c r="J95" s="389">
        <f t="shared" si="44"/>
        <v>22.58066369774458</v>
      </c>
      <c r="K95" s="389">
        <f t="shared" si="45"/>
        <v>2</v>
      </c>
      <c r="N95" s="393"/>
      <c r="O95" s="393">
        <f>J95*$B$319*$B$323*$B$328</f>
        <v>2575.3743721879041</v>
      </c>
      <c r="Q95" s="391">
        <f t="shared" si="46"/>
        <v>10183.745627812099</v>
      </c>
      <c r="U95" s="389">
        <f t="shared" si="22"/>
        <v>12759.120000000003</v>
      </c>
      <c r="V95" s="391"/>
      <c r="W95" s="391"/>
    </row>
    <row r="96" spans="1:23">
      <c r="A96" s="356" t="s">
        <v>527</v>
      </c>
      <c r="B96" s="356" t="s">
        <v>335</v>
      </c>
      <c r="C96" s="390">
        <v>353.07</v>
      </c>
      <c r="D96" s="391">
        <v>13416.28</v>
      </c>
      <c r="F96" s="390">
        <v>358.91</v>
      </c>
      <c r="G96" s="391">
        <f>'[12]Murrey''s 3-15'!C96+'[12]Murrrey''s 4-15'!C96+'[12]Murrey''s 5-15'!C96+'[12]Murrey''s 6-15'!C96+'[12]Murrey''s 7-15'!C96+'[12]Murrey''s 8-15'!C96+'[12]Murrey''s 9-15'!C96+'[12]Murrey''s 10-15'!C96+'[12]Murrey''s 11-15'!C96+'[12]Murrey''s 12-15'!C96</f>
        <v>69090.179999999993</v>
      </c>
      <c r="I96" s="391">
        <f t="shared" si="43"/>
        <v>82506.459999999992</v>
      </c>
      <c r="J96" s="389">
        <f t="shared" si="44"/>
        <v>230.49893765724232</v>
      </c>
      <c r="K96" s="389">
        <f t="shared" si="45"/>
        <v>19</v>
      </c>
      <c r="N96" s="393"/>
      <c r="O96" s="393">
        <f>J96*$B$317*$B$323*$B$330</f>
        <v>17525.940624980889</v>
      </c>
      <c r="Q96" s="391">
        <f t="shared" si="46"/>
        <v>64980.519375019103</v>
      </c>
      <c r="U96" s="389">
        <f t="shared" si="22"/>
        <v>82506.459999999992</v>
      </c>
      <c r="V96" s="391"/>
      <c r="W96" s="391"/>
    </row>
    <row r="97" spans="1:23">
      <c r="A97" s="356" t="s">
        <v>528</v>
      </c>
      <c r="B97" s="356" t="s">
        <v>336</v>
      </c>
      <c r="C97" s="390">
        <v>706.14</v>
      </c>
      <c r="D97" s="391">
        <v>1412.26</v>
      </c>
      <c r="F97" s="390">
        <v>717.83</v>
      </c>
      <c r="G97" s="391">
        <f>'[12]Murrey''s 3-15'!C97+'[12]Murrrey''s 4-15'!C97+'[12]Murrey''s 5-15'!C97+'[12]Murrey''s 6-15'!C97+'[12]Murrey''s 7-15'!C97+'[12]Murrey''s 8-15'!C97+'[12]Murrey''s 9-15'!C97+'[12]Murrey''s 10-15'!C97+'[12]Murrey''s 11-15'!C97+'[12]Murrey''s 12-15'!C97</f>
        <v>7178.3</v>
      </c>
      <c r="I97" s="391">
        <f t="shared" si="43"/>
        <v>8590.56</v>
      </c>
      <c r="J97" s="389">
        <f t="shared" si="44"/>
        <v>11.999971677004559</v>
      </c>
      <c r="K97" s="389">
        <f t="shared" si="45"/>
        <v>1</v>
      </c>
      <c r="N97" s="393"/>
      <c r="O97" s="393">
        <f>J97*$B$318*$B$323*$B$330</f>
        <v>1824.8308929334123</v>
      </c>
      <c r="Q97" s="391">
        <f t="shared" si="46"/>
        <v>6765.7291070665869</v>
      </c>
      <c r="U97" s="389">
        <f t="shared" si="22"/>
        <v>8590.56</v>
      </c>
      <c r="V97" s="391"/>
      <c r="W97" s="391"/>
    </row>
    <row r="98" spans="1:23">
      <c r="A98" s="356" t="s">
        <v>529</v>
      </c>
      <c r="B98" s="356" t="s">
        <v>337</v>
      </c>
      <c r="C98" s="390">
        <v>1059.2</v>
      </c>
      <c r="D98" s="391">
        <v>0</v>
      </c>
      <c r="F98" s="390">
        <v>1076.74</v>
      </c>
      <c r="G98" s="391">
        <f>'[12]Murrey''s 3-15'!C98+'[12]Murrrey''s 4-15'!C98+'[12]Murrey''s 5-15'!C98+'[12]Murrey''s 6-15'!C98+'[12]Murrey''s 7-15'!C98+'[12]Murrey''s 8-15'!C98+'[12]Murrey''s 9-15'!C98+'[12]Murrey''s 10-15'!C98+'[12]Murrey''s 11-15'!C98+'[12]Murrey''s 12-15'!C98</f>
        <v>0</v>
      </c>
      <c r="I98" s="391">
        <f t="shared" si="43"/>
        <v>0</v>
      </c>
      <c r="J98" s="389">
        <f t="shared" si="44"/>
        <v>0</v>
      </c>
      <c r="K98" s="389">
        <f t="shared" si="45"/>
        <v>0</v>
      </c>
      <c r="N98" s="393"/>
      <c r="O98" s="393">
        <f>J98*$B$319*$B$323*$B$330</f>
        <v>0</v>
      </c>
      <c r="Q98" s="391">
        <f t="shared" si="46"/>
        <v>0</v>
      </c>
      <c r="U98" s="389">
        <f t="shared" si="22"/>
        <v>0</v>
      </c>
      <c r="V98" s="391"/>
      <c r="W98" s="391"/>
    </row>
    <row r="99" spans="1:23">
      <c r="A99" s="356" t="s">
        <v>530</v>
      </c>
      <c r="B99" s="356" t="s">
        <v>338</v>
      </c>
      <c r="C99" s="390">
        <v>497.26</v>
      </c>
      <c r="D99" s="391">
        <v>21381.75</v>
      </c>
      <c r="F99" s="390">
        <v>505.27</v>
      </c>
      <c r="G99" s="391">
        <f>'[12]Murrey''s 3-15'!C99+'[12]Murrrey''s 4-15'!C99+'[12]Murrey''s 5-15'!C99+'[12]Murrey''s 6-15'!C99+'[12]Murrey''s 7-15'!C99+'[12]Murrey''s 8-15'!C99+'[12]Murrey''s 9-15'!C99+'[12]Murrey''s 10-15'!C99+'[12]Murrey''s 11-15'!C99+'[12]Murrey''s 12-15'!C99</f>
        <v>113180.48999999999</v>
      </c>
      <c r="I99" s="391">
        <f t="shared" si="43"/>
        <v>134562.23999999999</v>
      </c>
      <c r="J99" s="389">
        <f t="shared" si="44"/>
        <v>266.99915505263021</v>
      </c>
      <c r="K99" s="389">
        <f t="shared" si="45"/>
        <v>22</v>
      </c>
      <c r="N99" s="393"/>
      <c r="O99" s="393">
        <f>J99*$B$317*$B$323*$B$331</f>
        <v>30451.841031893586</v>
      </c>
      <c r="Q99" s="391">
        <f t="shared" si="46"/>
        <v>104110.3989681064</v>
      </c>
      <c r="U99" s="389">
        <f t="shared" si="22"/>
        <v>134562.23999999999</v>
      </c>
      <c r="V99" s="391"/>
      <c r="W99" s="391"/>
    </row>
    <row r="100" spans="1:23">
      <c r="A100" s="356" t="s">
        <v>531</v>
      </c>
      <c r="B100" s="356" t="s">
        <v>339</v>
      </c>
      <c r="C100" s="390">
        <v>994.51</v>
      </c>
      <c r="D100" s="391">
        <v>29017.25</v>
      </c>
      <c r="F100" s="390">
        <v>1010.54</v>
      </c>
      <c r="G100" s="391">
        <f>'[12]Murrey''s 3-15'!C100+'[12]Murrrey''s 4-15'!C100+'[12]Murrey''s 5-15'!C100+'[12]Murrey''s 6-15'!C100+'[12]Murrey''s 7-15'!C100+'[12]Murrey''s 8-15'!C100+'[12]Murrey''s 9-15'!C100+'[12]Murrey''s 10-15'!C100+'[12]Murrey''s 11-15'!C100+'[12]Murrey''s 12-15'!C100</f>
        <v>147033.58000000002</v>
      </c>
      <c r="I100" s="391">
        <f t="shared" si="43"/>
        <v>176050.83000000002</v>
      </c>
      <c r="J100" s="389">
        <f t="shared" si="44"/>
        <v>174.67744400898127</v>
      </c>
      <c r="K100" s="389">
        <f t="shared" si="45"/>
        <v>15</v>
      </c>
      <c r="N100" s="393"/>
      <c r="O100" s="393">
        <f>J100*$B$318*$B$323*$B$331</f>
        <v>39844.693559202264</v>
      </c>
      <c r="Q100" s="391">
        <f t="shared" si="46"/>
        <v>136206.13644079777</v>
      </c>
      <c r="U100" s="389">
        <f t="shared" si="22"/>
        <v>176050.83000000002</v>
      </c>
      <c r="V100" s="391"/>
      <c r="W100" s="391"/>
    </row>
    <row r="101" spans="1:23">
      <c r="A101" s="356" t="s">
        <v>532</v>
      </c>
      <c r="B101" s="356" t="s">
        <v>340</v>
      </c>
      <c r="C101" s="390">
        <v>1491.77</v>
      </c>
      <c r="D101" s="391">
        <v>5967.08</v>
      </c>
      <c r="F101" s="390">
        <v>1515.8</v>
      </c>
      <c r="G101" s="391">
        <f>'[12]Murrey''s 3-15'!C101+'[12]Murrrey''s 4-15'!C101+'[12]Murrey''s 5-15'!C101+'[12]Murrey''s 6-15'!C101+'[12]Murrey''s 7-15'!C101+'[12]Murrey''s 8-15'!C101+'[12]Murrey''s 9-15'!C101+'[12]Murrey''s 10-15'!C101+'[12]Murrey''s 11-15'!C101+'[12]Murrey''s 12-15'!C101</f>
        <v>30315.999999999993</v>
      </c>
      <c r="I101" s="391">
        <f t="shared" si="43"/>
        <v>36283.079999999994</v>
      </c>
      <c r="J101" s="389">
        <f t="shared" si="44"/>
        <v>23.999999999999996</v>
      </c>
      <c r="K101" s="389">
        <f t="shared" si="45"/>
        <v>2</v>
      </c>
      <c r="N101" s="393"/>
      <c r="O101" s="393">
        <f>J101*$B$319*$B$323*$B$331</f>
        <v>8211.7583999999988</v>
      </c>
      <c r="Q101" s="391">
        <f t="shared" si="46"/>
        <v>28071.321599999996</v>
      </c>
      <c r="U101" s="389">
        <f t="shared" si="22"/>
        <v>36283.079999999994</v>
      </c>
      <c r="V101" s="391"/>
      <c r="W101" s="391"/>
    </row>
    <row r="102" spans="1:23">
      <c r="A102" s="356" t="s">
        <v>533</v>
      </c>
      <c r="B102" s="356" t="s">
        <v>341</v>
      </c>
      <c r="C102" s="390">
        <v>1989.03</v>
      </c>
      <c r="D102" s="391">
        <v>0</v>
      </c>
      <c r="F102" s="390">
        <v>2021.07</v>
      </c>
      <c r="G102" s="391">
        <f>'[12]Murrey''s 3-15'!C102+'[12]Murrrey''s 4-15'!C102+'[12]Murrey''s 5-15'!C102+'[12]Murrey''s 6-15'!C102+'[12]Murrey''s 7-15'!C102+'[12]Murrey''s 8-15'!C102+'[12]Murrey''s 9-15'!C102+'[12]Murrey''s 10-15'!C102+'[12]Murrey''s 11-15'!C102+'[12]Murrey''s 12-15'!C102</f>
        <v>0</v>
      </c>
      <c r="I102" s="391">
        <f t="shared" si="43"/>
        <v>0</v>
      </c>
      <c r="J102" s="389">
        <f t="shared" si="44"/>
        <v>0</v>
      </c>
      <c r="K102" s="389">
        <f t="shared" si="45"/>
        <v>0</v>
      </c>
      <c r="N102" s="393"/>
      <c r="Q102" s="391">
        <f t="shared" si="46"/>
        <v>0</v>
      </c>
      <c r="U102" s="389">
        <f t="shared" si="22"/>
        <v>0</v>
      </c>
      <c r="V102" s="391"/>
      <c r="W102" s="391"/>
    </row>
    <row r="103" spans="1:23">
      <c r="A103" s="356" t="s">
        <v>534</v>
      </c>
      <c r="B103" s="356" t="s">
        <v>610</v>
      </c>
      <c r="C103" s="390">
        <v>26.26</v>
      </c>
      <c r="D103" s="391">
        <v>393.9</v>
      </c>
      <c r="F103" s="390">
        <v>26.65</v>
      </c>
      <c r="G103" s="391">
        <f>'[12]Murrey''s 3-15'!C103+'[12]Murrrey''s 4-15'!C103+'[12]Murrey''s 5-15'!C103+'[12]Murrey''s 6-15'!C103+'[12]Murrey''s 7-15'!C103+'[12]Murrey''s 8-15'!C103+'[12]Murrey''s 9-15'!C103+'[12]Murrey''s 10-15'!C103+'[12]Murrey''s 11-15'!C103+'[12]Murrey''s 12-15'!C103</f>
        <v>2317.3799999999997</v>
      </c>
      <c r="I103" s="391">
        <f t="shared" si="43"/>
        <v>2711.2799999999997</v>
      </c>
      <c r="J103" s="389">
        <f t="shared" si="44"/>
        <v>101.95609756097561</v>
      </c>
      <c r="K103" s="389">
        <f t="shared" si="45"/>
        <v>8</v>
      </c>
      <c r="N103" s="393"/>
      <c r="O103" s="393">
        <f>J103*$B$323</f>
        <v>447.58726829268289</v>
      </c>
      <c r="Q103" s="391">
        <f t="shared" si="46"/>
        <v>2263.6927317073169</v>
      </c>
      <c r="U103" s="389">
        <f t="shared" si="22"/>
        <v>2711.2799999999997</v>
      </c>
      <c r="V103" s="391"/>
      <c r="W103" s="391"/>
    </row>
    <row r="104" spans="1:23">
      <c r="A104" s="356" t="s">
        <v>536</v>
      </c>
      <c r="B104" s="356" t="s">
        <v>672</v>
      </c>
      <c r="C104" s="390">
        <v>36.020000000000003</v>
      </c>
      <c r="D104" s="391">
        <v>0</v>
      </c>
      <c r="F104" s="390">
        <v>36.57</v>
      </c>
      <c r="G104" s="391">
        <f>'[12]Murrey''s 3-15'!C104+'[12]Murrrey''s 4-15'!C104+'[12]Murrey''s 5-15'!C104+'[12]Murrey''s 6-15'!C104+'[12]Murrey''s 7-15'!C104+'[12]Murrey''s 8-15'!C104+'[12]Murrey''s 9-15'!C104+'[12]Murrey''s 10-15'!C104+'[12]Murrey''s 11-15'!C104+'[12]Murrey''s 12-15'!C104</f>
        <v>146.28</v>
      </c>
      <c r="I104" s="391">
        <f t="shared" si="43"/>
        <v>146.28</v>
      </c>
      <c r="J104" s="389">
        <f t="shared" si="44"/>
        <v>4</v>
      </c>
      <c r="K104" s="389">
        <f t="shared" si="45"/>
        <v>0</v>
      </c>
      <c r="N104" s="393"/>
      <c r="O104" s="393">
        <f>J104*$B$323*$B$327</f>
        <v>26.339999999999996</v>
      </c>
      <c r="Q104" s="391">
        <f t="shared" si="46"/>
        <v>119.94</v>
      </c>
      <c r="U104" s="389">
        <f t="shared" si="22"/>
        <v>146.28</v>
      </c>
      <c r="V104" s="391"/>
      <c r="W104" s="391"/>
    </row>
    <row r="105" spans="1:23">
      <c r="A105" s="356" t="s">
        <v>538</v>
      </c>
      <c r="B105" s="356" t="s">
        <v>673</v>
      </c>
      <c r="C105" s="390">
        <v>44.87</v>
      </c>
      <c r="D105" s="391">
        <v>987.14</v>
      </c>
      <c r="F105" s="390">
        <v>45.58</v>
      </c>
      <c r="G105" s="391">
        <f>'[12]Murrey''s 3-15'!C105+'[12]Murrrey''s 4-15'!C105+'[12]Murrey''s 5-15'!C105+'[12]Murrey''s 6-15'!C105+'[12]Murrey''s 7-15'!C105+'[12]Murrey''s 8-15'!C105+'[12]Murrey''s 9-15'!C105+'[12]Murrey''s 10-15'!C105+'[12]Murrey''s 11-15'!C105+'[12]Murrey''s 12-15'!C105</f>
        <v>9947.4800000000014</v>
      </c>
      <c r="I105" s="391">
        <f t="shared" si="43"/>
        <v>10934.62</v>
      </c>
      <c r="J105" s="389">
        <f t="shared" si="44"/>
        <v>240.24221149627033</v>
      </c>
      <c r="K105" s="389">
        <f t="shared" si="45"/>
        <v>20</v>
      </c>
      <c r="N105" s="393"/>
      <c r="O105" s="393">
        <f>J105*$B$323*$B$328</f>
        <v>2109.3266169372532</v>
      </c>
      <c r="Q105" s="391">
        <f t="shared" si="46"/>
        <v>8825.293383062748</v>
      </c>
      <c r="U105" s="389">
        <f t="shared" si="22"/>
        <v>10934.62</v>
      </c>
      <c r="V105" s="391"/>
      <c r="W105" s="391"/>
    </row>
    <row r="106" spans="1:23">
      <c r="A106" s="356"/>
      <c r="B106" s="356"/>
      <c r="C106" s="379"/>
      <c r="F106" s="379"/>
      <c r="N106" s="393"/>
      <c r="Q106" s="391">
        <f t="shared" si="46"/>
        <v>0</v>
      </c>
      <c r="U106" s="389">
        <f t="shared" si="22"/>
        <v>0</v>
      </c>
      <c r="V106" s="391"/>
      <c r="W106" s="391"/>
    </row>
    <row r="107" spans="1:23">
      <c r="A107" s="356" t="s">
        <v>540</v>
      </c>
      <c r="B107" s="356" t="s">
        <v>616</v>
      </c>
      <c r="C107" s="390">
        <v>26.26</v>
      </c>
      <c r="D107" s="391">
        <v>26.26</v>
      </c>
      <c r="F107" s="390">
        <v>26.65</v>
      </c>
      <c r="G107" s="391">
        <f>'[12]Murrey''s 3-15'!C107+'[12]Murrrey''s 4-15'!C107+'[12]Murrey''s 5-15'!C107+'[12]Murrey''s 6-15'!C107+'[12]Murrey''s 7-15'!C107+'[12]Murrey''s 8-15'!C107+'[12]Murrey''s 9-15'!C107+'[12]Murrey''s 10-15'!C107+'[12]Murrey''s 11-15'!C107+'[12]Murrey''s 12-15'!C107</f>
        <v>373.09999999999997</v>
      </c>
      <c r="I107" s="391">
        <f t="shared" ref="I107:I111" si="47">D107+G107</f>
        <v>399.35999999999996</v>
      </c>
      <c r="J107" s="389">
        <f t="shared" ref="J107:J111" si="48">D107/C107+G107/F107</f>
        <v>15</v>
      </c>
      <c r="K107" s="389">
        <f t="shared" ref="K107:K111" si="49">ROUND(J107/12,0)</f>
        <v>1</v>
      </c>
      <c r="N107" s="393"/>
      <c r="O107" s="393">
        <f>J107*$B$323</f>
        <v>65.849999999999994</v>
      </c>
      <c r="Q107" s="391">
        <f t="shared" si="46"/>
        <v>333.51</v>
      </c>
      <c r="U107" s="389">
        <f t="shared" si="22"/>
        <v>399.36</v>
      </c>
      <c r="V107" s="391"/>
      <c r="W107" s="391"/>
    </row>
    <row r="108" spans="1:23">
      <c r="A108" s="356" t="s">
        <v>542</v>
      </c>
      <c r="B108" s="356" t="s">
        <v>619</v>
      </c>
      <c r="C108" s="390">
        <v>36.020000000000003</v>
      </c>
      <c r="D108" s="391">
        <v>0</v>
      </c>
      <c r="F108" s="390">
        <v>36.57</v>
      </c>
      <c r="G108" s="391">
        <f>'[12]Murrey''s 3-15'!C108+'[12]Murrrey''s 4-15'!C108+'[12]Murrey''s 5-15'!C108+'[12]Murrey''s 6-15'!C108+'[12]Murrey''s 7-15'!C108+'[12]Murrey''s 8-15'!C108+'[12]Murrey''s 9-15'!C108+'[12]Murrey''s 10-15'!C108+'[12]Murrey''s 11-15'!C108+'[12]Murrey''s 12-15'!C108</f>
        <v>36.57</v>
      </c>
      <c r="I108" s="391">
        <f t="shared" si="47"/>
        <v>36.57</v>
      </c>
      <c r="J108" s="389">
        <f t="shared" si="48"/>
        <v>1</v>
      </c>
      <c r="K108" s="389">
        <f t="shared" si="49"/>
        <v>0</v>
      </c>
      <c r="N108" s="393"/>
      <c r="O108" s="393">
        <f>J108*$B$323*$B$327</f>
        <v>6.5849999999999991</v>
      </c>
      <c r="Q108" s="391">
        <f t="shared" si="46"/>
        <v>29.984999999999999</v>
      </c>
      <c r="U108" s="389">
        <f t="shared" si="22"/>
        <v>36.57</v>
      </c>
      <c r="V108" s="391"/>
      <c r="W108" s="391"/>
    </row>
    <row r="109" spans="1:23">
      <c r="A109" s="356" t="s">
        <v>544</v>
      </c>
      <c r="B109" s="356" t="s">
        <v>621</v>
      </c>
      <c r="C109" s="390">
        <v>44.87</v>
      </c>
      <c r="D109" s="391">
        <v>134.60999999999999</v>
      </c>
      <c r="F109" s="390">
        <v>45.58</v>
      </c>
      <c r="G109" s="391">
        <f>'[12]Murrey''s 3-15'!C109+'[12]Murrrey''s 4-15'!C109+'[12]Murrey''s 5-15'!C109+'[12]Murrey''s 6-15'!C109+'[12]Murrey''s 7-15'!C109+'[12]Murrey''s 8-15'!C109+'[12]Murrey''s 9-15'!C109+'[12]Murrey''s 10-15'!C109+'[12]Murrey''s 11-15'!C109+'[12]Murrey''s 12-15'!C109</f>
        <v>455.79999999999995</v>
      </c>
      <c r="I109" s="391">
        <f t="shared" si="47"/>
        <v>590.41</v>
      </c>
      <c r="J109" s="389">
        <f t="shared" si="48"/>
        <v>13</v>
      </c>
      <c r="K109" s="389">
        <f t="shared" si="49"/>
        <v>1</v>
      </c>
      <c r="N109" s="393"/>
      <c r="O109" s="393">
        <f>J109*$B$323*$B$328</f>
        <v>114.13999999999999</v>
      </c>
      <c r="Q109" s="391">
        <f t="shared" si="46"/>
        <v>476.27</v>
      </c>
      <c r="U109" s="389">
        <f t="shared" si="22"/>
        <v>590.41</v>
      </c>
      <c r="V109" s="391"/>
      <c r="W109" s="391"/>
    </row>
    <row r="110" spans="1:23">
      <c r="A110" s="356" t="s">
        <v>546</v>
      </c>
      <c r="B110" s="356" t="s">
        <v>624</v>
      </c>
      <c r="C110" s="390">
        <v>83.54</v>
      </c>
      <c r="D110" s="391">
        <v>0</v>
      </c>
      <c r="F110" s="390">
        <v>84.89</v>
      </c>
      <c r="G110" s="391">
        <f>'[12]Murrey''s 3-15'!C110+'[12]Murrrey''s 4-15'!C110+'[12]Murrey''s 5-15'!C110+'[12]Murrey''s 6-15'!C110+'[12]Murrey''s 7-15'!C110+'[12]Murrey''s 8-15'!C110+'[12]Murrey''s 9-15'!C110+'[12]Murrey''s 10-15'!C110+'[12]Murrey''s 11-15'!C110+'[12]Murrey''s 12-15'!C110</f>
        <v>339.56</v>
      </c>
      <c r="I110" s="391">
        <f t="shared" si="47"/>
        <v>339.56</v>
      </c>
      <c r="J110" s="389">
        <f t="shared" si="48"/>
        <v>4</v>
      </c>
      <c r="K110" s="389">
        <f t="shared" si="49"/>
        <v>0</v>
      </c>
      <c r="N110" s="393"/>
      <c r="O110" s="393">
        <f>J110*$B$323*$B$330</f>
        <v>70.239999999999995</v>
      </c>
      <c r="Q110" s="391">
        <f t="shared" si="46"/>
        <v>269.32</v>
      </c>
      <c r="U110" s="389">
        <f t="shared" si="22"/>
        <v>339.56</v>
      </c>
      <c r="V110" s="391"/>
      <c r="W110" s="391"/>
    </row>
    <row r="111" spans="1:23">
      <c r="A111" s="356" t="s">
        <v>548</v>
      </c>
      <c r="B111" s="356" t="s">
        <v>626</v>
      </c>
      <c r="C111" s="390">
        <v>116.84</v>
      </c>
      <c r="D111" s="391">
        <v>0</v>
      </c>
      <c r="F111" s="390">
        <v>118.69</v>
      </c>
      <c r="G111" s="391">
        <f>'[12]Murrey''s 3-15'!C111+'[12]Murrrey''s 4-15'!C111+'[12]Murrey''s 5-15'!C111+'[12]Murrey''s 6-15'!C111+'[12]Murrey''s 7-15'!C111+'[12]Murrey''s 8-15'!C111+'[12]Murrey''s 9-15'!C111+'[12]Murrey''s 10-15'!C111+'[12]Murrey''s 11-15'!C111+'[12]Murrey''s 12-15'!C111</f>
        <v>593.45000000000005</v>
      </c>
      <c r="I111" s="391">
        <f t="shared" si="47"/>
        <v>593.45000000000005</v>
      </c>
      <c r="J111" s="389">
        <f t="shared" si="48"/>
        <v>5.0000000000000009</v>
      </c>
      <c r="K111" s="389">
        <f t="shared" si="49"/>
        <v>0</v>
      </c>
      <c r="N111" s="393"/>
      <c r="O111" s="393">
        <f>J111*$B$323*$B$331</f>
        <v>131.70000000000002</v>
      </c>
      <c r="Q111" s="391">
        <f t="shared" si="46"/>
        <v>461.75</v>
      </c>
      <c r="U111" s="389">
        <f t="shared" si="22"/>
        <v>593.45000000000005</v>
      </c>
      <c r="V111" s="391"/>
      <c r="W111" s="391"/>
    </row>
    <row r="112" spans="1:23">
      <c r="A112" s="356"/>
      <c r="B112" s="356"/>
      <c r="C112" s="379"/>
      <c r="F112" s="379"/>
      <c r="I112" s="391"/>
      <c r="N112" s="393"/>
      <c r="O112" s="391"/>
      <c r="P112" s="391"/>
      <c r="Q112" s="391"/>
      <c r="U112" s="389">
        <f t="shared" si="22"/>
        <v>0</v>
      </c>
      <c r="V112" s="391"/>
      <c r="W112" s="391"/>
    </row>
    <row r="113" spans="1:23">
      <c r="A113" s="354"/>
      <c r="B113" s="354"/>
      <c r="C113" s="379"/>
      <c r="F113" s="379"/>
      <c r="U113" s="389">
        <f t="shared" si="22"/>
        <v>0</v>
      </c>
      <c r="V113" s="391"/>
      <c r="W113" s="391"/>
    </row>
    <row r="114" spans="1:23">
      <c r="A114" s="366" t="s">
        <v>15</v>
      </c>
      <c r="B114" s="366" t="s">
        <v>350</v>
      </c>
      <c r="C114" s="379"/>
      <c r="F114" s="379"/>
      <c r="U114" s="389">
        <f t="shared" si="22"/>
        <v>0</v>
      </c>
      <c r="V114" s="391"/>
      <c r="W114" s="391"/>
    </row>
    <row r="115" spans="1:23">
      <c r="A115" s="356"/>
      <c r="B115" s="356"/>
      <c r="C115" s="379"/>
      <c r="F115" s="379"/>
      <c r="U115" s="389">
        <f t="shared" si="22"/>
        <v>0</v>
      </c>
      <c r="V115" s="391"/>
      <c r="W115" s="391"/>
    </row>
    <row r="116" spans="1:23">
      <c r="A116" s="356" t="s">
        <v>550</v>
      </c>
      <c r="B116" s="356" t="s">
        <v>351</v>
      </c>
      <c r="C116" s="390">
        <v>4.07</v>
      </c>
      <c r="D116" s="391">
        <v>5798.81</v>
      </c>
      <c r="F116" s="390">
        <v>4.13</v>
      </c>
      <c r="G116" s="391">
        <f>'[12]Murrey''s 3-15'!C116+'[12]Murrrey''s 4-15'!C116+'[12]Murrey''s 5-15'!C116+'[12]Murrey''s 6-15'!C116+'[12]Murrey''s 7-15'!C116+'[12]Murrey''s 8-15'!C116+'[12]Murrey''s 9-15'!C116+'[12]Murrey''s 10-15'!C116+'[12]Murrey''s 11-15'!C116+'[12]Murrey''s 12-15'!C116</f>
        <v>12177.829999999998</v>
      </c>
      <c r="I116" s="391">
        <f t="shared" ref="I116" si="50">D116+G116</f>
        <v>17976.64</v>
      </c>
      <c r="J116" s="389">
        <f t="shared" ref="J116" si="51">D116/C116+G116/F116</f>
        <v>4373.3961604131091</v>
      </c>
      <c r="K116" s="389">
        <f>ROUND(J116/12,0)</f>
        <v>364</v>
      </c>
      <c r="Q116" s="391">
        <f>I116</f>
        <v>17976.64</v>
      </c>
      <c r="U116" s="389">
        <f t="shared" si="22"/>
        <v>17976.64</v>
      </c>
      <c r="V116" s="391"/>
      <c r="W116" s="391"/>
    </row>
    <row r="117" spans="1:23">
      <c r="A117" s="356"/>
      <c r="B117" s="356"/>
      <c r="C117" s="379"/>
      <c r="F117" s="379"/>
      <c r="U117" s="389">
        <f t="shared" si="22"/>
        <v>0</v>
      </c>
      <c r="V117" s="391"/>
      <c r="W117" s="391"/>
    </row>
    <row r="118" spans="1:23">
      <c r="A118" s="356" t="s">
        <v>551</v>
      </c>
      <c r="B118" s="356" t="s">
        <v>352</v>
      </c>
      <c r="C118" s="390">
        <v>22.21</v>
      </c>
      <c r="D118" s="391">
        <v>4952.83</v>
      </c>
      <c r="F118" s="390">
        <v>22.49</v>
      </c>
      <c r="G118" s="391">
        <f>'[12]Murrey''s 3-15'!C118+'[12]Murrrey''s 4-15'!C118+'[12]Murrey''s 5-15'!C118+'[12]Murrey''s 6-15'!C118+'[12]Murrey''s 7-15'!C118+'[12]Murrey''s 8-15'!C118+'[12]Murrey''s 9-15'!C118+'[12]Murrey''s 10-15'!C118+'[12]Murrey''s 11-15'!C118+'[12]Murrey''s 12-15'!C118</f>
        <v>24056.34</v>
      </c>
      <c r="I118" s="391">
        <f t="shared" ref="I118:I120" si="52">D118+G118</f>
        <v>29009.17</v>
      </c>
      <c r="J118" s="389">
        <f t="shared" ref="J118:J120" si="53">D118/C118+G118/F118</f>
        <v>1292.6460649177413</v>
      </c>
      <c r="K118" s="389">
        <f t="shared" ref="K118:K120" si="54">ROUND(J118/12,0)</f>
        <v>108</v>
      </c>
      <c r="Q118" s="391">
        <f t="shared" ref="Q118:Q127" si="55">I118</f>
        <v>29009.17</v>
      </c>
      <c r="U118" s="389">
        <f t="shared" si="22"/>
        <v>29009.17</v>
      </c>
      <c r="V118" s="391"/>
      <c r="W118" s="391"/>
    </row>
    <row r="119" spans="1:23">
      <c r="A119" s="356" t="s">
        <v>552</v>
      </c>
      <c r="B119" s="356" t="s">
        <v>353</v>
      </c>
      <c r="C119" s="390">
        <v>7.8</v>
      </c>
      <c r="D119" s="391">
        <v>238.17000000000002</v>
      </c>
      <c r="F119" s="390">
        <v>7.8</v>
      </c>
      <c r="G119" s="391">
        <f>'[12]Murrey''s 3-15'!C119+'[12]Murrrey''s 4-15'!C119+'[12]Murrey''s 5-15'!C119+'[12]Murrey''s 6-15'!C119+'[12]Murrey''s 7-15'!C119+'[12]Murrey''s 8-15'!C119+'[12]Murrey''s 9-15'!C119+'[12]Murrey''s 10-15'!C119+'[12]Murrey''s 11-15'!C119+'[12]Murrey''s 12-15'!C119</f>
        <v>1112.8999999999999</v>
      </c>
      <c r="I119" s="391">
        <f t="shared" si="52"/>
        <v>1351.07</v>
      </c>
      <c r="J119" s="389">
        <f t="shared" si="53"/>
        <v>173.21410256410255</v>
      </c>
      <c r="K119" s="389">
        <f t="shared" si="54"/>
        <v>14</v>
      </c>
      <c r="Q119" s="391">
        <f t="shared" si="55"/>
        <v>1351.07</v>
      </c>
      <c r="U119" s="389">
        <f t="shared" ref="U119:U182" si="56">SUM(M119:S119)</f>
        <v>1351.07</v>
      </c>
      <c r="V119" s="391"/>
      <c r="W119" s="391"/>
    </row>
    <row r="120" spans="1:23">
      <c r="A120" s="356" t="s">
        <v>553</v>
      </c>
      <c r="B120" s="356" t="s">
        <v>354</v>
      </c>
      <c r="C120" s="390">
        <v>15.4</v>
      </c>
      <c r="D120" s="391">
        <v>61.6</v>
      </c>
      <c r="F120" s="390">
        <v>15.4</v>
      </c>
      <c r="G120" s="391">
        <f>'[12]Murrey''s 3-15'!C120+'[12]Murrrey''s 4-15'!C120+'[12]Murrey''s 5-15'!C120+'[12]Murrey''s 6-15'!C120+'[12]Murrey''s 7-15'!C120+'[12]Murrey''s 8-15'!C120+'[12]Murrey''s 9-15'!C120+'[12]Murrey''s 10-15'!C120+'[12]Murrey''s 11-15'!C120+'[12]Murrey''s 12-15'!C120</f>
        <v>826.84999999999991</v>
      </c>
      <c r="I120" s="391">
        <f t="shared" si="52"/>
        <v>888.44999999999993</v>
      </c>
      <c r="J120" s="389">
        <f t="shared" si="53"/>
        <v>57.691558441558435</v>
      </c>
      <c r="K120" s="389">
        <f t="shared" si="54"/>
        <v>5</v>
      </c>
      <c r="Q120" s="391">
        <f t="shared" si="55"/>
        <v>888.44999999999993</v>
      </c>
      <c r="U120" s="389">
        <f t="shared" si="56"/>
        <v>888.44999999999993</v>
      </c>
      <c r="V120" s="391"/>
      <c r="W120" s="391"/>
    </row>
    <row r="121" spans="1:23">
      <c r="A121" s="356"/>
      <c r="B121" s="356"/>
      <c r="C121" s="379"/>
      <c r="F121" s="379"/>
      <c r="Q121" s="391">
        <f t="shared" si="55"/>
        <v>0</v>
      </c>
      <c r="U121" s="389">
        <f t="shared" si="56"/>
        <v>0</v>
      </c>
      <c r="V121" s="391"/>
      <c r="W121" s="391"/>
    </row>
    <row r="122" spans="1:23">
      <c r="A122" s="356" t="s">
        <v>554</v>
      </c>
      <c r="B122" s="356" t="s">
        <v>288</v>
      </c>
      <c r="C122" s="390">
        <v>4.62</v>
      </c>
      <c r="D122" s="391">
        <v>109.72999999999999</v>
      </c>
      <c r="F122" s="390">
        <v>4.62</v>
      </c>
      <c r="G122" s="391">
        <f>'[12]Murrey''s 3-15'!C122+'[12]Murrrey''s 4-15'!C122+'[12]Murrey''s 5-15'!C122+'[12]Murrey''s 6-15'!C122+'[12]Murrey''s 7-15'!C122+'[12]Murrey''s 8-15'!C122+'[12]Murrey''s 9-15'!C122+'[12]Murrey''s 10-15'!C122+'[12]Murrey''s 11-15'!C122+'[12]Murrey''s 12-15'!C122</f>
        <v>592.33999999999992</v>
      </c>
      <c r="I122" s="391">
        <f t="shared" ref="I122:I127" si="57">D122+G122</f>
        <v>702.06999999999994</v>
      </c>
      <c r="J122" s="389">
        <f t="shared" ref="J122:J127" si="58">D122/C122+G122/F122</f>
        <v>151.96320346320343</v>
      </c>
      <c r="K122" s="389">
        <f t="shared" ref="K122:K127" si="59">ROUND(J122/12,0)</f>
        <v>13</v>
      </c>
      <c r="Q122" s="391">
        <f t="shared" si="55"/>
        <v>702.06999999999994</v>
      </c>
      <c r="U122" s="389">
        <f t="shared" si="56"/>
        <v>702.06999999999994</v>
      </c>
      <c r="V122" s="391"/>
      <c r="W122" s="391"/>
    </row>
    <row r="123" spans="1:23">
      <c r="A123" s="356" t="s">
        <v>555</v>
      </c>
      <c r="B123" s="356" t="s">
        <v>289</v>
      </c>
      <c r="C123" s="390">
        <v>2.06</v>
      </c>
      <c r="D123" s="391">
        <v>28.84</v>
      </c>
      <c r="F123" s="390">
        <v>2.06</v>
      </c>
      <c r="G123" s="391">
        <f>'[12]Murrey''s 3-15'!C123+'[12]Murrrey''s 4-15'!C123+'[12]Murrey''s 5-15'!C123+'[12]Murrey''s 6-15'!C123+'[12]Murrey''s 7-15'!C123+'[12]Murrey''s 8-15'!C123+'[12]Murrey''s 9-15'!C123+'[12]Murrey''s 10-15'!C123+'[12]Murrey''s 11-15'!C123+'[12]Murrey''s 12-15'!C123</f>
        <v>129.77999999999997</v>
      </c>
      <c r="I123" s="391">
        <f t="shared" si="57"/>
        <v>158.61999999999998</v>
      </c>
      <c r="J123" s="389">
        <f t="shared" si="58"/>
        <v>76.999999999999986</v>
      </c>
      <c r="K123" s="389">
        <f t="shared" si="59"/>
        <v>6</v>
      </c>
      <c r="Q123" s="391">
        <f t="shared" si="55"/>
        <v>158.61999999999998</v>
      </c>
      <c r="U123" s="389">
        <f t="shared" si="56"/>
        <v>158.61999999999998</v>
      </c>
      <c r="V123" s="391"/>
      <c r="W123" s="391"/>
    </row>
    <row r="124" spans="1:23">
      <c r="A124" s="356" t="s">
        <v>556</v>
      </c>
      <c r="B124" s="356" t="s">
        <v>291</v>
      </c>
      <c r="C124" s="390">
        <v>0.77</v>
      </c>
      <c r="D124" s="391">
        <v>0</v>
      </c>
      <c r="F124" s="390">
        <v>0.77</v>
      </c>
      <c r="G124" s="391">
        <f>'[12]Murrey''s 3-15'!C124+'[12]Murrrey''s 4-15'!C124+'[12]Murrey''s 5-15'!C124+'[12]Murrey''s 6-15'!C124+'[12]Murrey''s 7-15'!C124+'[12]Murrey''s 8-15'!C124+'[12]Murrey''s 9-15'!C124+'[12]Murrey''s 10-15'!C124+'[12]Murrey''s 11-15'!C124+'[12]Murrey''s 12-15'!C124</f>
        <v>0</v>
      </c>
      <c r="I124" s="391">
        <f t="shared" si="57"/>
        <v>0</v>
      </c>
      <c r="J124" s="389">
        <f t="shared" si="58"/>
        <v>0</v>
      </c>
      <c r="K124" s="389">
        <f t="shared" si="59"/>
        <v>0</v>
      </c>
      <c r="Q124" s="391">
        <f t="shared" si="55"/>
        <v>0</v>
      </c>
      <c r="U124" s="389">
        <f t="shared" si="56"/>
        <v>0</v>
      </c>
      <c r="V124" s="391"/>
      <c r="W124" s="391"/>
    </row>
    <row r="125" spans="1:23">
      <c r="A125" s="356" t="s">
        <v>462</v>
      </c>
      <c r="B125" s="356" t="s">
        <v>355</v>
      </c>
      <c r="C125" s="390">
        <v>8.25</v>
      </c>
      <c r="D125" s="391">
        <v>0</v>
      </c>
      <c r="F125" s="390">
        <v>8.25</v>
      </c>
      <c r="G125" s="391">
        <f>'[12]Murrey''s 3-15'!C125+'[12]Murrrey''s 4-15'!C125+'[12]Murrey''s 5-15'!C125+'[12]Murrey''s 6-15'!C125+'[12]Murrey''s 7-15'!C125+'[12]Murrey''s 8-15'!C125+'[12]Murrey''s 9-15'!C125+'[12]Murrey''s 10-15'!C125+'[12]Murrey''s 11-15'!C125+'[12]Murrey''s 12-15'!C125</f>
        <v>37.18</v>
      </c>
      <c r="I125" s="391">
        <f t="shared" si="57"/>
        <v>37.18</v>
      </c>
      <c r="J125" s="389">
        <f t="shared" si="58"/>
        <v>4.5066666666666668</v>
      </c>
      <c r="K125" s="389">
        <f t="shared" si="59"/>
        <v>0</v>
      </c>
      <c r="Q125" s="391">
        <f t="shared" si="55"/>
        <v>37.18</v>
      </c>
      <c r="U125" s="389">
        <f t="shared" si="56"/>
        <v>37.18</v>
      </c>
      <c r="V125" s="391"/>
      <c r="W125" s="391"/>
    </row>
    <row r="126" spans="1:23">
      <c r="A126" s="356" t="s">
        <v>557</v>
      </c>
      <c r="B126" s="356" t="s">
        <v>356</v>
      </c>
      <c r="C126" s="390">
        <v>80</v>
      </c>
      <c r="D126" s="391">
        <v>23.25</v>
      </c>
      <c r="F126" s="390">
        <v>80</v>
      </c>
      <c r="G126" s="391">
        <f>'[12]Murrey''s 3-15'!C126+'[12]Murrrey''s 4-15'!C126+'[12]Murrey''s 5-15'!C126+'[12]Murrey''s 6-15'!C126+'[12]Murrey''s 7-15'!C126+'[12]Murrey''s 8-15'!C126+'[12]Murrey''s 9-15'!C126+'[12]Murrey''s 10-15'!C126+'[12]Murrey''s 11-15'!C126+'[12]Murrey''s 12-15'!C126</f>
        <v>4152</v>
      </c>
      <c r="I126" s="391">
        <f t="shared" si="57"/>
        <v>4175.25</v>
      </c>
      <c r="J126" s="389">
        <f t="shared" si="58"/>
        <v>52.190624999999997</v>
      </c>
      <c r="K126" s="389">
        <f t="shared" si="59"/>
        <v>4</v>
      </c>
      <c r="Q126" s="391">
        <f t="shared" si="55"/>
        <v>4175.25</v>
      </c>
      <c r="U126" s="389">
        <f t="shared" si="56"/>
        <v>4175.25</v>
      </c>
      <c r="V126" s="391"/>
      <c r="W126" s="391"/>
    </row>
    <row r="127" spans="1:23">
      <c r="A127" s="356" t="s">
        <v>460</v>
      </c>
      <c r="B127" s="356" t="s">
        <v>357</v>
      </c>
      <c r="C127" s="390">
        <v>10.3</v>
      </c>
      <c r="D127" s="391">
        <v>82.4</v>
      </c>
      <c r="F127" s="390">
        <v>10.3</v>
      </c>
      <c r="G127" s="391">
        <f>'[12]Murrey''s 3-15'!C127+'[12]Murrrey''s 4-15'!C127+'[12]Murrey''s 5-15'!C127+'[12]Murrey''s 6-15'!C127+'[12]Murrey''s 7-15'!C127+'[12]Murrey''s 8-15'!C127+'[12]Murrey''s 9-15'!C127+'[12]Murrey''s 10-15'!C127+'[12]Murrey''s 11-15'!C127+'[12]Murrey''s 12-15'!C127</f>
        <v>679.8</v>
      </c>
      <c r="I127" s="391">
        <f t="shared" si="57"/>
        <v>762.19999999999993</v>
      </c>
      <c r="J127" s="389">
        <f t="shared" si="58"/>
        <v>73.999999999999986</v>
      </c>
      <c r="K127" s="389">
        <f t="shared" si="59"/>
        <v>6</v>
      </c>
      <c r="Q127" s="391">
        <f t="shared" si="55"/>
        <v>762.19999999999993</v>
      </c>
      <c r="U127" s="389">
        <f t="shared" si="56"/>
        <v>762.19999999999993</v>
      </c>
      <c r="V127" s="391"/>
      <c r="W127" s="391"/>
    </row>
    <row r="128" spans="1:23">
      <c r="A128" s="356"/>
      <c r="B128" s="356"/>
      <c r="C128" s="379"/>
      <c r="F128" s="379"/>
      <c r="U128" s="389">
        <f t="shared" si="56"/>
        <v>0</v>
      </c>
      <c r="V128" s="391"/>
      <c r="W128" s="391"/>
    </row>
    <row r="129" spans="1:23">
      <c r="A129" s="356" t="s">
        <v>558</v>
      </c>
      <c r="B129" s="356" t="s">
        <v>294</v>
      </c>
      <c r="C129" s="390">
        <v>10.66</v>
      </c>
      <c r="D129" s="391">
        <v>0</v>
      </c>
      <c r="F129" s="390">
        <v>10.66</v>
      </c>
      <c r="G129" s="391">
        <f>'[12]Murrey''s 3-15'!C129+'[12]Murrrey''s 4-15'!C129+'[12]Murrey''s 5-15'!C129+'[12]Murrey''s 6-15'!C129+'[12]Murrey''s 7-15'!C129+'[12]Murrey''s 8-15'!C129+'[12]Murrey''s 9-15'!C129+'[12]Murrey''s 10-15'!C129+'[12]Murrey''s 11-15'!C129+'[12]Murrey''s 12-15'!C129</f>
        <v>0</v>
      </c>
      <c r="I129" s="391">
        <f t="shared" ref="I129" si="60">D129+G129</f>
        <v>0</v>
      </c>
      <c r="J129" s="389">
        <f t="shared" ref="J129" si="61">D129/C129+G129/F129</f>
        <v>0</v>
      </c>
      <c r="K129" s="389">
        <f>ROUND(J129/12,0)</f>
        <v>0</v>
      </c>
      <c r="Q129" s="391">
        <f>I129</f>
        <v>0</v>
      </c>
      <c r="U129" s="389">
        <f t="shared" si="56"/>
        <v>0</v>
      </c>
      <c r="V129" s="391"/>
      <c r="W129" s="391"/>
    </row>
    <row r="130" spans="1:23">
      <c r="A130" s="356"/>
      <c r="B130" s="356"/>
      <c r="C130" s="379"/>
      <c r="F130" s="379"/>
      <c r="U130" s="389">
        <f t="shared" si="56"/>
        <v>0</v>
      </c>
      <c r="V130" s="391"/>
      <c r="W130" s="391"/>
    </row>
    <row r="131" spans="1:23">
      <c r="A131" s="356" t="s">
        <v>559</v>
      </c>
      <c r="B131" s="356" t="s">
        <v>358</v>
      </c>
      <c r="C131" s="390">
        <v>17.190000000000001</v>
      </c>
      <c r="D131" s="391">
        <v>2531.23</v>
      </c>
      <c r="F131" s="390">
        <v>17.47</v>
      </c>
      <c r="G131" s="391">
        <f>'[12]Murrey''s 3-15'!C131+'[12]Murrrey''s 4-15'!C131+'[12]Murrey''s 5-15'!C131+'[12]Murrey''s 6-15'!C131+'[12]Murrey''s 7-15'!C131+'[12]Murrey''s 8-15'!C131+'[12]Murrey''s 9-15'!C131+'[12]Murrey''s 10-15'!C131+'[12]Murrey''s 11-15'!C131+'[12]Murrey''s 12-15'!C131</f>
        <v>12259.15</v>
      </c>
      <c r="I131" s="391">
        <f t="shared" ref="I131:I136" si="62">D131+G131</f>
        <v>14790.38</v>
      </c>
      <c r="J131" s="389">
        <f t="shared" ref="J131:J136" si="63">D131/C131+G131/F131</f>
        <v>848.97596111742132</v>
      </c>
      <c r="K131" s="389">
        <f t="shared" ref="K131:K136" si="64">ROUND(J131/12,0)</f>
        <v>71</v>
      </c>
      <c r="Q131" s="391">
        <f t="shared" ref="Q131:Q136" si="65">I131</f>
        <v>14790.38</v>
      </c>
      <c r="U131" s="389">
        <f t="shared" si="56"/>
        <v>14790.38</v>
      </c>
      <c r="V131" s="391"/>
      <c r="W131" s="391"/>
    </row>
    <row r="132" spans="1:23">
      <c r="A132" s="356" t="s">
        <v>560</v>
      </c>
      <c r="B132" s="356" t="s">
        <v>359</v>
      </c>
      <c r="C132" s="390">
        <v>33.340000000000003</v>
      </c>
      <c r="D132" s="391">
        <v>1725.35</v>
      </c>
      <c r="F132" s="390">
        <v>33.86</v>
      </c>
      <c r="G132" s="391">
        <f>'[12]Murrey''s 3-15'!C132+'[12]Murrrey''s 4-15'!C132+'[12]Murrey''s 5-15'!C132+'[12]Murrey''s 6-15'!C132+'[12]Murrey''s 7-15'!C132+'[12]Murrey''s 8-15'!C132+'[12]Murrey''s 9-15'!C132+'[12]Murrey''s 10-15'!C132+'[12]Murrey''s 11-15'!C132+'[12]Murrey''s 12-15'!C132</f>
        <v>9463.51</v>
      </c>
      <c r="I132" s="391">
        <f t="shared" si="62"/>
        <v>11188.86</v>
      </c>
      <c r="J132" s="389">
        <f t="shared" si="63"/>
        <v>331.23951795583002</v>
      </c>
      <c r="K132" s="389">
        <f t="shared" si="64"/>
        <v>28</v>
      </c>
      <c r="Q132" s="391">
        <f t="shared" si="65"/>
        <v>11188.86</v>
      </c>
      <c r="U132" s="389">
        <f t="shared" si="56"/>
        <v>11188.86</v>
      </c>
      <c r="V132" s="391"/>
      <c r="W132" s="391"/>
    </row>
    <row r="133" spans="1:23">
      <c r="A133" s="356" t="s">
        <v>561</v>
      </c>
      <c r="B133" s="356" t="s">
        <v>360</v>
      </c>
      <c r="C133" s="390">
        <v>50.01</v>
      </c>
      <c r="D133" s="391">
        <v>500.1</v>
      </c>
      <c r="F133" s="390">
        <v>50.79</v>
      </c>
      <c r="G133" s="391">
        <f>'[12]Murrey''s 3-15'!C133+'[12]Murrrey''s 4-15'!C133+'[12]Murrey''s 5-15'!C133+'[12]Murrey''s 6-15'!C133+'[12]Murrey''s 7-15'!C133+'[12]Murrey''s 8-15'!C133+'[12]Murrey''s 9-15'!C133+'[12]Murrey''s 10-15'!C133+'[12]Murrey''s 11-15'!C133+'[12]Murrey''s 12-15'!C133</f>
        <v>2387.13</v>
      </c>
      <c r="I133" s="391">
        <f t="shared" si="62"/>
        <v>2887.23</v>
      </c>
      <c r="J133" s="389">
        <f t="shared" si="63"/>
        <v>57</v>
      </c>
      <c r="K133" s="389">
        <f t="shared" si="64"/>
        <v>5</v>
      </c>
      <c r="Q133" s="391">
        <f t="shared" si="65"/>
        <v>2887.23</v>
      </c>
      <c r="U133" s="389">
        <f t="shared" si="56"/>
        <v>2887.23</v>
      </c>
      <c r="V133" s="391"/>
      <c r="W133" s="391"/>
    </row>
    <row r="134" spans="1:23">
      <c r="A134" s="356" t="s">
        <v>562</v>
      </c>
      <c r="B134" s="356" t="s">
        <v>361</v>
      </c>
      <c r="C134" s="390">
        <v>66.680000000000007</v>
      </c>
      <c r="D134" s="391">
        <v>0</v>
      </c>
      <c r="F134" s="390">
        <v>67.72</v>
      </c>
      <c r="G134" s="391">
        <f>'[12]Murrey''s 3-15'!C134+'[12]Murrrey''s 4-15'!C134+'[12]Murrey''s 5-15'!C134+'[12]Murrey''s 6-15'!C134+'[12]Murrey''s 7-15'!C134+'[12]Murrey''s 8-15'!C134+'[12]Murrey''s 9-15'!C134+'[12]Murrey''s 10-15'!C134+'[12]Murrey''s 11-15'!C134+'[12]Murrey''s 12-15'!C134</f>
        <v>0</v>
      </c>
      <c r="I134" s="391">
        <f t="shared" si="62"/>
        <v>0</v>
      </c>
      <c r="J134" s="389">
        <f t="shared" si="63"/>
        <v>0</v>
      </c>
      <c r="K134" s="389">
        <f t="shared" si="64"/>
        <v>0</v>
      </c>
      <c r="Q134" s="391">
        <f t="shared" si="65"/>
        <v>0</v>
      </c>
      <c r="U134" s="389">
        <f t="shared" si="56"/>
        <v>0</v>
      </c>
      <c r="V134" s="391"/>
      <c r="W134" s="391"/>
    </row>
    <row r="135" spans="1:23">
      <c r="A135" s="356" t="s">
        <v>563</v>
      </c>
      <c r="B135" s="356" t="s">
        <v>362</v>
      </c>
      <c r="C135" s="390">
        <v>83.35</v>
      </c>
      <c r="D135" s="391">
        <v>0</v>
      </c>
      <c r="F135" s="390">
        <v>84.65</v>
      </c>
      <c r="G135" s="391">
        <f>'[12]Murrey''s 3-15'!C135+'[12]Murrrey''s 4-15'!C135+'[12]Murrey''s 5-15'!C135+'[12]Murrey''s 6-15'!C135+'[12]Murrey''s 7-15'!C135+'[12]Murrey''s 8-15'!C135+'[12]Murrey''s 9-15'!C135+'[12]Murrey''s 10-15'!C135+'[12]Murrey''s 11-15'!C135+'[12]Murrey''s 12-15'!C135</f>
        <v>0</v>
      </c>
      <c r="I135" s="391">
        <f t="shared" si="62"/>
        <v>0</v>
      </c>
      <c r="J135" s="389">
        <f t="shared" si="63"/>
        <v>0</v>
      </c>
      <c r="K135" s="389">
        <f t="shared" si="64"/>
        <v>0</v>
      </c>
      <c r="Q135" s="391">
        <f t="shared" si="65"/>
        <v>0</v>
      </c>
      <c r="U135" s="389">
        <f t="shared" si="56"/>
        <v>0</v>
      </c>
      <c r="V135" s="391"/>
      <c r="W135" s="391"/>
    </row>
    <row r="136" spans="1:23">
      <c r="A136" s="356" t="s">
        <v>564</v>
      </c>
      <c r="B136" s="356" t="s">
        <v>363</v>
      </c>
      <c r="C136" s="390">
        <v>32.39</v>
      </c>
      <c r="D136" s="391">
        <v>0</v>
      </c>
      <c r="F136" s="390">
        <v>32.78</v>
      </c>
      <c r="G136" s="391">
        <f>'[12]Murrey''s 3-15'!C136+'[12]Murrrey''s 4-15'!C136+'[12]Murrey''s 5-15'!C136+'[12]Murrey''s 6-15'!C136+'[12]Murrey''s 7-15'!C136+'[12]Murrey''s 8-15'!C136+'[12]Murrey''s 9-15'!C136+'[12]Murrey''s 10-15'!C136+'[12]Murrey''s 11-15'!C136+'[12]Murrey''s 12-15'!C136</f>
        <v>32.78</v>
      </c>
      <c r="I136" s="391">
        <f t="shared" si="62"/>
        <v>32.78</v>
      </c>
      <c r="J136" s="389">
        <f t="shared" si="63"/>
        <v>1</v>
      </c>
      <c r="K136" s="389">
        <f t="shared" si="64"/>
        <v>0</v>
      </c>
      <c r="Q136" s="391">
        <f t="shared" si="65"/>
        <v>32.78</v>
      </c>
      <c r="U136" s="389">
        <f t="shared" si="56"/>
        <v>32.78</v>
      </c>
      <c r="V136" s="391"/>
      <c r="W136" s="391"/>
    </row>
    <row r="137" spans="1:23">
      <c r="A137" s="356"/>
      <c r="B137" s="356"/>
      <c r="C137" s="390"/>
      <c r="F137" s="390"/>
      <c r="U137" s="389">
        <f t="shared" si="56"/>
        <v>0</v>
      </c>
      <c r="V137" s="391"/>
      <c r="W137" s="391"/>
    </row>
    <row r="138" spans="1:23">
      <c r="A138" s="356"/>
      <c r="B138" s="356"/>
      <c r="C138" s="379"/>
      <c r="F138" s="379"/>
      <c r="U138" s="389">
        <f t="shared" si="56"/>
        <v>0</v>
      </c>
      <c r="V138" s="391"/>
      <c r="W138" s="391"/>
    </row>
    <row r="139" spans="1:23">
      <c r="A139" s="356" t="s">
        <v>565</v>
      </c>
      <c r="B139" s="356" t="s">
        <v>364</v>
      </c>
      <c r="C139" s="390">
        <v>86.12</v>
      </c>
      <c r="D139" s="391">
        <v>1830.0500000000002</v>
      </c>
      <c r="F139" s="390">
        <v>87.81</v>
      </c>
      <c r="G139" s="391">
        <f>'[12]Murrey''s 3-15'!C139+'[12]Murrrey''s 4-15'!C139+'[12]Murrey''s 5-15'!C139+'[12]Murrey''s 6-15'!C139+'[12]Murrey''s 7-15'!C139+'[12]Murrey''s 8-15'!C139+'[12]Murrey''s 9-15'!C139+'[12]Murrey''s 10-15'!C139+'[12]Murrey''s 11-15'!C139+'[12]Murrey''s 12-15'!C139</f>
        <v>6958.9399999999987</v>
      </c>
      <c r="I139" s="391">
        <f t="shared" ref="I139:I171" si="66">D139+G139</f>
        <v>8788.989999999998</v>
      </c>
      <c r="J139" s="389">
        <f t="shared" ref="J139:J170" si="67">D139/C139+G139/F139</f>
        <v>100.49997152943854</v>
      </c>
      <c r="K139" s="389">
        <f t="shared" ref="K139:K171" si="68">ROUND(J139/12,0)</f>
        <v>8</v>
      </c>
      <c r="Q139" s="391">
        <f t="shared" ref="Q139:Q171" si="69">I139</f>
        <v>8788.989999999998</v>
      </c>
      <c r="U139" s="389">
        <f t="shared" si="56"/>
        <v>8788.989999999998</v>
      </c>
      <c r="V139" s="391"/>
      <c r="W139" s="391"/>
    </row>
    <row r="140" spans="1:23">
      <c r="A140" s="356" t="s">
        <v>566</v>
      </c>
      <c r="B140" s="356" t="s">
        <v>365</v>
      </c>
      <c r="C140" s="390">
        <v>118.86</v>
      </c>
      <c r="D140" s="391">
        <v>237.72</v>
      </c>
      <c r="F140" s="390">
        <v>121.24</v>
      </c>
      <c r="G140" s="391">
        <f>'[12]Murrey''s 3-15'!C140+'[12]Murrrey''s 4-15'!C140+'[12]Murrey''s 5-15'!C140+'[12]Murrey''s 6-15'!C140+'[12]Murrey''s 7-15'!C140+'[12]Murrey''s 8-15'!C140+'[12]Murrey''s 9-15'!C140+'[12]Murrey''s 10-15'!C140+'[12]Murrey''s 11-15'!C140+'[12]Murrey''s 12-15'!C140</f>
        <v>2817.9399999999996</v>
      </c>
      <c r="I140" s="391">
        <f t="shared" si="66"/>
        <v>3055.6599999999994</v>
      </c>
      <c r="J140" s="389">
        <f t="shared" si="67"/>
        <v>25.242659188386668</v>
      </c>
      <c r="K140" s="389">
        <f t="shared" si="68"/>
        <v>2</v>
      </c>
      <c r="Q140" s="391">
        <f t="shared" si="69"/>
        <v>3055.6599999999994</v>
      </c>
      <c r="U140" s="389">
        <f t="shared" si="56"/>
        <v>3055.6599999999994</v>
      </c>
      <c r="V140" s="391"/>
      <c r="W140" s="391"/>
    </row>
    <row r="141" spans="1:23">
      <c r="A141" s="356" t="s">
        <v>567</v>
      </c>
      <c r="B141" s="356" t="s">
        <v>331</v>
      </c>
      <c r="C141" s="397">
        <v>356.58</v>
      </c>
      <c r="D141" s="391">
        <v>0</v>
      </c>
      <c r="F141" s="397">
        <v>363.72</v>
      </c>
      <c r="G141" s="391">
        <f>'[12]Murrey''s 3-15'!C141+'[12]Murrrey''s 4-15'!C141+'[12]Murrey''s 5-15'!C141+'[12]Murrey''s 6-15'!C141+'[12]Murrey''s 7-15'!C141+'[12]Murrey''s 8-15'!C141+'[12]Murrey''s 9-15'!C141+'[12]Murrey''s 10-15'!C141+'[12]Murrey''s 11-15'!C141+'[12]Murrey''s 12-15'!C141</f>
        <v>0</v>
      </c>
      <c r="I141" s="391">
        <f t="shared" si="66"/>
        <v>0</v>
      </c>
      <c r="J141" s="389">
        <f t="shared" si="67"/>
        <v>0</v>
      </c>
      <c r="K141" s="389">
        <f t="shared" si="68"/>
        <v>0</v>
      </c>
      <c r="Q141" s="391">
        <f t="shared" si="69"/>
        <v>0</v>
      </c>
      <c r="U141" s="389">
        <f t="shared" si="56"/>
        <v>0</v>
      </c>
      <c r="V141" s="391"/>
      <c r="W141" s="391"/>
    </row>
    <row r="142" spans="1:23">
      <c r="A142" s="356" t="s">
        <v>568</v>
      </c>
      <c r="B142" s="356" t="s">
        <v>366</v>
      </c>
      <c r="C142" s="397">
        <v>147.83000000000001</v>
      </c>
      <c r="D142" s="391">
        <v>9091.5499999999993</v>
      </c>
      <c r="F142" s="397">
        <v>150.9</v>
      </c>
      <c r="G142" s="391">
        <f>'[12]Murrey''s 3-15'!C142+'[12]Murrrey''s 4-15'!C142+'[12]Murrey''s 5-15'!C142+'[12]Murrey''s 6-15'!C142+'[12]Murrey''s 7-15'!C142+'[12]Murrey''s 8-15'!C142+'[12]Murrey''s 9-15'!C142+'[12]Murrey''s 10-15'!C142+'[12]Murrey''s 11-15'!C142+'[12]Murrey''s 12-15'!C142</f>
        <v>50915.83</v>
      </c>
      <c r="I142" s="391">
        <f t="shared" si="66"/>
        <v>60007.380000000005</v>
      </c>
      <c r="J142" s="389">
        <f t="shared" si="67"/>
        <v>398.91441420699459</v>
      </c>
      <c r="K142" s="389">
        <f t="shared" si="68"/>
        <v>33</v>
      </c>
      <c r="Q142" s="391">
        <f t="shared" si="69"/>
        <v>60007.380000000005</v>
      </c>
      <c r="U142" s="389">
        <f t="shared" si="56"/>
        <v>60007.380000000005</v>
      </c>
      <c r="V142" s="391"/>
      <c r="W142" s="391"/>
    </row>
    <row r="143" spans="1:23">
      <c r="A143" s="356" t="s">
        <v>569</v>
      </c>
      <c r="B143" s="356" t="s">
        <v>367</v>
      </c>
      <c r="C143" s="397">
        <v>295.64999999999998</v>
      </c>
      <c r="D143" s="391">
        <v>1626.08</v>
      </c>
      <c r="F143" s="397">
        <v>301.8</v>
      </c>
      <c r="G143" s="391">
        <f>'[12]Murrey''s 3-15'!C143+'[12]Murrrey''s 4-15'!C143+'[12]Murrey''s 5-15'!C143+'[12]Murrey''s 6-15'!C143+'[12]Murrey''s 7-15'!C143+'[12]Murrey''s 8-15'!C143+'[12]Murrey''s 9-15'!C143+'[12]Murrey''s 10-15'!C143+'[12]Murrey''s 11-15'!C143+'[12]Murrey''s 12-15'!C143</f>
        <v>10525.279999999999</v>
      </c>
      <c r="I143" s="391">
        <f t="shared" si="66"/>
        <v>12151.359999999999</v>
      </c>
      <c r="J143" s="389">
        <f t="shared" si="67"/>
        <v>40.375033479152137</v>
      </c>
      <c r="K143" s="389">
        <f t="shared" si="68"/>
        <v>3</v>
      </c>
      <c r="Q143" s="391">
        <f t="shared" si="69"/>
        <v>12151.359999999999</v>
      </c>
      <c r="U143" s="389">
        <f t="shared" si="56"/>
        <v>12151.359999999999</v>
      </c>
      <c r="V143" s="391"/>
      <c r="W143" s="391"/>
    </row>
    <row r="144" spans="1:23">
      <c r="A144" s="356" t="s">
        <v>570</v>
      </c>
      <c r="B144" s="356" t="s">
        <v>334</v>
      </c>
      <c r="C144" s="390">
        <v>443.48</v>
      </c>
      <c r="D144" s="391">
        <v>1773.92</v>
      </c>
      <c r="F144" s="390">
        <v>452.7</v>
      </c>
      <c r="G144" s="391">
        <f>'[12]Murrey''s 3-15'!C144+'[12]Murrrey''s 4-15'!C144+'[12]Murrey''s 5-15'!C144+'[12]Murrey''s 6-15'!C144+'[12]Murrey''s 7-15'!C144+'[12]Murrey''s 8-15'!C144+'[12]Murrey''s 9-15'!C144+'[12]Murrey''s 10-15'!C144+'[12]Murrey''s 11-15'!C144+'[12]Murrey''s 12-15'!C144</f>
        <v>9053.9999999999982</v>
      </c>
      <c r="I144" s="391">
        <f t="shared" si="66"/>
        <v>10827.919999999998</v>
      </c>
      <c r="J144" s="389">
        <f t="shared" si="67"/>
        <v>23.999999999999996</v>
      </c>
      <c r="K144" s="389">
        <f t="shared" si="68"/>
        <v>2</v>
      </c>
      <c r="Q144" s="391">
        <f t="shared" si="69"/>
        <v>10827.919999999998</v>
      </c>
      <c r="U144" s="389">
        <f t="shared" si="56"/>
        <v>10827.919999999998</v>
      </c>
      <c r="V144" s="391"/>
      <c r="W144" s="391"/>
    </row>
    <row r="145" spans="1:23">
      <c r="A145" s="356" t="s">
        <v>571</v>
      </c>
      <c r="B145" s="356" t="s">
        <v>368</v>
      </c>
      <c r="C145" s="390">
        <v>277.42</v>
      </c>
      <c r="D145" s="391">
        <v>78232.47</v>
      </c>
      <c r="F145" s="390">
        <v>283.27</v>
      </c>
      <c r="G145" s="391">
        <f>'[12]Murrey''s 3-15'!C145+'[12]Murrrey''s 4-15'!C145+'[12]Murrey''s 5-15'!C145+'[12]Murrey''s 6-15'!C145+'[12]Murrey''s 7-15'!C145+'[12]Murrey''s 8-15'!C145+'[12]Murrey''s 9-15'!C145+'[12]Murrey''s 10-15'!C145+'[12]Murrey''s 11-15'!C145+'[12]Murrey''s 12-15'!C145</f>
        <v>397994.38</v>
      </c>
      <c r="I145" s="391">
        <f t="shared" si="66"/>
        <v>476226.85</v>
      </c>
      <c r="J145" s="389">
        <f t="shared" si="67"/>
        <v>1687.0002140453096</v>
      </c>
      <c r="K145" s="389">
        <f t="shared" si="68"/>
        <v>141</v>
      </c>
      <c r="Q145" s="391">
        <f t="shared" si="69"/>
        <v>476226.85</v>
      </c>
      <c r="U145" s="389">
        <f t="shared" si="56"/>
        <v>476226.85</v>
      </c>
      <c r="V145" s="391"/>
      <c r="W145" s="391"/>
    </row>
    <row r="146" spans="1:23">
      <c r="A146" s="356" t="s">
        <v>572</v>
      </c>
      <c r="B146" s="356" t="s">
        <v>369</v>
      </c>
      <c r="C146" s="390">
        <v>554.85</v>
      </c>
      <c r="D146" s="391">
        <v>25523.1</v>
      </c>
      <c r="F146" s="390">
        <v>566.54</v>
      </c>
      <c r="G146" s="391">
        <f>'[12]Murrey''s 3-15'!C146+'[12]Murrrey''s 4-15'!C146+'[12]Murrey''s 5-15'!C146+'[12]Murrey''s 6-15'!C146+'[12]Murrey''s 7-15'!C146+'[12]Murrey''s 8-15'!C146+'[12]Murrey''s 9-15'!C146+'[12]Murrey''s 10-15'!C146+'[12]Murrey''s 11-15'!C146+'[12]Murrey''s 12-15'!C146</f>
        <v>122498.54999999999</v>
      </c>
      <c r="I146" s="391">
        <f t="shared" si="66"/>
        <v>148021.65</v>
      </c>
      <c r="J146" s="389">
        <f t="shared" si="67"/>
        <v>262.22224379567194</v>
      </c>
      <c r="K146" s="389">
        <f t="shared" si="68"/>
        <v>22</v>
      </c>
      <c r="Q146" s="391">
        <f t="shared" si="69"/>
        <v>148021.65</v>
      </c>
      <c r="U146" s="389">
        <f t="shared" si="56"/>
        <v>148021.65</v>
      </c>
      <c r="V146" s="391"/>
      <c r="W146" s="391"/>
    </row>
    <row r="147" spans="1:23">
      <c r="A147" s="356" t="s">
        <v>573</v>
      </c>
      <c r="B147" s="356" t="s">
        <v>337</v>
      </c>
      <c r="C147" s="390">
        <v>832.27</v>
      </c>
      <c r="D147" s="391">
        <v>5201.6900000000005</v>
      </c>
      <c r="F147" s="390">
        <v>849.81</v>
      </c>
      <c r="G147" s="391">
        <f>'[12]Murrey''s 3-15'!C147+'[12]Murrrey''s 4-15'!C147+'[12]Murrey''s 5-15'!C147+'[12]Murrey''s 6-15'!C147+'[12]Murrey''s 7-15'!C147+'[12]Murrey''s 8-15'!C147+'[12]Murrey''s 9-15'!C147+'[12]Murrey''s 10-15'!C147+'[12]Murrey''s 11-15'!C147+'[12]Murrey''s 12-15'!C147</f>
        <v>26273.3</v>
      </c>
      <c r="I147" s="391">
        <f t="shared" si="66"/>
        <v>31474.989999999998</v>
      </c>
      <c r="J147" s="389">
        <f t="shared" si="67"/>
        <v>37.16667849600173</v>
      </c>
      <c r="K147" s="389">
        <f t="shared" si="68"/>
        <v>3</v>
      </c>
      <c r="Q147" s="391">
        <f t="shared" si="69"/>
        <v>31474.989999999998</v>
      </c>
      <c r="U147" s="389">
        <f t="shared" si="56"/>
        <v>31474.989999999998</v>
      </c>
      <c r="V147" s="391"/>
      <c r="W147" s="391"/>
    </row>
    <row r="148" spans="1:23">
      <c r="A148" s="356" t="s">
        <v>574</v>
      </c>
      <c r="B148" s="356" t="s">
        <v>370</v>
      </c>
      <c r="C148" s="377">
        <v>1109.69</v>
      </c>
      <c r="D148" s="391">
        <v>1941.96</v>
      </c>
      <c r="F148" s="377">
        <v>1133.07</v>
      </c>
      <c r="G148" s="391">
        <f>'[12]Murrey''s 3-15'!C148+'[12]Murrrey''s 4-15'!C148+'[12]Murrey''s 5-15'!C148+'[12]Murrey''s 6-15'!C148+'[12]Murrey''s 7-15'!C148+'[12]Murrey''s 8-15'!C148+'[12]Murrey''s 9-15'!C148+'[12]Murrey''s 10-15'!C148+'[12]Murrey''s 11-15'!C148+'[12]Murrey''s 12-15'!C148</f>
        <v>11330.699999999999</v>
      </c>
      <c r="I148" s="391">
        <f t="shared" si="66"/>
        <v>13272.66</v>
      </c>
      <c r="J148" s="389">
        <f t="shared" si="67"/>
        <v>11.750002252881435</v>
      </c>
      <c r="K148" s="389">
        <f t="shared" si="68"/>
        <v>1</v>
      </c>
      <c r="Q148" s="391">
        <f t="shared" si="69"/>
        <v>13272.66</v>
      </c>
      <c r="U148" s="389">
        <f t="shared" si="56"/>
        <v>13272.66</v>
      </c>
      <c r="V148" s="391"/>
      <c r="W148" s="391"/>
    </row>
    <row r="149" spans="1:23">
      <c r="A149" s="356" t="s">
        <v>576</v>
      </c>
      <c r="B149" s="356" t="s">
        <v>371</v>
      </c>
      <c r="C149" s="390">
        <v>383.72</v>
      </c>
      <c r="D149" s="391">
        <v>70316.69</v>
      </c>
      <c r="F149" s="390">
        <v>391.74</v>
      </c>
      <c r="G149" s="391">
        <f>'[12]Murrey''s 3-15'!C149+'[12]Murrrey''s 4-15'!C149+'[12]Murrey''s 5-15'!C149+'[12]Murrey''s 6-15'!C149+'[12]Murrey''s 7-15'!C149+'[12]Murrey''s 8-15'!C149+'[12]Murrey''s 9-15'!C149+'[12]Murrey''s 10-15'!C149+'[12]Murrey''s 11-15'!C149+'[12]Murrey''s 12-15'!C149</f>
        <v>358785.05</v>
      </c>
      <c r="I149" s="391">
        <f t="shared" si="66"/>
        <v>429101.74</v>
      </c>
      <c r="J149" s="389">
        <f t="shared" si="67"/>
        <v>1099.1254531066525</v>
      </c>
      <c r="K149" s="389">
        <f t="shared" si="68"/>
        <v>92</v>
      </c>
      <c r="Q149" s="391">
        <f t="shared" si="69"/>
        <v>429101.74</v>
      </c>
      <c r="U149" s="389">
        <f t="shared" si="56"/>
        <v>429101.74</v>
      </c>
      <c r="V149" s="391"/>
      <c r="W149" s="391"/>
    </row>
    <row r="150" spans="1:23">
      <c r="A150" s="356" t="s">
        <v>577</v>
      </c>
      <c r="B150" s="356" t="s">
        <v>372</v>
      </c>
      <c r="C150" s="390">
        <v>767.45</v>
      </c>
      <c r="D150" s="391">
        <v>81349.709999999992</v>
      </c>
      <c r="F150" s="390">
        <v>783.47</v>
      </c>
      <c r="G150" s="391">
        <f>'[12]Murrey''s 3-15'!C150+'[12]Murrrey''s 4-15'!C150+'[12]Murrey''s 5-15'!C150+'[12]Murrey''s 6-15'!C150+'[12]Murrey''s 7-15'!C150+'[12]Murrey''s 8-15'!C150+'[12]Murrey''s 9-15'!C150+'[12]Murrey''s 10-15'!C150+'[12]Murrey''s 11-15'!C150+'[12]Murrey''s 12-15'!C150</f>
        <v>457307.13</v>
      </c>
      <c r="I150" s="391">
        <f t="shared" si="66"/>
        <v>538656.84</v>
      </c>
      <c r="J150" s="389">
        <f t="shared" si="67"/>
        <v>689.69451313865659</v>
      </c>
      <c r="K150" s="389">
        <f t="shared" si="68"/>
        <v>57</v>
      </c>
      <c r="Q150" s="391">
        <f t="shared" si="69"/>
        <v>538656.84</v>
      </c>
      <c r="U150" s="389">
        <f t="shared" si="56"/>
        <v>538656.84</v>
      </c>
      <c r="V150" s="391"/>
      <c r="W150" s="391"/>
    </row>
    <row r="151" spans="1:23">
      <c r="A151" s="356" t="s">
        <v>578</v>
      </c>
      <c r="B151" s="356" t="s">
        <v>340</v>
      </c>
      <c r="C151" s="390">
        <v>1151.17</v>
      </c>
      <c r="D151" s="391">
        <v>35686.270000000004</v>
      </c>
      <c r="F151" s="390">
        <v>1175.21</v>
      </c>
      <c r="G151" s="391">
        <f>'[12]Murrey''s 3-15'!C151+'[12]Murrrey''s 4-15'!C151+'[12]Murrey''s 5-15'!C151+'[12]Murrey''s 6-15'!C151+'[12]Murrey''s 7-15'!C151+'[12]Murrey''s 8-15'!C151+'[12]Murrey''s 9-15'!C151+'[12]Murrey''s 10-15'!C151+'[12]Murrey''s 11-15'!C151+'[12]Murrey''s 12-15'!C151</f>
        <v>160408.62999999998</v>
      </c>
      <c r="I151" s="391">
        <f t="shared" si="66"/>
        <v>196094.89999999997</v>
      </c>
      <c r="J151" s="389">
        <f t="shared" si="67"/>
        <v>167.4935883799491</v>
      </c>
      <c r="K151" s="389">
        <f t="shared" si="68"/>
        <v>14</v>
      </c>
      <c r="Q151" s="391">
        <f t="shared" si="69"/>
        <v>196094.89999999997</v>
      </c>
      <c r="U151" s="389">
        <f t="shared" si="56"/>
        <v>196094.89999999997</v>
      </c>
      <c r="V151" s="391"/>
      <c r="W151" s="391"/>
    </row>
    <row r="152" spans="1:23">
      <c r="A152" s="356" t="s">
        <v>579</v>
      </c>
      <c r="B152" s="356" t="s">
        <v>341</v>
      </c>
      <c r="C152" s="390">
        <v>1534.9</v>
      </c>
      <c r="D152" s="391">
        <v>5755.88</v>
      </c>
      <c r="F152" s="390">
        <v>1566.94</v>
      </c>
      <c r="G152" s="391">
        <f>'[12]Murrey''s 3-15'!C152+'[12]Murrrey''s 4-15'!C152+'[12]Murrey''s 5-15'!C152+'[12]Murrey''s 6-15'!C152+'[12]Murrey''s 7-15'!C152+'[12]Murrey''s 8-15'!C152+'[12]Murrey''s 9-15'!C152+'[12]Murrey''s 10-15'!C152+'[12]Murrey''s 11-15'!C152+'[12]Murrey''s 12-15'!C152</f>
        <v>68357.759999999995</v>
      </c>
      <c r="I152" s="391">
        <f t="shared" si="66"/>
        <v>74113.64</v>
      </c>
      <c r="J152" s="389">
        <f t="shared" si="67"/>
        <v>47.375004853007525</v>
      </c>
      <c r="K152" s="389">
        <f t="shared" si="68"/>
        <v>4</v>
      </c>
      <c r="Q152" s="391">
        <f t="shared" si="69"/>
        <v>74113.64</v>
      </c>
      <c r="U152" s="389">
        <f t="shared" si="56"/>
        <v>74113.64</v>
      </c>
      <c r="V152" s="391"/>
      <c r="W152" s="391"/>
    </row>
    <row r="153" spans="1:23">
      <c r="A153" s="356" t="s">
        <v>580</v>
      </c>
      <c r="B153" s="356" t="s">
        <v>373</v>
      </c>
      <c r="C153" s="390">
        <v>1918.62</v>
      </c>
      <c r="D153" s="391">
        <v>15348.96</v>
      </c>
      <c r="F153" s="390">
        <v>1958.68</v>
      </c>
      <c r="G153" s="391">
        <f>'[12]Murrey''s 3-15'!C153+'[12]Murrrey''s 4-15'!C153+'[12]Murrey''s 5-15'!C153+'[12]Murrey''s 6-15'!C153+'[12]Murrey''s 7-15'!C153+'[12]Murrey''s 8-15'!C153+'[12]Murrey''s 9-15'!C153+'[12]Murrey''s 10-15'!C153+'[12]Murrey''s 11-15'!C153+'[12]Murrey''s 12-15'!C153</f>
        <v>61992.220000000008</v>
      </c>
      <c r="I153" s="391">
        <f t="shared" si="66"/>
        <v>77341.180000000008</v>
      </c>
      <c r="J153" s="389">
        <f t="shared" si="67"/>
        <v>39.649998978904165</v>
      </c>
      <c r="K153" s="389">
        <f t="shared" si="68"/>
        <v>3</v>
      </c>
      <c r="Q153" s="391">
        <f t="shared" si="69"/>
        <v>77341.180000000008</v>
      </c>
      <c r="U153" s="389">
        <f t="shared" si="56"/>
        <v>77341.180000000008</v>
      </c>
      <c r="V153" s="391"/>
      <c r="W153" s="391"/>
    </row>
    <row r="154" spans="1:23">
      <c r="A154" s="356" t="s">
        <v>581</v>
      </c>
      <c r="B154" s="356" t="s">
        <v>374</v>
      </c>
      <c r="C154" s="377">
        <v>313.67</v>
      </c>
      <c r="D154" s="391">
        <v>627.34</v>
      </c>
      <c r="F154" s="377">
        <v>320.64</v>
      </c>
      <c r="G154" s="391">
        <f>'[12]Murrey''s 3-15'!C154+'[12]Murrrey''s 4-15'!C154+'[12]Murrey''s 5-15'!C154+'[12]Murrey''s 6-15'!C154+'[12]Murrey''s 7-15'!C154+'[12]Murrey''s 8-15'!C154+'[12]Murrey''s 9-15'!C154+'[12]Murrey''s 10-15'!C154+'[12]Murrey''s 11-15'!C154+'[12]Murrey''s 12-15'!C154</f>
        <v>3206.3999999999992</v>
      </c>
      <c r="I154" s="391">
        <f t="shared" si="66"/>
        <v>3833.7399999999993</v>
      </c>
      <c r="J154" s="389">
        <f t="shared" si="67"/>
        <v>11.999999999999998</v>
      </c>
      <c r="K154" s="389">
        <f t="shared" si="68"/>
        <v>1</v>
      </c>
      <c r="Q154" s="391">
        <f t="shared" si="69"/>
        <v>3833.7399999999993</v>
      </c>
      <c r="U154" s="389">
        <f t="shared" si="56"/>
        <v>3833.7399999999993</v>
      </c>
      <c r="V154" s="391"/>
      <c r="W154" s="391"/>
    </row>
    <row r="155" spans="1:23">
      <c r="A155" s="356" t="s">
        <v>582</v>
      </c>
      <c r="B155" s="356" t="s">
        <v>375</v>
      </c>
      <c r="C155" s="377">
        <v>627.34</v>
      </c>
      <c r="D155" s="391">
        <v>0</v>
      </c>
      <c r="F155" s="377">
        <v>641.27</v>
      </c>
      <c r="G155" s="391">
        <f>'[12]Murrey''s 3-15'!C155+'[12]Murrrey''s 4-15'!C155+'[12]Murrey''s 5-15'!C155+'[12]Murrey''s 6-15'!C155+'[12]Murrey''s 7-15'!C155+'[12]Murrey''s 8-15'!C155+'[12]Murrey''s 9-15'!C155+'[12]Murrey''s 10-15'!C155+'[12]Murrey''s 11-15'!C155+'[12]Murrey''s 12-15'!C155</f>
        <v>0</v>
      </c>
      <c r="I155" s="391">
        <f t="shared" si="66"/>
        <v>0</v>
      </c>
      <c r="J155" s="389">
        <f t="shared" si="67"/>
        <v>0</v>
      </c>
      <c r="K155" s="389">
        <f t="shared" si="68"/>
        <v>0</v>
      </c>
      <c r="Q155" s="391">
        <f t="shared" si="69"/>
        <v>0</v>
      </c>
      <c r="U155" s="389">
        <f t="shared" si="56"/>
        <v>0</v>
      </c>
      <c r="V155" s="391"/>
      <c r="W155" s="391"/>
    </row>
    <row r="156" spans="1:23">
      <c r="A156" s="356" t="s">
        <v>583</v>
      </c>
      <c r="B156" s="356" t="s">
        <v>376</v>
      </c>
      <c r="C156" s="377">
        <v>567.36</v>
      </c>
      <c r="D156" s="391">
        <v>1271.75</v>
      </c>
      <c r="F156" s="377">
        <v>580.52</v>
      </c>
      <c r="G156" s="391">
        <f>'[12]Murrey''s 3-15'!C156+'[12]Murrrey''s 4-15'!C156+'[12]Murrey''s 5-15'!C156+'[12]Murrey''s 6-15'!C156+'[12]Murrey''s 7-15'!C156+'[12]Murrey''s 8-15'!C156+'[12]Murrey''s 9-15'!C156+'[12]Murrey''s 10-15'!C156+'[12]Murrey''s 11-15'!C156+'[12]Murrey''s 12-15'!C156</f>
        <v>5805.2000000000007</v>
      </c>
      <c r="I156" s="391">
        <f t="shared" si="66"/>
        <v>7076.9500000000007</v>
      </c>
      <c r="J156" s="389">
        <f t="shared" si="67"/>
        <v>12.241522137619855</v>
      </c>
      <c r="K156" s="389">
        <f t="shared" si="68"/>
        <v>1</v>
      </c>
      <c r="Q156" s="391">
        <f t="shared" si="69"/>
        <v>7076.9500000000007</v>
      </c>
      <c r="U156" s="389">
        <f t="shared" si="56"/>
        <v>7076.9500000000007</v>
      </c>
      <c r="V156" s="391"/>
      <c r="W156" s="391"/>
    </row>
    <row r="157" spans="1:23">
      <c r="A157" s="356" t="s">
        <v>584</v>
      </c>
      <c r="B157" s="367" t="s">
        <v>377</v>
      </c>
      <c r="C157" s="377">
        <v>898.69</v>
      </c>
      <c r="D157" s="391">
        <v>1797.38</v>
      </c>
      <c r="F157" s="377">
        <v>922.07</v>
      </c>
      <c r="G157" s="391">
        <f>'[12]Murrey''s 3-15'!C157+'[12]Murrrey''s 4-15'!C157+'[12]Murrey''s 5-15'!C157+'[12]Murrey''s 6-15'!C157+'[12]Murrey''s 7-15'!C157+'[12]Murrey''s 8-15'!C157+'[12]Murrey''s 9-15'!C157+'[12]Murrey''s 10-15'!C157+'[12]Murrey''s 11-15'!C157+'[12]Murrey''s 12-15'!C157</f>
        <v>9220.6999999999989</v>
      </c>
      <c r="I157" s="391">
        <f t="shared" si="66"/>
        <v>11018.079999999998</v>
      </c>
      <c r="J157" s="389">
        <f t="shared" si="67"/>
        <v>11.999999999999998</v>
      </c>
      <c r="K157" s="389">
        <f t="shared" si="68"/>
        <v>1</v>
      </c>
      <c r="Q157" s="391">
        <f t="shared" si="69"/>
        <v>11018.079999999998</v>
      </c>
      <c r="U157" s="389">
        <f t="shared" si="56"/>
        <v>11018.079999999998</v>
      </c>
      <c r="V157" s="391"/>
      <c r="W157" s="391"/>
    </row>
    <row r="158" spans="1:23">
      <c r="A158" s="356" t="s">
        <v>585</v>
      </c>
      <c r="B158" s="367" t="s">
        <v>378</v>
      </c>
      <c r="C158" s="377">
        <v>1003.35</v>
      </c>
      <c r="D158" s="391">
        <v>3010.05</v>
      </c>
      <c r="F158" s="377">
        <v>1032.58</v>
      </c>
      <c r="G158" s="391">
        <f>'[12]Murrey''s 3-15'!C158+'[12]Murrrey''s 4-15'!C158+'[12]Murrey''s 5-15'!C158+'[12]Murrey''s 6-15'!C158+'[12]Murrey''s 7-15'!C158+'[12]Murrey''s 8-15'!C158+'[12]Murrey''s 9-15'!C158+'[12]Murrey''s 10-15'!C158+'[12]Murrey''s 11-15'!C158+'[12]Murrey''s 12-15'!C158</f>
        <v>10325.799999999999</v>
      </c>
      <c r="I158" s="391">
        <f t="shared" si="66"/>
        <v>13335.849999999999</v>
      </c>
      <c r="J158" s="389">
        <f t="shared" si="67"/>
        <v>13</v>
      </c>
      <c r="K158" s="389">
        <f t="shared" si="68"/>
        <v>1</v>
      </c>
      <c r="Q158" s="391">
        <f t="shared" si="69"/>
        <v>13335.849999999999</v>
      </c>
      <c r="U158" s="389">
        <f t="shared" si="56"/>
        <v>13335.849999999999</v>
      </c>
      <c r="V158" s="391"/>
      <c r="W158" s="391"/>
    </row>
    <row r="159" spans="1:23">
      <c r="A159" s="356" t="s">
        <v>586</v>
      </c>
      <c r="B159" s="356" t="s">
        <v>379</v>
      </c>
      <c r="C159" s="377">
        <v>2006.7</v>
      </c>
      <c r="D159" s="391">
        <v>0</v>
      </c>
      <c r="F159" s="377">
        <v>2065.15</v>
      </c>
      <c r="G159" s="391">
        <f>'[12]Murrey''s 3-15'!C159+'[12]Murrrey''s 4-15'!C159+'[12]Murrey''s 5-15'!C159+'[12]Murrey''s 6-15'!C159+'[12]Murrey''s 7-15'!C159+'[12]Murrey''s 8-15'!C159+'[12]Murrey''s 9-15'!C159+'[12]Murrey''s 10-15'!C159+'[12]Murrey''s 11-15'!C159+'[12]Murrey''s 12-15'!C159</f>
        <v>0</v>
      </c>
      <c r="I159" s="391">
        <f t="shared" si="66"/>
        <v>0</v>
      </c>
      <c r="J159" s="389">
        <f t="shared" si="67"/>
        <v>0</v>
      </c>
      <c r="K159" s="389">
        <f t="shared" si="68"/>
        <v>0</v>
      </c>
      <c r="Q159" s="391">
        <f t="shared" si="69"/>
        <v>0</v>
      </c>
      <c r="U159" s="389">
        <f t="shared" si="56"/>
        <v>0</v>
      </c>
      <c r="V159" s="391"/>
      <c r="W159" s="391"/>
    </row>
    <row r="160" spans="1:23">
      <c r="A160" s="356" t="s">
        <v>587</v>
      </c>
      <c r="B160" s="356" t="s">
        <v>380</v>
      </c>
      <c r="C160" s="377">
        <v>1702.08</v>
      </c>
      <c r="D160" s="391">
        <v>0</v>
      </c>
      <c r="F160" s="377">
        <v>1741.57</v>
      </c>
      <c r="G160" s="391">
        <f>'[12]Murrey''s 3-15'!C160+'[12]Murrrey''s 4-15'!C160+'[12]Murrey''s 5-15'!C160+'[12]Murrey''s 6-15'!C160+'[12]Murrey''s 7-15'!C160+'[12]Murrey''s 8-15'!C160+'[12]Murrey''s 9-15'!C160+'[12]Murrey''s 10-15'!C160+'[12]Murrey''s 11-15'!C160+'[12]Murrey''s 12-15'!C160</f>
        <v>0</v>
      </c>
      <c r="I160" s="391">
        <f t="shared" si="66"/>
        <v>0</v>
      </c>
      <c r="J160" s="389">
        <f t="shared" si="67"/>
        <v>0</v>
      </c>
      <c r="K160" s="389">
        <f t="shared" si="68"/>
        <v>0</v>
      </c>
      <c r="Q160" s="391">
        <f t="shared" si="69"/>
        <v>0</v>
      </c>
      <c r="U160" s="389">
        <f t="shared" si="56"/>
        <v>0</v>
      </c>
      <c r="V160" s="391"/>
      <c r="W160" s="391"/>
    </row>
    <row r="161" spans="1:23">
      <c r="A161" s="368" t="s">
        <v>588</v>
      </c>
      <c r="B161" s="368" t="s">
        <v>381</v>
      </c>
      <c r="C161" s="398">
        <v>1999.68</v>
      </c>
      <c r="D161" s="391">
        <v>0</v>
      </c>
      <c r="F161" s="398">
        <v>2047.74</v>
      </c>
      <c r="G161" s="391">
        <f>'[12]Murrey''s 3-15'!C161+'[12]Murrrey''s 4-15'!C161+'[12]Murrey''s 5-15'!C161+'[12]Murrey''s 6-15'!C161+'[12]Murrey''s 7-15'!C161+'[12]Murrey''s 8-15'!C161+'[12]Murrey''s 9-15'!C161+'[12]Murrey''s 10-15'!C161+'[12]Murrey''s 11-15'!C161+'[12]Murrey''s 12-15'!C161</f>
        <v>0</v>
      </c>
      <c r="I161" s="391">
        <f t="shared" si="66"/>
        <v>0</v>
      </c>
      <c r="J161" s="389">
        <f t="shared" si="67"/>
        <v>0</v>
      </c>
      <c r="K161" s="389">
        <f t="shared" si="68"/>
        <v>0</v>
      </c>
      <c r="Q161" s="391">
        <f t="shared" si="69"/>
        <v>0</v>
      </c>
      <c r="U161" s="389">
        <f t="shared" si="56"/>
        <v>0</v>
      </c>
      <c r="V161" s="391"/>
      <c r="W161" s="391"/>
    </row>
    <row r="162" spans="1:23">
      <c r="A162" s="357" t="s">
        <v>589</v>
      </c>
      <c r="B162" s="357" t="s">
        <v>382</v>
      </c>
      <c r="C162" s="398">
        <v>1434.01</v>
      </c>
      <c r="D162" s="391">
        <v>0</v>
      </c>
      <c r="F162" s="398">
        <v>1474.11</v>
      </c>
      <c r="G162" s="391">
        <f>'[12]Murrey''s 3-15'!C162+'[12]Murrrey''s 4-15'!C162+'[12]Murrey''s 5-15'!C162+'[12]Murrey''s 6-15'!C162+'[12]Murrey''s 7-15'!C162+'[12]Murrey''s 8-15'!C162+'[12]Murrey''s 9-15'!C162+'[12]Murrey''s 10-15'!C162+'[12]Murrey''s 11-15'!C162+'[12]Murrey''s 12-15'!C162</f>
        <v>0</v>
      </c>
      <c r="I162" s="391">
        <f t="shared" si="66"/>
        <v>0</v>
      </c>
      <c r="J162" s="389">
        <f t="shared" si="67"/>
        <v>0</v>
      </c>
      <c r="K162" s="389">
        <f t="shared" si="68"/>
        <v>0</v>
      </c>
      <c r="Q162" s="391">
        <f t="shared" si="69"/>
        <v>0</v>
      </c>
      <c r="U162" s="389">
        <f t="shared" si="56"/>
        <v>0</v>
      </c>
      <c r="V162" s="391"/>
      <c r="W162" s="391"/>
    </row>
    <row r="163" spans="1:23">
      <c r="A163" s="357" t="s">
        <v>590</v>
      </c>
      <c r="B163" s="357" t="s">
        <v>383</v>
      </c>
      <c r="C163" s="398">
        <v>2568.8200000000002</v>
      </c>
      <c r="D163" s="391">
        <v>642.21</v>
      </c>
      <c r="F163" s="398">
        <v>2632.9</v>
      </c>
      <c r="G163" s="391">
        <f>'[12]Murrey''s 3-15'!C163+'[12]Murrrey''s 4-15'!C163+'[12]Murrey''s 5-15'!C163+'[12]Murrey''s 6-15'!C163+'[12]Murrey''s 7-15'!C163+'[12]Murrey''s 8-15'!C163+'[12]Murrey''s 9-15'!C163+'[12]Murrey''s 10-15'!C163+'[12]Murrey''s 11-15'!C163+'[12]Murrey''s 12-15'!C163</f>
        <v>23696.100000000002</v>
      </c>
      <c r="I163" s="391">
        <f t="shared" si="66"/>
        <v>24338.31</v>
      </c>
      <c r="J163" s="389">
        <f t="shared" si="67"/>
        <v>9.250001946418978</v>
      </c>
      <c r="K163" s="389">
        <f t="shared" si="68"/>
        <v>1</v>
      </c>
      <c r="Q163" s="391">
        <f t="shared" si="69"/>
        <v>24338.31</v>
      </c>
      <c r="U163" s="389">
        <f t="shared" si="56"/>
        <v>24338.31</v>
      </c>
      <c r="V163" s="391"/>
      <c r="W163" s="391"/>
    </row>
    <row r="164" spans="1:23">
      <c r="A164" s="357" t="s">
        <v>591</v>
      </c>
      <c r="B164" s="357" t="s">
        <v>384</v>
      </c>
      <c r="C164" s="398">
        <v>2868.02</v>
      </c>
      <c r="D164" s="391">
        <v>0</v>
      </c>
      <c r="F164" s="398">
        <v>2948.21</v>
      </c>
      <c r="G164" s="391">
        <f>'[12]Murrey''s 3-15'!C164+'[12]Murrrey''s 4-15'!C164+'[12]Murrey''s 5-15'!C164+'[12]Murrey''s 6-15'!C164+'[12]Murrey''s 7-15'!C164+'[12]Murrey''s 8-15'!C164+'[12]Murrey''s 9-15'!C164+'[12]Murrey''s 10-15'!C164+'[12]Murrey''s 11-15'!C164+'[12]Murrey''s 12-15'!C164</f>
        <v>0</v>
      </c>
      <c r="I164" s="391">
        <f t="shared" si="66"/>
        <v>0</v>
      </c>
      <c r="J164" s="389">
        <f t="shared" si="67"/>
        <v>0</v>
      </c>
      <c r="K164" s="389">
        <f t="shared" si="68"/>
        <v>0</v>
      </c>
      <c r="Q164" s="391">
        <f t="shared" si="69"/>
        <v>0</v>
      </c>
      <c r="U164" s="389">
        <f t="shared" si="56"/>
        <v>0</v>
      </c>
      <c r="V164" s="391"/>
      <c r="W164" s="391"/>
    </row>
    <row r="165" spans="1:23">
      <c r="A165" s="357" t="s">
        <v>592</v>
      </c>
      <c r="B165" s="357" t="s">
        <v>385</v>
      </c>
      <c r="C165" s="398">
        <v>6422.04</v>
      </c>
      <c r="D165" s="391">
        <v>0</v>
      </c>
      <c r="F165" s="398">
        <v>6582.25</v>
      </c>
      <c r="G165" s="391">
        <f>'[12]Murrey''s 3-15'!C165+'[12]Murrrey''s 4-15'!C165+'[12]Murrey''s 5-15'!C165+'[12]Murrey''s 6-15'!C165+'[12]Murrey''s 7-15'!C165+'[12]Murrey''s 8-15'!C165+'[12]Murrey''s 9-15'!C165+'[12]Murrey''s 10-15'!C165+'[12]Murrey''s 11-15'!C165+'[12]Murrey''s 12-15'!C165</f>
        <v>0</v>
      </c>
      <c r="I165" s="391">
        <f t="shared" si="66"/>
        <v>0</v>
      </c>
      <c r="J165" s="389">
        <f t="shared" si="67"/>
        <v>0</v>
      </c>
      <c r="K165" s="389">
        <f t="shared" si="68"/>
        <v>0</v>
      </c>
      <c r="Q165" s="391">
        <f t="shared" si="69"/>
        <v>0</v>
      </c>
      <c r="U165" s="389">
        <f t="shared" si="56"/>
        <v>0</v>
      </c>
      <c r="V165" s="391"/>
      <c r="W165" s="391"/>
    </row>
    <row r="166" spans="1:23">
      <c r="A166" s="368" t="s">
        <v>593</v>
      </c>
      <c r="B166" s="368" t="s">
        <v>386</v>
      </c>
      <c r="C166" s="398">
        <v>539.99</v>
      </c>
      <c r="D166" s="391">
        <v>0</v>
      </c>
      <c r="F166" s="398">
        <v>553.54999999999995</v>
      </c>
      <c r="G166" s="391">
        <f>'[12]Murrey''s 3-15'!C166+'[12]Murrrey''s 4-15'!C166+'[12]Murrey''s 5-15'!C166+'[12]Murrey''s 6-15'!C166+'[12]Murrey''s 7-15'!C166+'[12]Murrey''s 8-15'!C166+'[12]Murrey''s 9-15'!C166+'[12]Murrey''s 10-15'!C166+'[12]Murrey''s 11-15'!C166+'[12]Murrey''s 12-15'!C166</f>
        <v>0</v>
      </c>
      <c r="I166" s="391">
        <f t="shared" si="66"/>
        <v>0</v>
      </c>
      <c r="J166" s="389">
        <f t="shared" si="67"/>
        <v>0</v>
      </c>
      <c r="K166" s="389">
        <f t="shared" si="68"/>
        <v>0</v>
      </c>
      <c r="Q166" s="391">
        <f t="shared" si="69"/>
        <v>0</v>
      </c>
      <c r="U166" s="389">
        <f t="shared" si="56"/>
        <v>0</v>
      </c>
      <c r="V166" s="391"/>
      <c r="W166" s="391"/>
    </row>
    <row r="167" spans="1:23">
      <c r="A167" s="368" t="s">
        <v>594</v>
      </c>
      <c r="B167" s="368" t="s">
        <v>387</v>
      </c>
      <c r="C167" s="377">
        <v>1079.99</v>
      </c>
      <c r="D167" s="391">
        <v>0</v>
      </c>
      <c r="F167" s="377">
        <v>1107.0899999999999</v>
      </c>
      <c r="G167" s="391">
        <f>'[12]Murrey''s 3-15'!C167+'[12]Murrrey''s 4-15'!C167+'[12]Murrey''s 5-15'!C167+'[12]Murrey''s 6-15'!C167+'[12]Murrey''s 7-15'!C167+'[12]Murrey''s 8-15'!C167+'[12]Murrey''s 9-15'!C167+'[12]Murrey''s 10-15'!C167+'[12]Murrey''s 11-15'!C167+'[12]Murrey''s 12-15'!C167</f>
        <v>0</v>
      </c>
      <c r="I167" s="391">
        <f t="shared" si="66"/>
        <v>0</v>
      </c>
      <c r="J167" s="389">
        <f t="shared" si="67"/>
        <v>0</v>
      </c>
      <c r="K167" s="389">
        <f t="shared" si="68"/>
        <v>0</v>
      </c>
      <c r="Q167" s="391">
        <f t="shared" si="69"/>
        <v>0</v>
      </c>
      <c r="U167" s="389">
        <f t="shared" si="56"/>
        <v>0</v>
      </c>
      <c r="V167" s="391"/>
      <c r="W167" s="391"/>
    </row>
    <row r="168" spans="1:23">
      <c r="A168" s="368" t="s">
        <v>595</v>
      </c>
      <c r="B168" s="368" t="s">
        <v>388</v>
      </c>
      <c r="C168" s="398">
        <v>130.71</v>
      </c>
      <c r="D168" s="391">
        <v>0</v>
      </c>
      <c r="F168" s="398">
        <v>133.84</v>
      </c>
      <c r="G168" s="391">
        <f>'[12]Murrey''s 3-15'!C168+'[12]Murrrey''s 4-15'!C168+'[12]Murrey''s 5-15'!C168+'[12]Murrey''s 6-15'!C168+'[12]Murrey''s 7-15'!C168+'[12]Murrey''s 8-15'!C168+'[12]Murrey''s 9-15'!C168+'[12]Murrey''s 10-15'!C168+'[12]Murrey''s 11-15'!C168+'[12]Murrey''s 12-15'!C168</f>
        <v>0</v>
      </c>
      <c r="I168" s="391">
        <f t="shared" si="66"/>
        <v>0</v>
      </c>
      <c r="J168" s="389">
        <f t="shared" si="67"/>
        <v>0</v>
      </c>
      <c r="K168" s="389">
        <f t="shared" si="68"/>
        <v>0</v>
      </c>
      <c r="Q168" s="391">
        <f t="shared" si="69"/>
        <v>0</v>
      </c>
      <c r="U168" s="389">
        <f t="shared" si="56"/>
        <v>0</v>
      </c>
      <c r="V168" s="391"/>
      <c r="W168" s="391"/>
    </row>
    <row r="169" spans="1:23">
      <c r="A169" s="356" t="s">
        <v>596</v>
      </c>
      <c r="B169" s="368" t="s">
        <v>389</v>
      </c>
      <c r="C169" s="390">
        <v>237.72</v>
      </c>
      <c r="D169" s="391">
        <v>-290.18999999999994</v>
      </c>
      <c r="F169" s="390">
        <v>244.47</v>
      </c>
      <c r="G169" s="391">
        <f>'[12]Murrey''s 3-15'!C169+'[12]Murrrey''s 4-15'!C169+'[12]Murrey''s 5-15'!C169+'[12]Murrey''s 6-15'!C169+'[12]Murrey''s 7-15'!C169+'[12]Murrey''s 8-15'!C169+'[12]Murrey''s 9-15'!C169+'[12]Murrey''s 10-15'!C169+'[12]Murrey''s 11-15'!C169+'[12]Murrey''s 12-15'!C169</f>
        <v>4644.9299999999994</v>
      </c>
      <c r="I169" s="391">
        <f t="shared" si="66"/>
        <v>4354.74</v>
      </c>
      <c r="J169" s="389">
        <f t="shared" si="67"/>
        <v>17.779278142352343</v>
      </c>
      <c r="K169" s="389">
        <f t="shared" si="68"/>
        <v>1</v>
      </c>
      <c r="Q169" s="391">
        <f t="shared" si="69"/>
        <v>4354.74</v>
      </c>
      <c r="U169" s="389">
        <f t="shared" si="56"/>
        <v>4354.74</v>
      </c>
      <c r="V169" s="391"/>
      <c r="W169" s="391"/>
    </row>
    <row r="170" spans="1:23">
      <c r="A170" s="368" t="s">
        <v>597</v>
      </c>
      <c r="B170" s="368" t="s">
        <v>390</v>
      </c>
      <c r="C170" s="377">
        <v>502.83</v>
      </c>
      <c r="D170" s="391">
        <v>0</v>
      </c>
      <c r="F170" s="377">
        <v>517.48</v>
      </c>
      <c r="G170" s="391">
        <f>'[12]Murrey''s 3-15'!C170+'[12]Murrrey''s 4-15'!C170+'[12]Murrey''s 5-15'!C170+'[12]Murrey''s 6-15'!C170+'[12]Murrey''s 7-15'!C170+'[12]Murrey''s 8-15'!C170+'[12]Murrey''s 9-15'!C170+'[12]Murrey''s 10-15'!C170+'[12]Murrey''s 11-15'!C170+'[12]Murrey''s 12-15'!C170</f>
        <v>0</v>
      </c>
      <c r="I170" s="391">
        <f t="shared" si="66"/>
        <v>0</v>
      </c>
      <c r="J170" s="389">
        <f t="shared" si="67"/>
        <v>0</v>
      </c>
      <c r="K170" s="389">
        <f t="shared" si="68"/>
        <v>0</v>
      </c>
      <c r="Q170" s="391">
        <f t="shared" si="69"/>
        <v>0</v>
      </c>
      <c r="U170" s="389">
        <f t="shared" si="56"/>
        <v>0</v>
      </c>
      <c r="V170" s="391"/>
      <c r="W170" s="391"/>
    </row>
    <row r="171" spans="1:23">
      <c r="A171" s="369" t="s">
        <v>598</v>
      </c>
      <c r="B171" s="357" t="s">
        <v>391</v>
      </c>
      <c r="C171" s="377">
        <f>'[12]Murrey''s 1-15'!B171</f>
        <v>1284.4100000000001</v>
      </c>
      <c r="D171" s="391">
        <v>3532.13</v>
      </c>
      <c r="F171" s="377">
        <v>1316.45</v>
      </c>
      <c r="G171" s="391">
        <f>'[12]Murrey''s 3-15'!C171+'[12]Murrrey''s 4-15'!C171+'[12]Murrey''s 5-15'!C171+'[12]Murrey''s 6-15'!C171+'[12]Murrey''s 7-15'!C171+'[12]Murrey''s 8-15'!C171+'[12]Murrey''s 9-15'!C171+'[12]Murrey''s 10-15'!C171+'[12]Murrey''s 11-15'!C171+'[12]Murrey''s 12-15'!C171</f>
        <v>2632.9</v>
      </c>
      <c r="I171" s="391">
        <f t="shared" si="66"/>
        <v>6165.0300000000007</v>
      </c>
      <c r="J171" s="389">
        <f>+G171/F171</f>
        <v>2</v>
      </c>
      <c r="K171" s="389">
        <f t="shared" si="68"/>
        <v>0</v>
      </c>
      <c r="Q171" s="391">
        <f t="shared" si="69"/>
        <v>6165.0300000000007</v>
      </c>
      <c r="U171" s="389">
        <f t="shared" si="56"/>
        <v>6165.0300000000007</v>
      </c>
      <c r="V171" s="391"/>
      <c r="W171" s="391"/>
    </row>
    <row r="172" spans="1:23">
      <c r="A172" s="368"/>
      <c r="B172" s="356"/>
      <c r="C172" s="377"/>
      <c r="F172" s="377"/>
      <c r="U172" s="389">
        <f t="shared" si="56"/>
        <v>0</v>
      </c>
      <c r="V172" s="391"/>
      <c r="W172" s="391"/>
    </row>
    <row r="173" spans="1:23">
      <c r="A173" s="357"/>
      <c r="B173" s="356"/>
      <c r="C173" s="379"/>
      <c r="F173" s="379"/>
      <c r="U173" s="389">
        <f t="shared" si="56"/>
        <v>0</v>
      </c>
      <c r="V173" s="391"/>
      <c r="W173" s="391"/>
    </row>
    <row r="174" spans="1:23">
      <c r="A174" s="356" t="s">
        <v>599</v>
      </c>
      <c r="B174" s="356" t="s">
        <v>364</v>
      </c>
      <c r="C174" s="390">
        <v>86.12</v>
      </c>
      <c r="D174" s="391">
        <v>48851.57</v>
      </c>
      <c r="F174" s="390">
        <v>87.81</v>
      </c>
      <c r="G174" s="391">
        <f>'[12]Murrey''s 3-15'!C174+'[12]Murrrey''s 4-15'!C174+'[12]Murrey''s 5-15'!C174+'[12]Murrey''s 6-15'!C174+'[12]Murrey''s 7-15'!C174+'[12]Murrey''s 8-15'!C174+'[12]Murrey''s 9-15'!C174+'[12]Murrey''s 10-15'!C174+'[12]Murrey''s 11-15'!C174+'[12]Murrey''s 12-15'!C174</f>
        <v>246283.25000000003</v>
      </c>
      <c r="I174" s="391">
        <f t="shared" ref="I174:I183" si="70">D174+G174</f>
        <v>295134.82</v>
      </c>
      <c r="J174" s="389">
        <f t="shared" ref="J174:J183" si="71">D174/C174+G174/F174</f>
        <v>3371.9789602550964</v>
      </c>
      <c r="K174" s="389">
        <f t="shared" ref="K174:K183" si="72">ROUND(J174/12,0)</f>
        <v>281</v>
      </c>
      <c r="Q174" s="391">
        <f t="shared" ref="Q174:Q187" si="73">I174</f>
        <v>295134.82</v>
      </c>
      <c r="U174" s="389">
        <f t="shared" si="56"/>
        <v>295134.82</v>
      </c>
      <c r="V174" s="391"/>
      <c r="W174" s="391"/>
    </row>
    <row r="175" spans="1:23">
      <c r="A175" s="356" t="s">
        <v>600</v>
      </c>
      <c r="B175" s="356" t="s">
        <v>392</v>
      </c>
      <c r="C175" s="390">
        <v>172.25</v>
      </c>
      <c r="D175" s="391">
        <v>344.5</v>
      </c>
      <c r="F175" s="390">
        <v>175.62</v>
      </c>
      <c r="G175" s="391">
        <f>'[12]Murrey''s 3-15'!C175+'[12]Murrrey''s 4-15'!C175+'[12]Murrey''s 5-15'!C175+'[12]Murrey''s 6-15'!C175+'[12]Murrey''s 7-15'!C175+'[12]Murrey''s 8-15'!C175+'[12]Murrey''s 9-15'!C175+'[12]Murrey''s 10-15'!C175+'[12]Murrey''s 11-15'!C175+'[12]Murrey''s 12-15'!C175</f>
        <v>1580.58</v>
      </c>
      <c r="I175" s="391">
        <f t="shared" si="70"/>
        <v>1925.08</v>
      </c>
      <c r="J175" s="389">
        <f t="shared" si="71"/>
        <v>11</v>
      </c>
      <c r="K175" s="389">
        <f t="shared" si="72"/>
        <v>1</v>
      </c>
      <c r="Q175" s="391">
        <f t="shared" si="73"/>
        <v>1925.08</v>
      </c>
      <c r="U175" s="389">
        <f t="shared" si="56"/>
        <v>1925.08</v>
      </c>
      <c r="V175" s="391"/>
      <c r="W175" s="391"/>
    </row>
    <row r="176" spans="1:23">
      <c r="A176" s="356" t="s">
        <v>601</v>
      </c>
      <c r="B176" s="356" t="s">
        <v>393</v>
      </c>
      <c r="C176" s="390">
        <v>258.37</v>
      </c>
      <c r="D176" s="391">
        <v>0</v>
      </c>
      <c r="F176" s="390">
        <v>263.44</v>
      </c>
      <c r="G176" s="391">
        <f>'[12]Murrey''s 3-15'!C176+'[12]Murrrey''s 4-15'!C176+'[12]Murrey''s 5-15'!C176+'[12]Murrey''s 6-15'!C176+'[12]Murrey''s 7-15'!C176+'[12]Murrey''s 8-15'!C176+'[12]Murrey''s 9-15'!C176+'[12]Murrey''s 10-15'!C176+'[12]Murrey''s 11-15'!C176+'[12]Murrey''s 12-15'!C176</f>
        <v>0</v>
      </c>
      <c r="I176" s="391">
        <f t="shared" si="70"/>
        <v>0</v>
      </c>
      <c r="J176" s="389">
        <f t="shared" si="71"/>
        <v>0</v>
      </c>
      <c r="K176" s="389">
        <f t="shared" si="72"/>
        <v>0</v>
      </c>
      <c r="Q176" s="391">
        <f t="shared" si="73"/>
        <v>0</v>
      </c>
      <c r="U176" s="389">
        <f t="shared" si="56"/>
        <v>0</v>
      </c>
      <c r="V176" s="391"/>
      <c r="W176" s="391"/>
    </row>
    <row r="177" spans="1:23">
      <c r="A177" s="356" t="s">
        <v>602</v>
      </c>
      <c r="B177" s="356" t="s">
        <v>365</v>
      </c>
      <c r="C177" s="390">
        <v>118.86</v>
      </c>
      <c r="D177" s="391">
        <v>12776.39</v>
      </c>
      <c r="F177" s="390">
        <v>121.24</v>
      </c>
      <c r="G177" s="391">
        <f>'[12]Murrey''s 3-15'!C177+'[12]Murrrey''s 4-15'!C177+'[12]Murrey''s 5-15'!C177+'[12]Murrey''s 6-15'!C177+'[12]Murrey''s 7-15'!C177+'[12]Murrey''s 8-15'!C177+'[12]Murrey''s 9-15'!C177+'[12]Murrey''s 10-15'!C177+'[12]Murrey''s 11-15'!C177+'[12]Murrey''s 12-15'!C177</f>
        <v>63898.950000000004</v>
      </c>
      <c r="I177" s="391">
        <f t="shared" si="70"/>
        <v>76675.34</v>
      </c>
      <c r="J177" s="389">
        <f t="shared" si="71"/>
        <v>634.53619906820734</v>
      </c>
      <c r="K177" s="389">
        <f t="shared" si="72"/>
        <v>53</v>
      </c>
      <c r="Q177" s="391">
        <f t="shared" si="73"/>
        <v>76675.34</v>
      </c>
      <c r="U177" s="389">
        <f t="shared" si="56"/>
        <v>76675.34</v>
      </c>
      <c r="V177" s="391"/>
      <c r="W177" s="391"/>
    </row>
    <row r="178" spans="1:23">
      <c r="A178" s="356" t="s">
        <v>603</v>
      </c>
      <c r="B178" s="356" t="s">
        <v>394</v>
      </c>
      <c r="C178" s="390">
        <v>237.72</v>
      </c>
      <c r="D178" s="391">
        <v>1961.1100000000001</v>
      </c>
      <c r="F178" s="390">
        <v>242.48</v>
      </c>
      <c r="G178" s="391">
        <f>'[12]Murrey''s 3-15'!C178+'[12]Murrrey''s 4-15'!C178+'[12]Murrey''s 5-15'!C178+'[12]Murrey''s 6-15'!C178+'[12]Murrey''s 7-15'!C178+'[12]Murrey''s 8-15'!C178+'[12]Murrey''s 9-15'!C178+'[12]Murrey''s 10-15'!C178+'[12]Murrey''s 11-15'!C178+'[12]Murrey''s 12-15'!C178</f>
        <v>8818.19</v>
      </c>
      <c r="I178" s="391">
        <f t="shared" si="70"/>
        <v>10779.300000000001</v>
      </c>
      <c r="J178" s="389">
        <f t="shared" si="71"/>
        <v>44.616332885662445</v>
      </c>
      <c r="K178" s="389">
        <f t="shared" si="72"/>
        <v>4</v>
      </c>
      <c r="Q178" s="391">
        <f t="shared" si="73"/>
        <v>10779.300000000001</v>
      </c>
      <c r="U178" s="389">
        <f t="shared" si="56"/>
        <v>10779.300000000001</v>
      </c>
      <c r="V178" s="391"/>
      <c r="W178" s="391"/>
    </row>
    <row r="179" spans="1:23">
      <c r="A179" s="356" t="s">
        <v>604</v>
      </c>
      <c r="B179" s="356" t="s">
        <v>366</v>
      </c>
      <c r="C179" s="390">
        <v>147.83000000000001</v>
      </c>
      <c r="D179" s="391">
        <v>80598.92</v>
      </c>
      <c r="F179" s="390">
        <v>150.9</v>
      </c>
      <c r="G179" s="391">
        <f>'[12]Murrey''s 3-15'!C179+'[12]Murrrey''s 4-15'!C179+'[12]Murrey''s 5-15'!C179+'[12]Murrey''s 6-15'!C179+'[12]Murrey''s 7-15'!C179+'[12]Murrey''s 8-15'!C179+'[12]Murrey''s 9-15'!C179+'[12]Murrey''s 10-15'!C179+'[12]Murrey''s 11-15'!C179+'[12]Murrey''s 12-15'!C179</f>
        <v>423269.79</v>
      </c>
      <c r="I179" s="391">
        <f t="shared" si="70"/>
        <v>503868.70999999996</v>
      </c>
      <c r="J179" s="389">
        <f t="shared" si="71"/>
        <v>3350.1823433880913</v>
      </c>
      <c r="K179" s="389">
        <f t="shared" si="72"/>
        <v>279</v>
      </c>
      <c r="Q179" s="391">
        <f t="shared" si="73"/>
        <v>503868.70999999996</v>
      </c>
      <c r="U179" s="389">
        <f t="shared" si="56"/>
        <v>503868.70999999996</v>
      </c>
      <c r="V179" s="391"/>
      <c r="W179" s="391"/>
    </row>
    <row r="180" spans="1:23">
      <c r="A180" s="356" t="s">
        <v>605</v>
      </c>
      <c r="B180" s="356" t="s">
        <v>367</v>
      </c>
      <c r="C180" s="390">
        <v>295.64999999999998</v>
      </c>
      <c r="D180" s="391">
        <v>20843.330000000002</v>
      </c>
      <c r="F180" s="390">
        <v>301.8</v>
      </c>
      <c r="G180" s="391">
        <f>'[12]Murrey''s 3-15'!C180+'[12]Murrrey''s 4-15'!C180+'[12]Murrey''s 5-15'!C180+'[12]Murrey''s 6-15'!C180+'[12]Murrey''s 7-15'!C180+'[12]Murrey''s 8-15'!C180+'[12]Murrey''s 9-15'!C180+'[12]Murrey''s 10-15'!C180+'[12]Murrey''s 11-15'!C180+'[12]Murrey''s 12-15'!C180</f>
        <v>103932.40000000001</v>
      </c>
      <c r="I180" s="391">
        <f t="shared" si="70"/>
        <v>124775.73000000001</v>
      </c>
      <c r="J180" s="389">
        <f t="shared" si="71"/>
        <v>414.87509974820455</v>
      </c>
      <c r="K180" s="389">
        <f t="shared" si="72"/>
        <v>35</v>
      </c>
      <c r="Q180" s="391">
        <f t="shared" si="73"/>
        <v>124775.73000000001</v>
      </c>
      <c r="U180" s="389">
        <f t="shared" si="56"/>
        <v>124775.73000000001</v>
      </c>
      <c r="V180" s="391"/>
      <c r="W180" s="391"/>
    </row>
    <row r="181" spans="1:23">
      <c r="A181" s="356" t="s">
        <v>606</v>
      </c>
      <c r="B181" s="356" t="s">
        <v>334</v>
      </c>
      <c r="C181" s="390">
        <v>443.48</v>
      </c>
      <c r="D181" s="391">
        <v>2660.82</v>
      </c>
      <c r="F181" s="390">
        <v>452.7</v>
      </c>
      <c r="G181" s="391">
        <f>'[12]Murrey''s 3-15'!C181+'[12]Murrrey''s 4-15'!C181+'[12]Murrey''s 5-15'!C181+'[12]Murrey''s 6-15'!C181+'[12]Murrey''s 7-15'!C181+'[12]Murrey''s 8-15'!C181+'[12]Murrey''s 9-15'!C181+'[12]Murrey''s 10-15'!C181+'[12]Murrey''s 11-15'!C181+'[12]Murrey''s 12-15'!C181</f>
        <v>25464.380000000005</v>
      </c>
      <c r="I181" s="391">
        <f t="shared" si="70"/>
        <v>28125.200000000004</v>
      </c>
      <c r="J181" s="389">
        <f t="shared" si="71"/>
        <v>62.249875751254983</v>
      </c>
      <c r="K181" s="389">
        <f t="shared" si="72"/>
        <v>5</v>
      </c>
      <c r="Q181" s="391">
        <f t="shared" si="73"/>
        <v>28125.200000000004</v>
      </c>
      <c r="U181" s="389">
        <f t="shared" si="56"/>
        <v>28125.200000000004</v>
      </c>
      <c r="V181" s="391"/>
      <c r="W181" s="391"/>
    </row>
    <row r="182" spans="1:23">
      <c r="A182" s="356" t="s">
        <v>607</v>
      </c>
      <c r="B182" s="356" t="s">
        <v>395</v>
      </c>
      <c r="C182" s="390">
        <v>591.29999999999995</v>
      </c>
      <c r="D182" s="391">
        <v>1182.5999999999999</v>
      </c>
      <c r="F182" s="390">
        <v>603.6</v>
      </c>
      <c r="G182" s="391">
        <f>'[12]Murrey''s 3-15'!C182+'[12]Murrrey''s 4-15'!C182+'[12]Murrey''s 5-15'!C182+'[12]Murrey''s 6-15'!C182+'[12]Murrey''s 7-15'!C182+'[12]Murrey''s 8-15'!C182+'[12]Murrey''s 9-15'!C182+'[12]Murrey''s 10-15'!C182+'[12]Murrey''s 11-15'!C182+'[12]Murrey''s 12-15'!C182</f>
        <v>6036.0000000000009</v>
      </c>
      <c r="I182" s="391">
        <f t="shared" si="70"/>
        <v>7218.6</v>
      </c>
      <c r="J182" s="389">
        <f t="shared" si="71"/>
        <v>12.000000000000002</v>
      </c>
      <c r="K182" s="389">
        <f t="shared" si="72"/>
        <v>1</v>
      </c>
      <c r="Q182" s="391">
        <f t="shared" si="73"/>
        <v>7218.6</v>
      </c>
      <c r="U182" s="389">
        <f t="shared" si="56"/>
        <v>7218.6</v>
      </c>
      <c r="V182" s="391"/>
      <c r="W182" s="391"/>
    </row>
    <row r="183" spans="1:23">
      <c r="A183" s="356" t="s">
        <v>608</v>
      </c>
      <c r="B183" s="356" t="s">
        <v>396</v>
      </c>
      <c r="C183" s="390">
        <v>739.13</v>
      </c>
      <c r="D183" s="391">
        <v>4434.78</v>
      </c>
      <c r="F183" s="390">
        <v>754.5</v>
      </c>
      <c r="G183" s="391">
        <f>'[12]Murrey''s 3-15'!C183+'[12]Murrrey''s 4-15'!C183+'[12]Murrey''s 5-15'!C183+'[12]Murrey''s 6-15'!C183+'[12]Murrey''s 7-15'!C183+'[12]Murrey''s 8-15'!C183+'[12]Murrey''s 9-15'!C183+'[12]Murrey''s 10-15'!C183+'[12]Murrey''s 11-15'!C183+'[12]Murrey''s 12-15'!C183</f>
        <v>22635</v>
      </c>
      <c r="I183" s="391">
        <f t="shared" si="70"/>
        <v>27069.78</v>
      </c>
      <c r="J183" s="389">
        <f t="shared" si="71"/>
        <v>36</v>
      </c>
      <c r="K183" s="389">
        <f t="shared" si="72"/>
        <v>3</v>
      </c>
      <c r="Q183" s="391">
        <f t="shared" si="73"/>
        <v>27069.78</v>
      </c>
      <c r="U183" s="389">
        <f t="shared" ref="U183:U195" si="74">SUM(M183:S183)</f>
        <v>27069.78</v>
      </c>
      <c r="V183" s="391"/>
      <c r="W183" s="391"/>
    </row>
    <row r="184" spans="1:23">
      <c r="A184" s="356"/>
      <c r="B184" s="356"/>
      <c r="C184" s="379"/>
      <c r="F184" s="379"/>
      <c r="Q184" s="391">
        <f t="shared" si="73"/>
        <v>0</v>
      </c>
      <c r="U184" s="389">
        <f t="shared" si="74"/>
        <v>0</v>
      </c>
      <c r="V184" s="391"/>
      <c r="W184" s="391"/>
    </row>
    <row r="185" spans="1:23">
      <c r="A185" s="356" t="s">
        <v>609</v>
      </c>
      <c r="B185" s="356" t="s">
        <v>610</v>
      </c>
      <c r="C185" s="390">
        <v>21.89</v>
      </c>
      <c r="D185" s="391">
        <v>65.67</v>
      </c>
      <c r="F185" s="390">
        <v>22.28</v>
      </c>
      <c r="G185" s="391">
        <f>'[12]Murrey''s 3-15'!C185+'[12]Murrrey''s 4-15'!C185+'[12]Murrey''s 5-15'!C185+'[12]Murrey''s 6-15'!C185+'[12]Murrey''s 7-15'!C185+'[12]Murrey''s 8-15'!C185+'[12]Murrey''s 9-15'!C185+'[12]Murrey''s 10-15'!C185+'[12]Murrey''s 11-15'!C185+'[12]Murrey''s 12-15'!C185</f>
        <v>658.23</v>
      </c>
      <c r="I185" s="391">
        <f t="shared" ref="I185:I187" si="75">D185+G185</f>
        <v>723.9</v>
      </c>
      <c r="J185" s="389">
        <f t="shared" ref="J185:J187" si="76">D185/C185+G185/F185</f>
        <v>32.5435368043088</v>
      </c>
      <c r="K185" s="389">
        <f t="shared" ref="K185:K187" si="77">ROUND(J185/12,0)</f>
        <v>3</v>
      </c>
      <c r="Q185" s="391">
        <f t="shared" si="73"/>
        <v>723.9</v>
      </c>
      <c r="U185" s="389">
        <f t="shared" si="74"/>
        <v>723.9</v>
      </c>
      <c r="V185" s="391"/>
      <c r="W185" s="391"/>
    </row>
    <row r="186" spans="1:23">
      <c r="A186" s="356" t="s">
        <v>611</v>
      </c>
      <c r="B186" s="356" t="s">
        <v>672</v>
      </c>
      <c r="C186" s="390">
        <v>29.45</v>
      </c>
      <c r="D186" s="391">
        <v>0</v>
      </c>
      <c r="F186" s="390">
        <v>30</v>
      </c>
      <c r="G186" s="391">
        <f>'[12]Murrey''s 3-15'!C186+'[12]Murrrey''s 4-15'!C186+'[12]Murrey''s 5-15'!C186+'[12]Murrey''s 6-15'!C186+'[12]Murrey''s 7-15'!C186+'[12]Murrey''s 8-15'!C186+'[12]Murrey''s 9-15'!C186+'[12]Murrey''s 10-15'!C186+'[12]Murrey''s 11-15'!C186+'[12]Murrey''s 12-15'!C186</f>
        <v>420</v>
      </c>
      <c r="I186" s="391">
        <f t="shared" si="75"/>
        <v>420</v>
      </c>
      <c r="J186" s="389">
        <f t="shared" si="76"/>
        <v>14</v>
      </c>
      <c r="K186" s="389">
        <f t="shared" si="77"/>
        <v>1</v>
      </c>
      <c r="Q186" s="391">
        <f t="shared" si="73"/>
        <v>420</v>
      </c>
      <c r="U186" s="389">
        <f t="shared" si="74"/>
        <v>420</v>
      </c>
      <c r="V186" s="391"/>
      <c r="W186" s="391"/>
    </row>
    <row r="187" spans="1:23">
      <c r="A187" s="356" t="s">
        <v>613</v>
      </c>
      <c r="B187" s="356" t="s">
        <v>673</v>
      </c>
      <c r="C187" s="390">
        <v>36.14</v>
      </c>
      <c r="D187" s="391">
        <v>1698.58</v>
      </c>
      <c r="F187" s="390">
        <v>36.85</v>
      </c>
      <c r="G187" s="391">
        <f>'[12]Murrey''s 3-15'!C187+'[12]Murrrey''s 4-15'!C187+'[12]Murrey''s 5-15'!C187+'[12]Murrey''s 6-15'!C187+'[12]Murrey''s 7-15'!C187+'[12]Murrey''s 8-15'!C187+'[12]Murrey''s 9-15'!C187+'[12]Murrey''s 10-15'!C187+'[12]Murrey''s 11-15'!C187+'[12]Murrey''s 12-15'!C187</f>
        <v>10901.9</v>
      </c>
      <c r="I187" s="391">
        <f t="shared" si="75"/>
        <v>12600.48</v>
      </c>
      <c r="J187" s="389">
        <f t="shared" si="76"/>
        <v>342.84531886024422</v>
      </c>
      <c r="K187" s="389">
        <f t="shared" si="77"/>
        <v>29</v>
      </c>
      <c r="Q187" s="391">
        <f t="shared" si="73"/>
        <v>12600.48</v>
      </c>
      <c r="U187" s="389">
        <f t="shared" si="74"/>
        <v>12600.48</v>
      </c>
      <c r="V187" s="391"/>
      <c r="W187" s="391"/>
    </row>
    <row r="188" spans="1:23">
      <c r="A188" s="356"/>
      <c r="B188" s="356"/>
      <c r="C188" s="379"/>
      <c r="F188" s="379"/>
      <c r="Q188" s="391"/>
      <c r="U188" s="389">
        <f t="shared" si="74"/>
        <v>0</v>
      </c>
      <c r="V188" s="391"/>
      <c r="W188" s="391"/>
    </row>
    <row r="189" spans="1:23">
      <c r="A189" s="356" t="s">
        <v>615</v>
      </c>
      <c r="B189" s="356" t="s">
        <v>616</v>
      </c>
      <c r="C189" s="390">
        <v>21.89</v>
      </c>
      <c r="D189" s="391">
        <v>21.89</v>
      </c>
      <c r="F189" s="390">
        <v>22.28</v>
      </c>
      <c r="G189" s="391">
        <f>'[12]Murrey''s 3-15'!C189+'[12]Murrrey''s 4-15'!C189+'[12]Murrey''s 5-15'!C189+'[12]Murrey''s 6-15'!C189+'[12]Murrey''s 7-15'!C189+'[12]Murrey''s 8-15'!C189+'[12]Murrey''s 9-15'!C189+'[12]Murrey''s 10-15'!C189+'[12]Murrey''s 11-15'!C189+'[12]Murrey''s 12-15'!C189</f>
        <v>0</v>
      </c>
      <c r="I189" s="391">
        <f t="shared" ref="I189:I197" si="78">D189+G189</f>
        <v>21.89</v>
      </c>
      <c r="J189" s="389">
        <f t="shared" ref="J189:J195" si="79">D189/C189+G189/F189</f>
        <v>1</v>
      </c>
      <c r="K189" s="389">
        <f t="shared" ref="K189:K195" si="80">ROUND(J189/12,0)</f>
        <v>0</v>
      </c>
      <c r="Q189" s="391">
        <f t="shared" ref="Q189:Q195" si="81">I189</f>
        <v>21.89</v>
      </c>
      <c r="U189" s="389">
        <f t="shared" si="74"/>
        <v>21.89</v>
      </c>
      <c r="V189" s="391"/>
      <c r="W189" s="391"/>
    </row>
    <row r="190" spans="1:23">
      <c r="A190" s="356" t="s">
        <v>617</v>
      </c>
      <c r="B190" s="356" t="s">
        <v>616</v>
      </c>
      <c r="C190" s="390">
        <v>21.89</v>
      </c>
      <c r="D190" s="391">
        <v>0</v>
      </c>
      <c r="F190" s="390">
        <v>22.28</v>
      </c>
      <c r="G190" s="391">
        <f>'[12]Murrey''s 3-15'!C190+'[12]Murrrey''s 4-15'!C190+'[12]Murrey''s 5-15'!C190+'[12]Murrey''s 6-15'!C190+'[12]Murrey''s 7-15'!C190+'[12]Murrey''s 8-15'!C190+'[12]Murrey''s 9-15'!C190+'[12]Murrey''s 10-15'!C190+'[12]Murrey''s 11-15'!C190+'[12]Murrey''s 12-15'!C190</f>
        <v>423.31999999999994</v>
      </c>
      <c r="I190" s="391">
        <f t="shared" si="78"/>
        <v>423.31999999999994</v>
      </c>
      <c r="J190" s="389">
        <f t="shared" si="79"/>
        <v>18.999999999999996</v>
      </c>
      <c r="K190" s="389">
        <f t="shared" si="80"/>
        <v>2</v>
      </c>
      <c r="Q190" s="391">
        <f t="shared" si="81"/>
        <v>423.31999999999994</v>
      </c>
      <c r="U190" s="389">
        <f t="shared" si="74"/>
        <v>423.31999999999994</v>
      </c>
      <c r="V190" s="391"/>
      <c r="W190" s="391"/>
    </row>
    <row r="191" spans="1:23">
      <c r="A191" s="356" t="s">
        <v>618</v>
      </c>
      <c r="B191" s="356" t="s">
        <v>619</v>
      </c>
      <c r="C191" s="390">
        <v>29.45</v>
      </c>
      <c r="D191" s="391">
        <v>0</v>
      </c>
      <c r="F191" s="390">
        <v>30</v>
      </c>
      <c r="G191" s="391">
        <f>'[12]Murrey''s 3-15'!C191+'[12]Murrrey''s 4-15'!C191+'[12]Murrey''s 5-15'!C191+'[12]Murrey''s 6-15'!C191+'[12]Murrey''s 7-15'!C191+'[12]Murrey''s 8-15'!C191+'[12]Murrey''s 9-15'!C191+'[12]Murrey''s 10-15'!C191+'[12]Murrey''s 11-15'!C191+'[12]Murrey''s 12-15'!C191</f>
        <v>120</v>
      </c>
      <c r="I191" s="391">
        <f t="shared" si="78"/>
        <v>120</v>
      </c>
      <c r="J191" s="389">
        <f t="shared" si="79"/>
        <v>4</v>
      </c>
      <c r="K191" s="389">
        <f t="shared" si="80"/>
        <v>0</v>
      </c>
      <c r="Q191" s="391">
        <f t="shared" si="81"/>
        <v>120</v>
      </c>
      <c r="U191" s="389">
        <f t="shared" si="74"/>
        <v>120</v>
      </c>
      <c r="V191" s="391"/>
      <c r="W191" s="391"/>
    </row>
    <row r="192" spans="1:23">
      <c r="A192" s="356" t="s">
        <v>620</v>
      </c>
      <c r="B192" s="356" t="s">
        <v>621</v>
      </c>
      <c r="C192" s="390">
        <v>36.14</v>
      </c>
      <c r="D192" s="391">
        <v>289.12</v>
      </c>
      <c r="F192" s="390">
        <v>36.85</v>
      </c>
      <c r="G192" s="391">
        <f>'[12]Murrey''s 3-15'!C192+'[12]Murrrey''s 4-15'!C192+'[12]Murrey''s 5-15'!C192+'[12]Murrey''s 6-15'!C192+'[12]Murrey''s 7-15'!C192+'[12]Murrey''s 8-15'!C192+'[12]Murrey''s 9-15'!C192+'[12]Murrey''s 10-15'!C192+'[12]Murrey''s 11-15'!C192+'[12]Murrey''s 12-15'!C192</f>
        <v>368.5</v>
      </c>
      <c r="I192" s="391">
        <f t="shared" si="78"/>
        <v>657.62</v>
      </c>
      <c r="J192" s="389">
        <f t="shared" si="79"/>
        <v>18</v>
      </c>
      <c r="K192" s="389">
        <f t="shared" si="80"/>
        <v>2</v>
      </c>
      <c r="Q192" s="391">
        <f t="shared" si="81"/>
        <v>657.62</v>
      </c>
      <c r="U192" s="389">
        <f t="shared" si="74"/>
        <v>657.62</v>
      </c>
      <c r="V192" s="391"/>
      <c r="W192" s="391"/>
    </row>
    <row r="193" spans="1:23">
      <c r="A193" s="356" t="s">
        <v>622</v>
      </c>
      <c r="B193" s="356" t="s">
        <v>621</v>
      </c>
      <c r="C193" s="390">
        <v>36.14</v>
      </c>
      <c r="D193" s="391">
        <v>0</v>
      </c>
      <c r="F193" s="390">
        <v>36.85</v>
      </c>
      <c r="G193" s="391">
        <f>'[12]Murrey''s 3-15'!C193+'[12]Murrrey''s 4-15'!C193+'[12]Murrey''s 5-15'!C193+'[12]Murrey''s 6-15'!C193+'[12]Murrey''s 7-15'!C193+'[12]Murrey''s 8-15'!C193+'[12]Murrey''s 9-15'!C193+'[12]Murrey''s 10-15'!C193+'[12]Murrey''s 11-15'!C193+'[12]Murrey''s 12-15'!C193</f>
        <v>1216.05</v>
      </c>
      <c r="I193" s="391">
        <f t="shared" si="78"/>
        <v>1216.05</v>
      </c>
      <c r="J193" s="389">
        <f t="shared" si="79"/>
        <v>33</v>
      </c>
      <c r="K193" s="389">
        <f t="shared" si="80"/>
        <v>3</v>
      </c>
      <c r="Q193" s="391">
        <f t="shared" si="81"/>
        <v>1216.05</v>
      </c>
      <c r="U193" s="389">
        <f t="shared" si="74"/>
        <v>1216.05</v>
      </c>
      <c r="V193" s="391"/>
      <c r="W193" s="391"/>
    </row>
    <row r="194" spans="1:23">
      <c r="A194" s="356" t="s">
        <v>623</v>
      </c>
      <c r="B194" s="356" t="s">
        <v>624</v>
      </c>
      <c r="C194" s="390">
        <v>66.069999999999993</v>
      </c>
      <c r="D194" s="391">
        <v>396.41999999999996</v>
      </c>
      <c r="F194" s="390">
        <v>67.42</v>
      </c>
      <c r="G194" s="391">
        <f>'[12]Murrey''s 3-15'!C194+'[12]Murrrey''s 4-15'!C194+'[12]Murrey''s 5-15'!C194+'[12]Murrey''s 6-15'!C194+'[12]Murrey''s 7-15'!C194+'[12]Murrey''s 8-15'!C194+'[12]Murrey''s 9-15'!C194+'[12]Murrey''s 10-15'!C194+'[12]Murrey''s 11-15'!C194+'[12]Murrey''s 12-15'!C194</f>
        <v>2425.7700000000004</v>
      </c>
      <c r="I194" s="391">
        <f t="shared" si="78"/>
        <v>2822.1900000000005</v>
      </c>
      <c r="J194" s="389">
        <f t="shared" si="79"/>
        <v>41.979976268169686</v>
      </c>
      <c r="K194" s="389">
        <f t="shared" si="80"/>
        <v>3</v>
      </c>
      <c r="Q194" s="391">
        <f t="shared" si="81"/>
        <v>2822.1900000000005</v>
      </c>
      <c r="U194" s="389">
        <f t="shared" si="74"/>
        <v>2822.1900000000005</v>
      </c>
      <c r="V194" s="391"/>
      <c r="W194" s="391"/>
    </row>
    <row r="195" spans="1:23">
      <c r="A195" s="356" t="s">
        <v>625</v>
      </c>
      <c r="B195" s="356" t="s">
        <v>626</v>
      </c>
      <c r="C195" s="390">
        <v>90.62</v>
      </c>
      <c r="D195" s="391">
        <v>815.58</v>
      </c>
      <c r="F195" s="390">
        <v>92.47</v>
      </c>
      <c r="G195" s="391">
        <f>'[12]Murrey''s 3-15'!C195+'[12]Murrrey''s 4-15'!C195+'[12]Murrey''s 5-15'!C195+'[12]Murrey''s 6-15'!C195+'[12]Murrey''s 7-15'!C195+'[12]Murrey''s 8-15'!C195+'[12]Murrey''s 9-15'!C195+'[12]Murrey''s 10-15'!C195+'[12]Murrey''s 11-15'!C195+'[12]Murrey''s 12-15'!C195</f>
        <v>10087.82</v>
      </c>
      <c r="I195" s="391">
        <f t="shared" si="78"/>
        <v>10903.4</v>
      </c>
      <c r="J195" s="389">
        <f t="shared" si="79"/>
        <v>118.09289499297068</v>
      </c>
      <c r="K195" s="389">
        <f t="shared" si="80"/>
        <v>10</v>
      </c>
      <c r="Q195" s="391">
        <f t="shared" si="81"/>
        <v>10903.4</v>
      </c>
      <c r="U195" s="389">
        <f t="shared" si="74"/>
        <v>10903.4</v>
      </c>
      <c r="V195" s="391"/>
      <c r="W195" s="391"/>
    </row>
    <row r="196" spans="1:23">
      <c r="A196" s="370" t="s">
        <v>17</v>
      </c>
      <c r="B196" s="356"/>
      <c r="C196" s="379"/>
      <c r="D196" s="386">
        <f>SUM(D53:D195)</f>
        <v>735669.05999999994</v>
      </c>
      <c r="F196" s="379"/>
      <c r="G196" s="386">
        <f>SUM(G53:G195)</f>
        <v>3867524.9299999997</v>
      </c>
      <c r="I196" s="386">
        <f>SUM(I53:I195)</f>
        <v>4603193.9900000021</v>
      </c>
      <c r="M196" s="386">
        <f t="shared" ref="M196:Q196" si="82">SUM(M53:M195)</f>
        <v>0</v>
      </c>
      <c r="N196" s="386">
        <f t="shared" si="82"/>
        <v>28639.749999999996</v>
      </c>
      <c r="O196" s="386">
        <f t="shared" si="82"/>
        <v>261206.01954460226</v>
      </c>
      <c r="P196" s="386">
        <f t="shared" si="82"/>
        <v>0</v>
      </c>
      <c r="Q196" s="386">
        <f t="shared" si="82"/>
        <v>4343762.3504553996</v>
      </c>
      <c r="U196" s="380">
        <f t="shared" ref="U196" si="83">SUM(U53:U195)</f>
        <v>4633608.1200000029</v>
      </c>
      <c r="V196" s="391"/>
      <c r="W196" s="391"/>
    </row>
    <row r="197" spans="1:23">
      <c r="A197" s="370" t="s">
        <v>97</v>
      </c>
      <c r="B197" s="371"/>
      <c r="C197" s="379"/>
      <c r="D197" s="386">
        <f>'[12]Murrey''s 1-15'!C196+'[12]Murrey''s 2-15'!C196</f>
        <v>735669.06</v>
      </c>
      <c r="F197" s="379"/>
      <c r="G197" s="386">
        <f>'[12]Murrey''s 3-15'!C196+'[12]Murrrey''s 4-15'!C196+'[12]Murrey''s 5-15'!C196+'[12]Murrey''s 6-15'!C196+'[12]Murrey''s 7-15'!C196+'[12]Murrey''s 8-15'!C196+'[12]Murrey''s 9-15'!C196+'[12]Murrey''s 10-15'!C196+'[12]Murrey''s 11-15'!C196+'[12]Murrey''s 12-15'!C196</f>
        <v>3867524.93</v>
      </c>
      <c r="I197" s="386">
        <f t="shared" si="78"/>
        <v>4603193.99</v>
      </c>
      <c r="M197" s="391"/>
      <c r="V197" s="391"/>
    </row>
    <row r="198" spans="1:23">
      <c r="A198" s="354"/>
      <c r="B198" s="371"/>
      <c r="C198" s="379"/>
      <c r="F198" s="379"/>
      <c r="I198" s="391"/>
      <c r="M198" s="391"/>
      <c r="Q198" s="391"/>
      <c r="V198" s="391"/>
      <c r="W198" s="391"/>
    </row>
    <row r="199" spans="1:23">
      <c r="A199" s="372"/>
      <c r="B199" s="373"/>
      <c r="C199" s="379"/>
      <c r="F199" s="379"/>
      <c r="V199" s="391"/>
    </row>
    <row r="200" spans="1:23">
      <c r="A200" s="426" t="s">
        <v>627</v>
      </c>
      <c r="B200" s="426" t="s">
        <v>397</v>
      </c>
      <c r="C200" s="379"/>
      <c r="F200" s="379"/>
      <c r="V200" s="391"/>
    </row>
    <row r="201" spans="1:23">
      <c r="A201" s="372" t="s">
        <v>398</v>
      </c>
      <c r="B201" s="372" t="s">
        <v>398</v>
      </c>
      <c r="C201" s="379"/>
      <c r="F201" s="379"/>
      <c r="V201" s="391"/>
    </row>
    <row r="202" spans="1:23">
      <c r="A202" s="374" t="s">
        <v>399</v>
      </c>
      <c r="B202" s="374" t="s">
        <v>399</v>
      </c>
      <c r="C202" s="390">
        <v>83</v>
      </c>
      <c r="D202" s="391">
        <v>5568.5</v>
      </c>
      <c r="F202" s="390">
        <v>83</v>
      </c>
      <c r="G202" s="391">
        <f>'[12]Murrey''s 3-15'!C202+'[12]Murrrey''s 4-15'!C202+'[12]Murrey''s 5-15'!C202+'[12]Murrey''s 6-15'!C202+'[12]Murrey''s 7-15'!C202+'[12]Murrey''s 8-15'!C202+'[12]Murrey''s 9-15'!C202+'[12]Murrey''s 10-15'!C202+'[12]Murrey''s 11-15'!C202+'[12]Murrey''s 12-15'!C202</f>
        <v>25167.27</v>
      </c>
      <c r="I202" s="391">
        <f t="shared" ref="I202:I206" si="84">D202+G202</f>
        <v>30735.77</v>
      </c>
      <c r="J202" s="389">
        <f t="shared" ref="J202:J206" si="85">D202/C202+G202/F202</f>
        <v>370.31048192771084</v>
      </c>
      <c r="K202" s="389">
        <f t="shared" ref="K202:K206" si="86">ROUND(J202/12,0)</f>
        <v>31</v>
      </c>
      <c r="R202" s="391">
        <f>I202</f>
        <v>30735.77</v>
      </c>
      <c r="U202" s="389">
        <f t="shared" ref="U202:U265" si="87">SUM(M202:S202)</f>
        <v>30735.77</v>
      </c>
      <c r="V202" s="391"/>
    </row>
    <row r="203" spans="1:23">
      <c r="A203" s="374" t="s">
        <v>400</v>
      </c>
      <c r="B203" s="374" t="s">
        <v>400</v>
      </c>
      <c r="C203" s="390">
        <v>93</v>
      </c>
      <c r="D203" s="391">
        <v>7440</v>
      </c>
      <c r="F203" s="390">
        <v>93</v>
      </c>
      <c r="G203" s="391">
        <f>'[12]Murrey''s 3-15'!C203+'[12]Murrrey''s 4-15'!C203+'[12]Murrey''s 5-15'!C203+'[12]Murrey''s 6-15'!C203+'[12]Murrey''s 7-15'!C203+'[12]Murrey''s 8-15'!C203+'[12]Murrey''s 9-15'!C203+'[12]Murrey''s 10-15'!C203+'[12]Murrey''s 11-15'!C203+'[12]Murrey''s 12-15'!C203</f>
        <v>35943.599999999999</v>
      </c>
      <c r="I203" s="391">
        <f t="shared" si="84"/>
        <v>43383.6</v>
      </c>
      <c r="J203" s="389">
        <f t="shared" si="85"/>
        <v>466.49032258064517</v>
      </c>
      <c r="K203" s="389">
        <f t="shared" si="86"/>
        <v>39</v>
      </c>
      <c r="R203" s="391">
        <f t="shared" ref="R203:R206" si="88">I203</f>
        <v>43383.6</v>
      </c>
      <c r="U203" s="389">
        <f t="shared" si="87"/>
        <v>43383.6</v>
      </c>
      <c r="V203" s="391"/>
    </row>
    <row r="204" spans="1:23">
      <c r="A204" s="374" t="s">
        <v>401</v>
      </c>
      <c r="B204" s="374" t="s">
        <v>401</v>
      </c>
      <c r="C204" s="390">
        <v>102</v>
      </c>
      <c r="D204" s="391">
        <v>18600.79</v>
      </c>
      <c r="F204" s="390">
        <v>102</v>
      </c>
      <c r="G204" s="391">
        <f>'[12]Murrey''s 3-15'!C204+'[12]Murrrey''s 4-15'!C204+'[12]Murrey''s 5-15'!C204+'[12]Murrey''s 6-15'!C204+'[12]Murrey''s 7-15'!C204+'[12]Murrey''s 8-15'!C204+'[12]Murrey''s 9-15'!C204+'[12]Murrey''s 10-15'!C204+'[12]Murrey''s 11-15'!C204+'[12]Murrey''s 12-15'!C204</f>
        <v>92433.180000000008</v>
      </c>
      <c r="I204" s="391">
        <f t="shared" si="84"/>
        <v>111033.97</v>
      </c>
      <c r="J204" s="389">
        <f t="shared" si="85"/>
        <v>1088.5683333333334</v>
      </c>
      <c r="K204" s="389">
        <f t="shared" si="86"/>
        <v>91</v>
      </c>
      <c r="R204" s="391">
        <f t="shared" si="88"/>
        <v>111033.97</v>
      </c>
      <c r="U204" s="389">
        <f t="shared" si="87"/>
        <v>111033.97</v>
      </c>
      <c r="V204" s="391"/>
    </row>
    <row r="205" spans="1:23">
      <c r="A205" s="374" t="s">
        <v>402</v>
      </c>
      <c r="B205" s="374" t="s">
        <v>402</v>
      </c>
      <c r="C205" s="390">
        <v>104</v>
      </c>
      <c r="D205" s="391">
        <v>1040</v>
      </c>
      <c r="F205" s="390">
        <v>104</v>
      </c>
      <c r="G205" s="391">
        <f>'[12]Murrey''s 3-15'!C205+'[12]Murrrey''s 4-15'!C205+'[12]Murrey''s 5-15'!C205+'[12]Murrey''s 6-15'!C205+'[12]Murrey''s 7-15'!C205+'[12]Murrey''s 8-15'!C205+'[12]Murrey''s 9-15'!C205+'[12]Murrey''s 10-15'!C205+'[12]Murrey''s 11-15'!C205+'[12]Murrey''s 12-15'!C205</f>
        <v>5200</v>
      </c>
      <c r="I205" s="391">
        <f t="shared" si="84"/>
        <v>6240</v>
      </c>
      <c r="J205" s="389">
        <f t="shared" si="85"/>
        <v>60</v>
      </c>
      <c r="K205" s="389">
        <f t="shared" si="86"/>
        <v>5</v>
      </c>
      <c r="R205" s="391">
        <f t="shared" si="88"/>
        <v>6240</v>
      </c>
      <c r="U205" s="389">
        <f t="shared" si="87"/>
        <v>6240</v>
      </c>
      <c r="V205" s="391"/>
    </row>
    <row r="206" spans="1:23">
      <c r="A206" s="374" t="s">
        <v>403</v>
      </c>
      <c r="B206" s="374" t="s">
        <v>403</v>
      </c>
      <c r="C206" s="390">
        <v>140</v>
      </c>
      <c r="D206" s="391">
        <v>0</v>
      </c>
      <c r="F206" s="390">
        <v>140</v>
      </c>
      <c r="G206" s="391">
        <f>'[12]Murrey''s 3-15'!C206+'[12]Murrrey''s 4-15'!C206+'[12]Murrey''s 5-15'!C206+'[12]Murrey''s 6-15'!C206+'[12]Murrey''s 7-15'!C206+'[12]Murrey''s 8-15'!C206+'[12]Murrey''s 9-15'!C206+'[12]Murrey''s 10-15'!C206+'[12]Murrey''s 11-15'!C206+'[12]Murrey''s 12-15'!C206</f>
        <v>0</v>
      </c>
      <c r="I206" s="391">
        <f t="shared" si="84"/>
        <v>0</v>
      </c>
      <c r="J206" s="389">
        <f t="shared" si="85"/>
        <v>0</v>
      </c>
      <c r="K206" s="389">
        <f t="shared" si="86"/>
        <v>0</v>
      </c>
      <c r="R206" s="391">
        <f t="shared" si="88"/>
        <v>0</v>
      </c>
      <c r="U206" s="389">
        <f t="shared" si="87"/>
        <v>0</v>
      </c>
      <c r="V206" s="391"/>
    </row>
    <row r="207" spans="1:23">
      <c r="A207" s="374"/>
      <c r="B207" s="374"/>
      <c r="C207" s="379"/>
      <c r="F207" s="379"/>
      <c r="I207" s="391"/>
      <c r="J207" s="391"/>
      <c r="K207" s="378">
        <f t="shared" ref="K207" si="89">J207/12</f>
        <v>0</v>
      </c>
      <c r="U207" s="389">
        <f t="shared" si="87"/>
        <v>0</v>
      </c>
      <c r="V207" s="391"/>
    </row>
    <row r="208" spans="1:23">
      <c r="A208" s="372" t="s">
        <v>404</v>
      </c>
      <c r="B208" s="372" t="s">
        <v>404</v>
      </c>
      <c r="C208" s="379"/>
      <c r="F208" s="395"/>
      <c r="G208" s="391"/>
      <c r="U208" s="389">
        <f t="shared" si="87"/>
        <v>0</v>
      </c>
      <c r="V208" s="391"/>
    </row>
    <row r="209" spans="1:22">
      <c r="A209" s="374" t="s">
        <v>399</v>
      </c>
      <c r="B209" s="374" t="s">
        <v>399</v>
      </c>
      <c r="C209" s="390">
        <v>86.85</v>
      </c>
      <c r="D209" s="391">
        <v>9466.65</v>
      </c>
      <c r="F209" s="390">
        <v>86.85</v>
      </c>
      <c r="G209" s="391">
        <f>'[12]Murrey''s 3-15'!C209+'[12]Murrrey''s 4-15'!C209+'[12]Murrey''s 5-15'!C209+'[12]Murrey''s 6-15'!C209+'[12]Murrey''s 7-15'!C209+'[12]Murrey''s 8-15'!C209+'[12]Murrey''s 9-15'!C209+'[12]Murrey''s 10-15'!C209+'[12]Murrey''s 11-15'!C209+'[12]Murrey''s 12-15'!C209</f>
        <v>51502.05</v>
      </c>
      <c r="I209" s="391">
        <f t="shared" ref="I209:I213" si="90">D209+G209</f>
        <v>60968.700000000004</v>
      </c>
      <c r="J209" s="389">
        <f t="shared" ref="J209:J213" si="91">D209/C209+G209/F209</f>
        <v>702.00000000000011</v>
      </c>
      <c r="K209" s="389">
        <f t="shared" ref="K209:K213" si="92">ROUND(J209/12,0)</f>
        <v>59</v>
      </c>
      <c r="R209" s="391">
        <f t="shared" ref="R209:R213" si="93">I209</f>
        <v>60968.700000000004</v>
      </c>
      <c r="U209" s="389">
        <f t="shared" si="87"/>
        <v>60968.700000000004</v>
      </c>
      <c r="V209" s="391"/>
    </row>
    <row r="210" spans="1:22">
      <c r="A210" s="374" t="s">
        <v>400</v>
      </c>
      <c r="B210" s="374" t="s">
        <v>400</v>
      </c>
      <c r="C210" s="390">
        <v>95.2</v>
      </c>
      <c r="D210" s="391">
        <v>12947.2</v>
      </c>
      <c r="F210" s="390">
        <v>95.2</v>
      </c>
      <c r="G210" s="391">
        <f>'[12]Murrey''s 3-15'!C210+'[12]Murrrey''s 4-15'!C210+'[12]Murrey''s 5-15'!C210+'[12]Murrey''s 6-15'!C210+'[12]Murrey''s 7-15'!C210+'[12]Murrey''s 8-15'!C210+'[12]Murrey''s 9-15'!C210+'[12]Murrey''s 10-15'!C210+'[12]Murrey''s 11-15'!C210+'[12]Murrey''s 12-15'!C210</f>
        <v>84350.7</v>
      </c>
      <c r="I210" s="391">
        <f t="shared" si="90"/>
        <v>97297.9</v>
      </c>
      <c r="J210" s="389">
        <f t="shared" si="91"/>
        <v>1022.0367647058823</v>
      </c>
      <c r="K210" s="389">
        <f t="shared" si="92"/>
        <v>85</v>
      </c>
      <c r="R210" s="391">
        <f t="shared" si="93"/>
        <v>97297.9</v>
      </c>
      <c r="U210" s="389">
        <f t="shared" si="87"/>
        <v>97297.9</v>
      </c>
      <c r="V210" s="391"/>
    </row>
    <row r="211" spans="1:22">
      <c r="A211" s="374" t="s">
        <v>401</v>
      </c>
      <c r="B211" s="374" t="s">
        <v>401</v>
      </c>
      <c r="C211" s="390">
        <v>102.35</v>
      </c>
      <c r="D211" s="391">
        <v>43908.15</v>
      </c>
      <c r="F211" s="390">
        <v>102.35</v>
      </c>
      <c r="G211" s="391">
        <f>'[12]Murrey''s 3-15'!C211+'[12]Murrrey''s 4-15'!C211+'[12]Murrey''s 5-15'!C211+'[12]Murrey''s 6-15'!C211+'[12]Murrey''s 7-15'!C211+'[12]Murrey''s 8-15'!C211+'[12]Murrey''s 9-15'!C211+'[12]Murrey''s 10-15'!C211+'[12]Murrey''s 11-15'!C211+'[12]Murrey''s 12-15'!C211</f>
        <v>244821.2</v>
      </c>
      <c r="I211" s="391">
        <f t="shared" si="90"/>
        <v>288729.35000000003</v>
      </c>
      <c r="J211" s="389">
        <f t="shared" si="91"/>
        <v>2821.0000000000005</v>
      </c>
      <c r="K211" s="389">
        <f t="shared" si="92"/>
        <v>235</v>
      </c>
      <c r="R211" s="391">
        <f t="shared" si="93"/>
        <v>288729.35000000003</v>
      </c>
      <c r="U211" s="389">
        <f t="shared" si="87"/>
        <v>288729.35000000003</v>
      </c>
      <c r="V211" s="391"/>
    </row>
    <row r="212" spans="1:22">
      <c r="A212" s="374" t="s">
        <v>402</v>
      </c>
      <c r="B212" s="374" t="s">
        <v>402</v>
      </c>
      <c r="C212" s="390">
        <v>123.75</v>
      </c>
      <c r="D212" s="391">
        <v>4083.75</v>
      </c>
      <c r="F212" s="390">
        <v>123.75</v>
      </c>
      <c r="G212" s="391">
        <f>'[12]Murrey''s 3-15'!C212+'[12]Murrrey''s 4-15'!C212+'[12]Murrey''s 5-15'!C212+'[12]Murrey''s 6-15'!C212+'[12]Murrey''s 7-15'!C212+'[12]Murrey''s 8-15'!C212+'[12]Murrey''s 9-15'!C212+'[12]Murrey''s 10-15'!C212+'[12]Murrey''s 11-15'!C212+'[12]Murrey''s 12-15'!C212</f>
        <v>25121.25</v>
      </c>
      <c r="I212" s="391">
        <f t="shared" si="90"/>
        <v>29205</v>
      </c>
      <c r="J212" s="389">
        <f t="shared" si="91"/>
        <v>236</v>
      </c>
      <c r="K212" s="389">
        <f t="shared" si="92"/>
        <v>20</v>
      </c>
      <c r="R212" s="391">
        <f t="shared" si="93"/>
        <v>29205</v>
      </c>
      <c r="U212" s="389">
        <f t="shared" si="87"/>
        <v>29205</v>
      </c>
      <c r="V212" s="391"/>
    </row>
    <row r="213" spans="1:22">
      <c r="A213" s="374" t="s">
        <v>403</v>
      </c>
      <c r="B213" s="374" t="s">
        <v>403</v>
      </c>
      <c r="C213" s="390">
        <v>146.4</v>
      </c>
      <c r="D213" s="391">
        <v>0</v>
      </c>
      <c r="F213" s="390">
        <v>146.4</v>
      </c>
      <c r="G213" s="391">
        <f>'[12]Murrey''s 3-15'!C213+'[12]Murrrey''s 4-15'!C213+'[12]Murrey''s 5-15'!C213+'[12]Murrey''s 6-15'!C213+'[12]Murrey''s 7-15'!C213+'[12]Murrey''s 8-15'!C213+'[12]Murrey''s 9-15'!C213+'[12]Murrey''s 10-15'!C213+'[12]Murrey''s 11-15'!C213+'[12]Murrey''s 12-15'!C213</f>
        <v>0</v>
      </c>
      <c r="I213" s="391">
        <f t="shared" si="90"/>
        <v>0</v>
      </c>
      <c r="J213" s="389">
        <f t="shared" si="91"/>
        <v>0</v>
      </c>
      <c r="K213" s="389">
        <f t="shared" si="92"/>
        <v>0</v>
      </c>
      <c r="R213" s="391">
        <f t="shared" si="93"/>
        <v>0</v>
      </c>
      <c r="U213" s="389">
        <f t="shared" si="87"/>
        <v>0</v>
      </c>
      <c r="V213" s="391"/>
    </row>
    <row r="214" spans="1:22">
      <c r="A214" s="374"/>
      <c r="B214" s="374"/>
      <c r="C214" s="379"/>
      <c r="F214" s="379"/>
      <c r="U214" s="389">
        <f t="shared" si="87"/>
        <v>0</v>
      </c>
      <c r="V214" s="391"/>
    </row>
    <row r="215" spans="1:22">
      <c r="A215" s="371" t="s">
        <v>405</v>
      </c>
      <c r="B215" s="371" t="s">
        <v>405</v>
      </c>
      <c r="C215" s="379"/>
      <c r="F215" s="379"/>
      <c r="U215" s="389">
        <f t="shared" si="87"/>
        <v>0</v>
      </c>
      <c r="V215" s="391"/>
    </row>
    <row r="216" spans="1:22">
      <c r="A216" s="373" t="s">
        <v>399</v>
      </c>
      <c r="B216" s="373" t="s">
        <v>399</v>
      </c>
      <c r="C216" s="390">
        <v>4.7</v>
      </c>
      <c r="D216" s="391">
        <v>2254.86</v>
      </c>
      <c r="F216" s="390">
        <v>4.7</v>
      </c>
      <c r="G216" s="391">
        <f>'[12]Murrey''s 3-15'!C216+'[12]Murrrey''s 4-15'!C216+'[12]Murrey''s 5-15'!C216+'[12]Murrey''s 6-15'!C216+'[12]Murrey''s 7-15'!C216+'[12]Murrey''s 8-15'!C216+'[12]Murrey''s 9-15'!C216+'[12]Murrey''s 10-15'!C216+'[12]Murrey''s 11-15'!C216+'[12]Murrey''s 12-15'!C216</f>
        <v>18577.18</v>
      </c>
      <c r="I216" s="391">
        <f t="shared" ref="I216:I219" si="94">D216+G216</f>
        <v>20832.04</v>
      </c>
      <c r="J216" s="389">
        <f t="shared" ref="J216:J219" si="95">D216/C216+G216/F216</f>
        <v>4432.3489361702123</v>
      </c>
      <c r="K216" s="389">
        <f t="shared" ref="K216:K219" si="96">ROUND(J216/12,0)</f>
        <v>369</v>
      </c>
      <c r="R216" s="391">
        <f t="shared" ref="R216:R219" si="97">I216</f>
        <v>20832.04</v>
      </c>
      <c r="U216" s="389">
        <f t="shared" si="87"/>
        <v>20832.04</v>
      </c>
      <c r="V216" s="391"/>
    </row>
    <row r="217" spans="1:22">
      <c r="A217" s="373" t="s">
        <v>400</v>
      </c>
      <c r="B217" s="373" t="s">
        <v>400</v>
      </c>
      <c r="C217" s="390">
        <v>4.9000000000000004</v>
      </c>
      <c r="D217" s="391">
        <v>852.54</v>
      </c>
      <c r="F217" s="390">
        <v>4.9000000000000004</v>
      </c>
      <c r="G217" s="391">
        <f>'[12]Murrey''s 3-15'!C217+'[12]Murrrey''s 4-15'!C217+'[12]Murrey''s 5-15'!C217+'[12]Murrey''s 6-15'!C217+'[12]Murrey''s 7-15'!C217+'[12]Murrey''s 8-15'!C217+'[12]Murrey''s 9-15'!C217+'[12]Murrey''s 10-15'!C217+'[12]Murrey''s 11-15'!C217+'[12]Murrey''s 12-15'!C217</f>
        <v>8064.2000000000007</v>
      </c>
      <c r="I217" s="391">
        <f t="shared" si="94"/>
        <v>8916.7400000000016</v>
      </c>
      <c r="J217" s="389">
        <f t="shared" si="95"/>
        <v>1819.7428571428572</v>
      </c>
      <c r="K217" s="389">
        <f t="shared" si="96"/>
        <v>152</v>
      </c>
      <c r="R217" s="391">
        <f t="shared" si="97"/>
        <v>8916.7400000000016</v>
      </c>
      <c r="U217" s="389">
        <f t="shared" si="87"/>
        <v>8916.7400000000016</v>
      </c>
      <c r="V217" s="391"/>
    </row>
    <row r="218" spans="1:22">
      <c r="A218" s="373" t="s">
        <v>401</v>
      </c>
      <c r="B218" s="373" t="s">
        <v>401</v>
      </c>
      <c r="C218" s="390">
        <v>5.12</v>
      </c>
      <c r="D218" s="391">
        <v>7209.43</v>
      </c>
      <c r="F218" s="390">
        <v>5.12</v>
      </c>
      <c r="G218" s="391">
        <f>'[12]Murrey''s 3-15'!C218+'[12]Murrrey''s 4-15'!C218+'[12]Murrey''s 5-15'!C218+'[12]Murrey''s 6-15'!C218+'[12]Murrey''s 7-15'!C218+'[12]Murrey''s 8-15'!C218+'[12]Murrey''s 9-15'!C218+'[12]Murrey''s 10-15'!C218+'[12]Murrey''s 11-15'!C218+'[12]Murrey''s 12-15'!C218</f>
        <v>33183.33</v>
      </c>
      <c r="I218" s="391">
        <f t="shared" si="94"/>
        <v>40392.76</v>
      </c>
      <c r="J218" s="389">
        <f t="shared" si="95"/>
        <v>7889.2109375</v>
      </c>
      <c r="K218" s="389">
        <f t="shared" si="96"/>
        <v>657</v>
      </c>
      <c r="R218" s="391">
        <f t="shared" si="97"/>
        <v>40392.76</v>
      </c>
      <c r="U218" s="389">
        <f t="shared" si="87"/>
        <v>40392.76</v>
      </c>
      <c r="V218" s="391"/>
    </row>
    <row r="219" spans="1:22">
      <c r="A219" s="373" t="s">
        <v>402</v>
      </c>
      <c r="B219" s="373" t="s">
        <v>402</v>
      </c>
      <c r="C219" s="390">
        <v>6.2</v>
      </c>
      <c r="D219" s="391">
        <v>0</v>
      </c>
      <c r="F219" s="390">
        <v>6.2</v>
      </c>
      <c r="G219" s="391">
        <f>'[12]Murrey''s 3-15'!C219+'[12]Murrrey''s 4-15'!C219+'[12]Murrey''s 5-15'!C219+'[12]Murrey''s 6-15'!C219+'[12]Murrey''s 7-15'!C219+'[12]Murrey''s 8-15'!C219+'[12]Murrey''s 9-15'!C219+'[12]Murrey''s 10-15'!C219+'[12]Murrey''s 11-15'!C219+'[12]Murrey''s 12-15'!C219</f>
        <v>393</v>
      </c>
      <c r="I219" s="391">
        <f t="shared" si="94"/>
        <v>393</v>
      </c>
      <c r="J219" s="389">
        <f t="shared" si="95"/>
        <v>63.387096774193544</v>
      </c>
      <c r="K219" s="389">
        <f t="shared" si="96"/>
        <v>5</v>
      </c>
      <c r="R219" s="391">
        <f t="shared" si="97"/>
        <v>393</v>
      </c>
      <c r="U219" s="389">
        <f t="shared" si="87"/>
        <v>393</v>
      </c>
      <c r="V219" s="391"/>
    </row>
    <row r="220" spans="1:22">
      <c r="A220" s="374"/>
      <c r="B220" s="374"/>
      <c r="C220" s="379"/>
      <c r="F220" s="379"/>
      <c r="U220" s="389">
        <f t="shared" si="87"/>
        <v>0</v>
      </c>
      <c r="V220" s="391"/>
    </row>
    <row r="221" spans="1:22">
      <c r="A221" s="372" t="s">
        <v>406</v>
      </c>
      <c r="B221" s="372" t="s">
        <v>406</v>
      </c>
      <c r="C221" s="379"/>
      <c r="F221" s="379"/>
      <c r="U221" s="389">
        <f t="shared" si="87"/>
        <v>0</v>
      </c>
      <c r="V221" s="391"/>
    </row>
    <row r="222" spans="1:22">
      <c r="A222" s="374" t="s">
        <v>399</v>
      </c>
      <c r="B222" s="374" t="s">
        <v>399</v>
      </c>
      <c r="C222" s="390">
        <v>103.65</v>
      </c>
      <c r="D222" s="391">
        <v>2902.2</v>
      </c>
      <c r="F222" s="390">
        <v>103.65</v>
      </c>
      <c r="G222" s="391">
        <f>'[12]Murrey''s 3-15'!C222+'[12]Murrrey''s 4-15'!C222+'[12]Murrey''s 5-15'!C222+'[12]Murrey''s 6-15'!C222+'[12]Murrey''s 7-15'!C222+'[12]Murrey''s 8-15'!C222+'[12]Murrey''s 9-15'!C222+'[12]Murrey''s 10-15'!C222+'[12]Murrey''s 11-15'!C222+'[12]Murrey''s 12-15'!C222</f>
        <v>24474.35</v>
      </c>
      <c r="I222" s="391">
        <f t="shared" ref="I222:I225" si="98">D222+G222</f>
        <v>27376.55</v>
      </c>
      <c r="J222" s="389">
        <f t="shared" ref="J222:J225" si="99">D222/C222+G222/F222</f>
        <v>264.12493970091651</v>
      </c>
      <c r="K222" s="389">
        <f t="shared" ref="K222:K225" si="100">ROUND(J222/12,0)</f>
        <v>22</v>
      </c>
      <c r="R222" s="391">
        <f t="shared" ref="R222:R225" si="101">I222</f>
        <v>27376.55</v>
      </c>
      <c r="U222" s="389">
        <f t="shared" si="87"/>
        <v>27376.55</v>
      </c>
      <c r="V222" s="391"/>
    </row>
    <row r="223" spans="1:22">
      <c r="A223" s="374" t="s">
        <v>400</v>
      </c>
      <c r="B223" s="374" t="s">
        <v>400</v>
      </c>
      <c r="C223" s="390">
        <v>110.65</v>
      </c>
      <c r="D223" s="391">
        <v>2655.6000000000004</v>
      </c>
      <c r="F223" s="390">
        <v>110.65</v>
      </c>
      <c r="G223" s="391">
        <f>'[12]Murrey''s 3-15'!C223+'[12]Murrrey''s 4-15'!C223+'[12]Murrey''s 5-15'!C223+'[12]Murrey''s 6-15'!C223+'[12]Murrey''s 7-15'!C223+'[12]Murrey''s 8-15'!C223+'[12]Murrey''s 9-15'!C223+'[12]Murrey''s 10-15'!C223+'[12]Murrey''s 11-15'!C223+'[12]Murrey''s 12-15'!C223</f>
        <v>12614.099999999999</v>
      </c>
      <c r="I223" s="391">
        <f t="shared" si="98"/>
        <v>15269.699999999999</v>
      </c>
      <c r="J223" s="389">
        <f t="shared" si="99"/>
        <v>138</v>
      </c>
      <c r="K223" s="389">
        <f t="shared" si="100"/>
        <v>12</v>
      </c>
      <c r="R223" s="391">
        <f t="shared" si="101"/>
        <v>15269.699999999999</v>
      </c>
      <c r="U223" s="389">
        <f t="shared" si="87"/>
        <v>15269.699999999999</v>
      </c>
      <c r="V223" s="391"/>
    </row>
    <row r="224" spans="1:22">
      <c r="A224" s="374" t="s">
        <v>401</v>
      </c>
      <c r="B224" s="374" t="s">
        <v>401</v>
      </c>
      <c r="C224" s="390">
        <v>116.6</v>
      </c>
      <c r="D224" s="391">
        <v>20724.879999999997</v>
      </c>
      <c r="F224" s="390">
        <v>116.6</v>
      </c>
      <c r="G224" s="391">
        <f>'[12]Murrey''s 3-15'!C224+'[12]Murrrey''s 4-15'!C224+'[12]Murrey''s 5-15'!C224+'[12]Murrey''s 6-15'!C224+'[12]Murrey''s 7-15'!C224+'[12]Murrey''s 8-15'!C224+'[12]Murrey''s 9-15'!C224+'[12]Murrey''s 10-15'!C224+'[12]Murrey''s 11-15'!C224+'[12]Murrey''s 12-15'!C224</f>
        <v>65995.599999999991</v>
      </c>
      <c r="I224" s="391">
        <f t="shared" si="98"/>
        <v>86720.479999999981</v>
      </c>
      <c r="J224" s="389">
        <f t="shared" si="99"/>
        <v>743.74339622641514</v>
      </c>
      <c r="K224" s="389">
        <f t="shared" si="100"/>
        <v>62</v>
      </c>
      <c r="R224" s="391">
        <f t="shared" si="101"/>
        <v>86720.479999999981</v>
      </c>
      <c r="U224" s="389">
        <f t="shared" si="87"/>
        <v>86720.479999999981</v>
      </c>
      <c r="V224" s="391"/>
    </row>
    <row r="225" spans="1:22">
      <c r="A225" s="374" t="s">
        <v>402</v>
      </c>
      <c r="B225" s="374" t="s">
        <v>402</v>
      </c>
      <c r="C225" s="390">
        <v>134.44999999999999</v>
      </c>
      <c r="D225" s="391">
        <v>0</v>
      </c>
      <c r="F225" s="390">
        <v>134.44999999999999</v>
      </c>
      <c r="G225" s="391">
        <f>'[12]Murrey''s 3-15'!C225+'[12]Murrrey''s 4-15'!C225+'[12]Murrey''s 5-15'!C225+'[12]Murrey''s 6-15'!C225+'[12]Murrey''s 7-15'!C225+'[12]Murrey''s 8-15'!C225+'[12]Murrey''s 9-15'!C225+'[12]Murrey''s 10-15'!C225+'[12]Murrey''s 11-15'!C225+'[12]Murrey''s 12-15'!C225</f>
        <v>0</v>
      </c>
      <c r="I225" s="391">
        <f t="shared" si="98"/>
        <v>0</v>
      </c>
      <c r="J225" s="389">
        <f t="shared" si="99"/>
        <v>0</v>
      </c>
      <c r="K225" s="389">
        <f t="shared" si="100"/>
        <v>0</v>
      </c>
      <c r="R225" s="391">
        <f t="shared" si="101"/>
        <v>0</v>
      </c>
      <c r="U225" s="389">
        <f t="shared" si="87"/>
        <v>0</v>
      </c>
      <c r="V225" s="391"/>
    </row>
    <row r="226" spans="1:22">
      <c r="A226" s="374"/>
      <c r="B226" s="374"/>
      <c r="C226" s="379"/>
      <c r="F226" s="379"/>
      <c r="U226" s="389">
        <f t="shared" si="87"/>
        <v>0</v>
      </c>
      <c r="V226" s="391"/>
    </row>
    <row r="227" spans="1:22">
      <c r="A227" s="372" t="s">
        <v>407</v>
      </c>
      <c r="B227" s="372" t="s">
        <v>407</v>
      </c>
      <c r="C227" s="379"/>
      <c r="F227" s="379"/>
      <c r="U227" s="389">
        <f t="shared" si="87"/>
        <v>0</v>
      </c>
      <c r="V227" s="391"/>
    </row>
    <row r="228" spans="1:22">
      <c r="A228" s="374" t="s">
        <v>408</v>
      </c>
      <c r="B228" s="374" t="s">
        <v>408</v>
      </c>
      <c r="C228" s="390">
        <v>80</v>
      </c>
      <c r="D228" s="391">
        <v>0</v>
      </c>
      <c r="F228" s="390">
        <v>80</v>
      </c>
      <c r="G228" s="391">
        <f>'[12]Murrey''s 3-15'!C228+'[12]Murrrey''s 4-15'!C228+'[12]Murrey''s 5-15'!C228+'[12]Murrey''s 6-15'!C228+'[12]Murrey''s 7-15'!C228+'[12]Murrey''s 8-15'!C228+'[12]Murrey''s 9-15'!C228+'[12]Murrey''s 10-15'!C228+'[12]Murrey''s 11-15'!C228+'[12]Murrey''s 12-15'!C228</f>
        <v>0</v>
      </c>
      <c r="I228" s="391">
        <f t="shared" ref="I228:I232" si="102">D228+G228</f>
        <v>0</v>
      </c>
      <c r="J228" s="389">
        <f t="shared" ref="J228:J232" si="103">D228/C228+G228/F228</f>
        <v>0</v>
      </c>
      <c r="K228" s="389">
        <f t="shared" ref="K228:K232" si="104">ROUND(J228/12,0)</f>
        <v>0</v>
      </c>
      <c r="R228" s="391">
        <f t="shared" ref="R228:R232" si="105">I228</f>
        <v>0</v>
      </c>
      <c r="U228" s="389">
        <f t="shared" si="87"/>
        <v>0</v>
      </c>
      <c r="V228" s="391"/>
    </row>
    <row r="229" spans="1:22">
      <c r="A229" s="374" t="s">
        <v>399</v>
      </c>
      <c r="B229" s="374" t="s">
        <v>399</v>
      </c>
      <c r="C229" s="390">
        <v>86.85</v>
      </c>
      <c r="D229" s="391">
        <v>347.4</v>
      </c>
      <c r="F229" s="390">
        <v>86.85</v>
      </c>
      <c r="G229" s="391">
        <f>'[12]Murrey''s 3-15'!C229+'[12]Murrrey''s 4-15'!C229+'[12]Murrey''s 5-15'!C229+'[12]Murrey''s 6-15'!C229+'[12]Murrey''s 7-15'!C229+'[12]Murrey''s 8-15'!C229+'[12]Murrey''s 9-15'!C229+'[12]Murrey''s 10-15'!C229+'[12]Murrey''s 11-15'!C229+'[12]Murrey''s 12-15'!C229</f>
        <v>1389.6</v>
      </c>
      <c r="I229" s="391">
        <f t="shared" si="102"/>
        <v>1737</v>
      </c>
      <c r="J229" s="389">
        <f t="shared" si="103"/>
        <v>20</v>
      </c>
      <c r="K229" s="389">
        <f t="shared" si="104"/>
        <v>2</v>
      </c>
      <c r="R229" s="391">
        <f t="shared" si="105"/>
        <v>1737</v>
      </c>
      <c r="U229" s="389">
        <f t="shared" si="87"/>
        <v>1737</v>
      </c>
      <c r="V229" s="391"/>
    </row>
    <row r="230" spans="1:22">
      <c r="A230" s="374" t="s">
        <v>400</v>
      </c>
      <c r="B230" s="374" t="s">
        <v>400</v>
      </c>
      <c r="C230" s="390">
        <v>95.2</v>
      </c>
      <c r="D230" s="391">
        <v>0</v>
      </c>
      <c r="F230" s="390">
        <v>95.2</v>
      </c>
      <c r="G230" s="391">
        <f>'[12]Murrey''s 3-15'!C230+'[12]Murrrey''s 4-15'!C230+'[12]Murrey''s 5-15'!C230+'[12]Murrey''s 6-15'!C230+'[12]Murrey''s 7-15'!C230+'[12]Murrey''s 8-15'!C230+'[12]Murrey''s 9-15'!C230+'[12]Murrey''s 10-15'!C230+'[12]Murrey''s 11-15'!C230+'[12]Murrey''s 12-15'!C230</f>
        <v>0</v>
      </c>
      <c r="I230" s="391">
        <f t="shared" si="102"/>
        <v>0</v>
      </c>
      <c r="J230" s="389">
        <f t="shared" si="103"/>
        <v>0</v>
      </c>
      <c r="K230" s="389">
        <f t="shared" si="104"/>
        <v>0</v>
      </c>
      <c r="R230" s="391">
        <f t="shared" si="105"/>
        <v>0</v>
      </c>
      <c r="U230" s="389">
        <f t="shared" si="87"/>
        <v>0</v>
      </c>
      <c r="V230" s="391"/>
    </row>
    <row r="231" spans="1:22">
      <c r="A231" s="374" t="s">
        <v>401</v>
      </c>
      <c r="B231" s="374" t="s">
        <v>401</v>
      </c>
      <c r="C231" s="390">
        <v>102.35</v>
      </c>
      <c r="D231" s="391">
        <v>0</v>
      </c>
      <c r="F231" s="390">
        <v>102.35</v>
      </c>
      <c r="G231" s="391">
        <f>'[12]Murrey''s 3-15'!C231+'[12]Murrrey''s 4-15'!C231+'[12]Murrey''s 5-15'!C231+'[12]Murrey''s 6-15'!C231+'[12]Murrey''s 7-15'!C231+'[12]Murrey''s 8-15'!C231+'[12]Murrey''s 9-15'!C231+'[12]Murrey''s 10-15'!C231+'[12]Murrey''s 11-15'!C231+'[12]Murrey''s 12-15'!C231</f>
        <v>0</v>
      </c>
      <c r="I231" s="391">
        <f t="shared" si="102"/>
        <v>0</v>
      </c>
      <c r="J231" s="389">
        <f t="shared" si="103"/>
        <v>0</v>
      </c>
      <c r="K231" s="389">
        <f t="shared" si="104"/>
        <v>0</v>
      </c>
      <c r="R231" s="391">
        <f t="shared" si="105"/>
        <v>0</v>
      </c>
      <c r="U231" s="389">
        <f t="shared" si="87"/>
        <v>0</v>
      </c>
      <c r="V231" s="391"/>
    </row>
    <row r="232" spans="1:22">
      <c r="A232" s="374" t="s">
        <v>402</v>
      </c>
      <c r="B232" s="374" t="s">
        <v>402</v>
      </c>
      <c r="C232" s="390">
        <v>121.4</v>
      </c>
      <c r="D232" s="391">
        <v>0</v>
      </c>
      <c r="F232" s="390">
        <v>121.4</v>
      </c>
      <c r="G232" s="391">
        <f>'[12]Murrey''s 3-15'!C232+'[12]Murrrey''s 4-15'!C232+'[12]Murrey''s 5-15'!C232+'[12]Murrey''s 6-15'!C232+'[12]Murrey''s 7-15'!C232+'[12]Murrey''s 8-15'!C232+'[12]Murrey''s 9-15'!C232+'[12]Murrey''s 10-15'!C232+'[12]Murrey''s 11-15'!C232+'[12]Murrey''s 12-15'!C232</f>
        <v>0</v>
      </c>
      <c r="I232" s="391">
        <f t="shared" si="102"/>
        <v>0</v>
      </c>
      <c r="J232" s="389">
        <f t="shared" si="103"/>
        <v>0</v>
      </c>
      <c r="K232" s="389">
        <f t="shared" si="104"/>
        <v>0</v>
      </c>
      <c r="R232" s="391">
        <f t="shared" si="105"/>
        <v>0</v>
      </c>
      <c r="U232" s="389">
        <f t="shared" si="87"/>
        <v>0</v>
      </c>
      <c r="V232" s="391"/>
    </row>
    <row r="233" spans="1:22">
      <c r="A233" s="374"/>
      <c r="B233" s="374"/>
      <c r="C233" s="379"/>
      <c r="F233" s="379"/>
      <c r="U233" s="389">
        <f t="shared" si="87"/>
        <v>0</v>
      </c>
      <c r="V233" s="391"/>
    </row>
    <row r="234" spans="1:22">
      <c r="A234" s="372" t="s">
        <v>409</v>
      </c>
      <c r="B234" s="372" t="s">
        <v>409</v>
      </c>
      <c r="C234" s="379"/>
      <c r="F234" s="379"/>
      <c r="U234" s="389">
        <f t="shared" si="87"/>
        <v>0</v>
      </c>
      <c r="V234" s="391"/>
    </row>
    <row r="235" spans="1:22">
      <c r="A235" s="374" t="s">
        <v>408</v>
      </c>
      <c r="B235" s="374" t="s">
        <v>408</v>
      </c>
      <c r="C235" s="390">
        <v>124.95</v>
      </c>
      <c r="D235" s="391">
        <v>0</v>
      </c>
      <c r="F235" s="390">
        <v>124.95</v>
      </c>
      <c r="G235" s="391">
        <f>'[12]Murrey''s 3-15'!C235+'[12]Murrrey''s 4-15'!C235+'[12]Murrey''s 5-15'!C235+'[12]Murrey''s 6-15'!C235+'[12]Murrey''s 7-15'!C235+'[12]Murrey''s 8-15'!C235+'[12]Murrey''s 9-15'!C235+'[12]Murrey''s 10-15'!C235+'[12]Murrey''s 11-15'!C235+'[12]Murrey''s 12-15'!C235</f>
        <v>0</v>
      </c>
      <c r="I235" s="391">
        <f t="shared" ref="I235:I241" si="106">D235+G235</f>
        <v>0</v>
      </c>
      <c r="J235" s="389">
        <f t="shared" ref="J235:J241" si="107">D235/C235+G235/F235</f>
        <v>0</v>
      </c>
      <c r="K235" s="389">
        <f t="shared" ref="K235:K241" si="108">ROUND(J235/12,0)</f>
        <v>0</v>
      </c>
      <c r="R235" s="391">
        <f t="shared" ref="R235:R241" si="109">I235</f>
        <v>0</v>
      </c>
      <c r="U235" s="389">
        <f t="shared" si="87"/>
        <v>0</v>
      </c>
      <c r="V235" s="391"/>
    </row>
    <row r="236" spans="1:22">
      <c r="A236" s="374" t="s">
        <v>410</v>
      </c>
      <c r="B236" s="374" t="s">
        <v>410</v>
      </c>
      <c r="C236" s="390">
        <v>129.1</v>
      </c>
      <c r="D236" s="391">
        <v>387.29999999999995</v>
      </c>
      <c r="F236" s="390">
        <v>129.1</v>
      </c>
      <c r="G236" s="391">
        <f>'[12]Murrey''s 3-15'!C236+'[12]Murrrey''s 4-15'!C236+'[12]Murrey''s 5-15'!C236+'[12]Murrey''s 6-15'!C236+'[12]Murrey''s 7-15'!C236+'[12]Murrey''s 8-15'!C236+'[12]Murrey''s 9-15'!C236+'[12]Murrey''s 10-15'!C236+'[12]Murrey''s 11-15'!C236+'[12]Murrey''s 12-15'!C236</f>
        <v>2581.9999999999995</v>
      </c>
      <c r="I236" s="391">
        <f t="shared" si="106"/>
        <v>2969.2999999999993</v>
      </c>
      <c r="J236" s="389">
        <f t="shared" si="107"/>
        <v>22.999999999999996</v>
      </c>
      <c r="K236" s="389">
        <f t="shared" si="108"/>
        <v>2</v>
      </c>
      <c r="R236" s="391">
        <f t="shared" si="109"/>
        <v>2969.2999999999993</v>
      </c>
      <c r="U236" s="389">
        <f t="shared" si="87"/>
        <v>2969.2999999999993</v>
      </c>
      <c r="V236" s="391"/>
    </row>
    <row r="237" spans="1:22">
      <c r="A237" s="374" t="s">
        <v>399</v>
      </c>
      <c r="B237" s="374" t="s">
        <v>399</v>
      </c>
      <c r="C237" s="390">
        <v>129.1</v>
      </c>
      <c r="D237" s="391">
        <v>4389.3999999999996</v>
      </c>
      <c r="F237" s="390">
        <v>129.1</v>
      </c>
      <c r="G237" s="391">
        <f>'[12]Murrey''s 3-15'!C237+'[12]Murrrey''s 4-15'!C237+'[12]Murrey''s 5-15'!C237+'[12]Murrey''s 6-15'!C237+'[12]Murrey''s 7-15'!C237+'[12]Murrey''s 8-15'!C237+'[12]Murrey''s 9-15'!C237+'[12]Murrey''s 10-15'!C237+'[12]Murrey''s 11-15'!C237+'[12]Murrey''s 12-15'!C237</f>
        <v>27240.1</v>
      </c>
      <c r="I237" s="391">
        <f t="shared" si="106"/>
        <v>31629.5</v>
      </c>
      <c r="J237" s="389">
        <f t="shared" si="107"/>
        <v>245</v>
      </c>
      <c r="K237" s="389">
        <f t="shared" si="108"/>
        <v>20</v>
      </c>
      <c r="R237" s="391">
        <f t="shared" si="109"/>
        <v>31629.5</v>
      </c>
      <c r="U237" s="389">
        <f t="shared" si="87"/>
        <v>31629.5</v>
      </c>
      <c r="V237" s="391"/>
    </row>
    <row r="238" spans="1:22">
      <c r="A238" s="374" t="s">
        <v>400</v>
      </c>
      <c r="B238" s="374" t="s">
        <v>400</v>
      </c>
      <c r="C238" s="390">
        <v>133.9</v>
      </c>
      <c r="D238" s="391">
        <v>11649.3</v>
      </c>
      <c r="F238" s="390">
        <v>133.9</v>
      </c>
      <c r="G238" s="391">
        <f>'[12]Murrey''s 3-15'!C238+'[12]Murrrey''s 4-15'!C238+'[12]Murrey''s 5-15'!C238+'[12]Murrey''s 6-15'!C238+'[12]Murrey''s 7-15'!C238+'[12]Murrey''s 8-15'!C238+'[12]Murrey''s 9-15'!C238+'[12]Murrey''s 10-15'!C238+'[12]Murrey''s 11-15'!C238+'[12]Murrey''s 12-15'!C238</f>
        <v>59183.799999999996</v>
      </c>
      <c r="I238" s="391">
        <f t="shared" si="106"/>
        <v>70833.099999999991</v>
      </c>
      <c r="J238" s="389">
        <f t="shared" si="107"/>
        <v>528.99999999999989</v>
      </c>
      <c r="K238" s="389">
        <f t="shared" si="108"/>
        <v>44</v>
      </c>
      <c r="R238" s="391">
        <f t="shared" si="109"/>
        <v>70833.099999999991</v>
      </c>
      <c r="U238" s="389">
        <f t="shared" si="87"/>
        <v>70833.099999999991</v>
      </c>
      <c r="V238" s="391"/>
    </row>
    <row r="239" spans="1:22">
      <c r="A239" s="374" t="s">
        <v>401</v>
      </c>
      <c r="B239" s="374" t="s">
        <v>401</v>
      </c>
      <c r="C239" s="390">
        <v>142.19999999999999</v>
      </c>
      <c r="D239" s="391">
        <v>19765.800000000003</v>
      </c>
      <c r="F239" s="390">
        <v>142.19999999999999</v>
      </c>
      <c r="G239" s="391">
        <f>'[12]Murrey''s 3-15'!C239+'[12]Murrrey''s 4-15'!C239+'[12]Murrey''s 5-15'!C239+'[12]Murrey''s 6-15'!C239+'[12]Murrey''s 7-15'!C239+'[12]Murrey''s 8-15'!C239+'[12]Murrey''s 9-15'!C239+'[12]Murrey''s 10-15'!C239+'[12]Murrey''s 11-15'!C239+'[12]Murrey''s 12-15'!C239</f>
        <v>95842.799999999988</v>
      </c>
      <c r="I239" s="391">
        <f t="shared" si="106"/>
        <v>115608.59999999999</v>
      </c>
      <c r="J239" s="389">
        <f t="shared" si="107"/>
        <v>813</v>
      </c>
      <c r="K239" s="389">
        <f t="shared" si="108"/>
        <v>68</v>
      </c>
      <c r="R239" s="391">
        <f t="shared" si="109"/>
        <v>115608.59999999999</v>
      </c>
      <c r="U239" s="389">
        <f t="shared" si="87"/>
        <v>115608.59999999999</v>
      </c>
      <c r="V239" s="391"/>
    </row>
    <row r="240" spans="1:22">
      <c r="A240" s="374" t="s">
        <v>411</v>
      </c>
      <c r="B240" s="374" t="s">
        <v>411</v>
      </c>
      <c r="C240" s="390">
        <v>147</v>
      </c>
      <c r="D240" s="391">
        <v>588</v>
      </c>
      <c r="F240" s="390">
        <v>147</v>
      </c>
      <c r="G240" s="391">
        <f>'[12]Murrey''s 3-15'!C240+'[12]Murrrey''s 4-15'!C240+'[12]Murrey''s 5-15'!C240+'[12]Murrey''s 6-15'!C240+'[12]Murrey''s 7-15'!C240+'[12]Murrey''s 8-15'!C240+'[12]Murrey''s 9-15'!C240+'[12]Murrey''s 10-15'!C240+'[12]Murrey''s 11-15'!C240+'[12]Murrey''s 12-15'!C240</f>
        <v>3234</v>
      </c>
      <c r="I240" s="391">
        <f t="shared" si="106"/>
        <v>3822</v>
      </c>
      <c r="J240" s="389">
        <f t="shared" si="107"/>
        <v>26</v>
      </c>
      <c r="K240" s="389">
        <f t="shared" si="108"/>
        <v>2</v>
      </c>
      <c r="R240" s="391">
        <f t="shared" si="109"/>
        <v>3822</v>
      </c>
      <c r="U240" s="389">
        <f t="shared" si="87"/>
        <v>3822</v>
      </c>
      <c r="V240" s="391"/>
    </row>
    <row r="241" spans="1:23">
      <c r="A241" s="374" t="s">
        <v>402</v>
      </c>
      <c r="B241" s="374" t="s">
        <v>402</v>
      </c>
      <c r="C241" s="390">
        <v>152.9</v>
      </c>
      <c r="D241" s="391">
        <v>14372.6</v>
      </c>
      <c r="F241" s="390">
        <v>152.9</v>
      </c>
      <c r="G241" s="391">
        <f>'[12]Murrey''s 3-15'!C241+'[12]Murrrey''s 4-15'!C241+'[12]Murrey''s 5-15'!C241+'[12]Murrey''s 6-15'!C241+'[12]Murrey''s 7-15'!C241+'[12]Murrey''s 8-15'!C241+'[12]Murrey''s 9-15'!C241+'[12]Murrey''s 10-15'!C241+'[12]Murrey''s 11-15'!C241+'[12]Murrey''s 12-15'!C241</f>
        <v>49845.4</v>
      </c>
      <c r="I241" s="391">
        <f t="shared" si="106"/>
        <v>64218</v>
      </c>
      <c r="J241" s="389">
        <f t="shared" si="107"/>
        <v>420</v>
      </c>
      <c r="K241" s="389">
        <f t="shared" si="108"/>
        <v>35</v>
      </c>
      <c r="R241" s="391">
        <f t="shared" si="109"/>
        <v>64218</v>
      </c>
      <c r="U241" s="389">
        <f t="shared" si="87"/>
        <v>64218</v>
      </c>
      <c r="V241" s="391"/>
    </row>
    <row r="242" spans="1:23">
      <c r="A242" s="374"/>
      <c r="B242" s="374"/>
      <c r="C242" s="379"/>
      <c r="F242" s="379"/>
      <c r="U242" s="389">
        <f t="shared" si="87"/>
        <v>0</v>
      </c>
      <c r="V242" s="391"/>
    </row>
    <row r="243" spans="1:23">
      <c r="A243" s="426" t="s">
        <v>412</v>
      </c>
      <c r="B243" s="426" t="s">
        <v>412</v>
      </c>
      <c r="C243" s="379"/>
      <c r="F243" s="379"/>
      <c r="U243" s="389">
        <f t="shared" si="87"/>
        <v>0</v>
      </c>
      <c r="V243" s="391"/>
    </row>
    <row r="244" spans="1:23">
      <c r="A244" s="374" t="s">
        <v>413</v>
      </c>
      <c r="B244" s="374" t="s">
        <v>413</v>
      </c>
      <c r="C244" s="390">
        <v>89</v>
      </c>
      <c r="D244" s="391">
        <v>7565</v>
      </c>
      <c r="F244" s="390">
        <v>89</v>
      </c>
      <c r="G244" s="391">
        <f>'[12]Murrey''s 3-15'!C244+'[12]Murrrey''s 4-15'!C244+'[12]Murrey''s 5-15'!C244+'[12]Murrey''s 6-15'!C244+'[12]Murrey''s 7-15'!C244+'[12]Murrey''s 8-15'!C244+'[12]Murrey''s 9-15'!C244+'[12]Murrey''s 10-15'!C244+'[12]Murrey''s 11-15'!C244+'[12]Murrey''s 12-15'!C244</f>
        <v>41373.39</v>
      </c>
      <c r="I244" s="391">
        <f t="shared" ref="I244:I256" si="110">D244+G244</f>
        <v>48938.39</v>
      </c>
      <c r="J244" s="389">
        <f t="shared" ref="J244:J255" si="111">D244/C244+G244/F244</f>
        <v>549.86955056179772</v>
      </c>
      <c r="K244" s="389">
        <f t="shared" ref="K244:K252" si="112">ROUND(J244/12,0)</f>
        <v>46</v>
      </c>
      <c r="R244" s="391">
        <f t="shared" ref="R244:R255" si="113">I244</f>
        <v>48938.39</v>
      </c>
      <c r="U244" s="389">
        <f t="shared" si="87"/>
        <v>48938.39</v>
      </c>
      <c r="V244" s="391"/>
    </row>
    <row r="245" spans="1:23">
      <c r="A245" s="374" t="s">
        <v>414</v>
      </c>
      <c r="B245" s="374" t="s">
        <v>414</v>
      </c>
      <c r="C245" s="390">
        <v>3.5</v>
      </c>
      <c r="D245" s="391">
        <v>69426.5</v>
      </c>
      <c r="F245" s="390">
        <v>3.5</v>
      </c>
      <c r="G245" s="391">
        <f>'[12]Murrey''s 3-15'!C245+'[12]Murrrey''s 4-15'!C245+'[12]Murrey''s 5-15'!C245+'[12]Murrey''s 6-15'!C245+'[12]Murrey''s 7-15'!C245+'[12]Murrey''s 8-15'!C245+'[12]Murrey''s 9-15'!C245+'[12]Murrey''s 10-15'!C245+'[12]Murrey''s 11-15'!C245+'[12]Murrey''s 12-15'!C245</f>
        <v>356353.36000000004</v>
      </c>
      <c r="I245" s="391">
        <f t="shared" si="110"/>
        <v>425779.86000000004</v>
      </c>
      <c r="J245" s="389">
        <f t="shared" si="111"/>
        <v>121651.38857142859</v>
      </c>
      <c r="K245" s="389">
        <f t="shared" si="112"/>
        <v>10138</v>
      </c>
      <c r="R245" s="391">
        <f t="shared" si="113"/>
        <v>425779.86000000004</v>
      </c>
      <c r="U245" s="389">
        <f t="shared" si="87"/>
        <v>425779.86000000004</v>
      </c>
      <c r="V245" s="391"/>
    </row>
    <row r="246" spans="1:23">
      <c r="A246" s="374" t="s">
        <v>415</v>
      </c>
      <c r="B246" s="374" t="s">
        <v>415</v>
      </c>
      <c r="C246" s="390">
        <v>6.55</v>
      </c>
      <c r="D246" s="391">
        <v>2325.25</v>
      </c>
      <c r="F246" s="390">
        <v>6.55</v>
      </c>
      <c r="G246" s="391">
        <f>'[12]Murrey''s 3-15'!C246+'[12]Murrrey''s 4-15'!C246+'[12]Murrey''s 5-15'!C246+'[12]Murrey''s 6-15'!C246+'[12]Murrey''s 7-15'!C246+'[12]Murrey''s 8-15'!C246+'[12]Murrey''s 9-15'!C246+'[12]Murrey''s 10-15'!C246+'[12]Murrey''s 11-15'!C246+'[12]Murrey''s 12-15'!C246</f>
        <v>10881.2</v>
      </c>
      <c r="I246" s="391">
        <f t="shared" si="110"/>
        <v>13206.45</v>
      </c>
      <c r="J246" s="389">
        <f t="shared" si="111"/>
        <v>2016.2519083969466</v>
      </c>
      <c r="K246" s="389">
        <f t="shared" si="112"/>
        <v>168</v>
      </c>
      <c r="R246" s="391">
        <f t="shared" si="113"/>
        <v>13206.45</v>
      </c>
      <c r="U246" s="389">
        <f t="shared" si="87"/>
        <v>13206.45</v>
      </c>
      <c r="V246" s="391"/>
    </row>
    <row r="247" spans="1:23">
      <c r="A247" s="374" t="s">
        <v>416</v>
      </c>
      <c r="B247" s="374" t="s">
        <v>416</v>
      </c>
      <c r="C247" s="390">
        <v>20</v>
      </c>
      <c r="D247" s="391">
        <v>6840</v>
      </c>
      <c r="F247" s="390">
        <v>20</v>
      </c>
      <c r="G247" s="391">
        <f>'[12]Murrey''s 3-15'!C247+'[12]Murrrey''s 4-15'!C247+'[12]Murrey''s 5-15'!C247+'[12]Murrey''s 6-15'!C247+'[12]Murrey''s 7-15'!C247+'[12]Murrey''s 8-15'!C247+'[12]Murrey''s 9-15'!C247+'[12]Murrey''s 10-15'!C247+'[12]Murrey''s 11-15'!C247+'[12]Murrey''s 12-15'!C247</f>
        <v>30200</v>
      </c>
      <c r="I247" s="391">
        <f t="shared" si="110"/>
        <v>37040</v>
      </c>
      <c r="J247" s="389">
        <f t="shared" si="111"/>
        <v>1852</v>
      </c>
      <c r="K247" s="389">
        <f t="shared" si="112"/>
        <v>154</v>
      </c>
      <c r="R247" s="391">
        <f t="shared" si="113"/>
        <v>37040</v>
      </c>
      <c r="U247" s="389">
        <f t="shared" si="87"/>
        <v>37040</v>
      </c>
      <c r="V247" s="391"/>
    </row>
    <row r="248" spans="1:23">
      <c r="A248" s="374" t="s">
        <v>417</v>
      </c>
      <c r="B248" s="374" t="s">
        <v>417</v>
      </c>
      <c r="C248" s="390">
        <v>43</v>
      </c>
      <c r="D248" s="391">
        <v>1852.5</v>
      </c>
      <c r="F248" s="390">
        <v>95</v>
      </c>
      <c r="G248" s="391">
        <f>'[12]Murrey''s 3-15'!C248+'[12]Murrrey''s 4-15'!C248+'[12]Murrey''s 5-15'!C248+'[12]Murrey''s 6-15'!C248+'[12]Murrey''s 7-15'!C248+'[12]Murrey''s 8-15'!C248+'[12]Murrey''s 9-15'!C248+'[12]Murrey''s 10-15'!C248+'[12]Murrey''s 11-15'!C248+'[12]Murrey''s 12-15'!C248</f>
        <v>11507</v>
      </c>
      <c r="I248" s="391">
        <f t="shared" si="110"/>
        <v>13359.5</v>
      </c>
      <c r="J248" s="389">
        <f t="shared" si="111"/>
        <v>164.20771113831088</v>
      </c>
      <c r="K248" s="389">
        <f t="shared" si="112"/>
        <v>14</v>
      </c>
      <c r="R248" s="391">
        <f t="shared" si="113"/>
        <v>13359.5</v>
      </c>
      <c r="U248" s="389">
        <f t="shared" si="87"/>
        <v>13359.5</v>
      </c>
      <c r="V248" s="391"/>
    </row>
    <row r="249" spans="1:23">
      <c r="A249" s="374" t="s">
        <v>418</v>
      </c>
      <c r="B249" s="374" t="s">
        <v>418</v>
      </c>
      <c r="C249" s="390">
        <v>86</v>
      </c>
      <c r="D249" s="391">
        <v>731</v>
      </c>
      <c r="F249" s="390">
        <v>86</v>
      </c>
      <c r="G249" s="391">
        <f>'[12]Murrey''s 3-15'!C249+'[12]Murrrey''s 4-15'!C249+'[12]Murrey''s 5-15'!C249+'[12]Murrey''s 6-15'!C249+'[12]Murrey''s 7-15'!C249+'[12]Murrey''s 8-15'!C249+'[12]Murrey''s 9-15'!C249+'[12]Murrey''s 10-15'!C249+'[12]Murrey''s 11-15'!C249+'[12]Murrey''s 12-15'!C249</f>
        <v>4235.5</v>
      </c>
      <c r="I249" s="391">
        <f t="shared" si="110"/>
        <v>4966.5</v>
      </c>
      <c r="J249" s="389">
        <f t="shared" si="111"/>
        <v>57.75</v>
      </c>
      <c r="K249" s="389">
        <f t="shared" si="112"/>
        <v>5</v>
      </c>
      <c r="R249" s="391">
        <f t="shared" si="113"/>
        <v>4966.5</v>
      </c>
      <c r="U249" s="389">
        <f t="shared" si="87"/>
        <v>4966.5</v>
      </c>
      <c r="V249" s="391"/>
    </row>
    <row r="250" spans="1:23">
      <c r="A250" s="374" t="s">
        <v>419</v>
      </c>
      <c r="B250" s="374" t="s">
        <v>419</v>
      </c>
      <c r="C250" s="390">
        <v>89</v>
      </c>
      <c r="D250" s="391">
        <v>801</v>
      </c>
      <c r="F250" s="390">
        <v>89</v>
      </c>
      <c r="G250" s="391">
        <f>'[12]Murrey''s 3-15'!C250+'[12]Murrrey''s 4-15'!C250+'[12]Murrey''s 5-15'!C250+'[12]Murrey''s 6-15'!C250+'[12]Murrey''s 7-15'!C250+'[12]Murrey''s 8-15'!C250+'[12]Murrey''s 9-15'!C250+'[12]Murrey''s 10-15'!C250+'[12]Murrey''s 11-15'!C250+'[12]Murrey''s 12-15'!C250</f>
        <v>3026</v>
      </c>
      <c r="I250" s="391">
        <f t="shared" si="110"/>
        <v>3827</v>
      </c>
      <c r="J250" s="389">
        <f t="shared" si="111"/>
        <v>43</v>
      </c>
      <c r="K250" s="389">
        <f t="shared" si="112"/>
        <v>4</v>
      </c>
      <c r="R250" s="391">
        <f t="shared" si="113"/>
        <v>3827</v>
      </c>
      <c r="U250" s="389">
        <f t="shared" si="87"/>
        <v>3827</v>
      </c>
      <c r="V250" s="391"/>
    </row>
    <row r="251" spans="1:23">
      <c r="A251" s="374" t="s">
        <v>420</v>
      </c>
      <c r="B251" s="374" t="s">
        <v>420</v>
      </c>
      <c r="C251" s="390">
        <v>6.9</v>
      </c>
      <c r="D251" s="391">
        <v>0</v>
      </c>
      <c r="F251" s="390">
        <v>6.9</v>
      </c>
      <c r="G251" s="391">
        <f>'[12]Murrey''s 3-15'!C251+'[12]Murrrey''s 4-15'!C251+'[12]Murrey''s 5-15'!C251+'[12]Murrey''s 6-15'!C251+'[12]Murrey''s 7-15'!C251+'[12]Murrey''s 8-15'!C251+'[12]Murrey''s 9-15'!C251+'[12]Murrey''s 10-15'!C251+'[12]Murrey''s 11-15'!C251+'[12]Murrey''s 12-15'!C251</f>
        <v>1248</v>
      </c>
      <c r="I251" s="391">
        <f t="shared" si="110"/>
        <v>1248</v>
      </c>
      <c r="J251" s="389">
        <f t="shared" si="111"/>
        <v>180.86956521739128</v>
      </c>
      <c r="K251" s="389">
        <f t="shared" si="112"/>
        <v>15</v>
      </c>
      <c r="R251" s="391">
        <f t="shared" si="113"/>
        <v>1248</v>
      </c>
      <c r="U251" s="389">
        <f t="shared" si="87"/>
        <v>1248</v>
      </c>
      <c r="V251" s="391"/>
    </row>
    <row r="252" spans="1:23">
      <c r="A252" s="374" t="s">
        <v>421</v>
      </c>
      <c r="B252" s="374" t="s">
        <v>421</v>
      </c>
      <c r="C252" s="390">
        <v>139.38</v>
      </c>
      <c r="D252" s="391">
        <v>573999.89</v>
      </c>
      <c r="F252" s="390">
        <v>144.97</v>
      </c>
      <c r="G252" s="391">
        <f>'[12]Murrey''s 3-15'!C252+'[12]Murrrey''s 4-15'!C252+'[12]Murrey''s 5-15'!C252+'[12]Murrey''s 6-15'!C252+'[12]Murrey''s 7-15'!C252+'[12]Murrey''s 8-15'!C252+'[12]Murrey''s 9-15'!C252+'[12]Murrey''s 10-15'!C252+'[12]Murrey''s 11-15'!C252+'[12]Murrey''s 12-15'!C252</f>
        <v>2953070.91</v>
      </c>
      <c r="I252" s="391">
        <f t="shared" si="110"/>
        <v>3527070.8000000003</v>
      </c>
      <c r="J252" s="389">
        <f t="shared" si="111"/>
        <v>24488.45792584258</v>
      </c>
      <c r="K252" s="389">
        <f t="shared" si="112"/>
        <v>2041</v>
      </c>
      <c r="R252" s="391"/>
      <c r="S252" s="391">
        <f>I252</f>
        <v>3527070.8000000003</v>
      </c>
      <c r="U252" s="389">
        <f t="shared" si="87"/>
        <v>3527070.8000000003</v>
      </c>
      <c r="V252" s="391"/>
      <c r="W252" s="391"/>
    </row>
    <row r="253" spans="1:23">
      <c r="A253" s="374" t="s">
        <v>628</v>
      </c>
      <c r="B253" s="375" t="s">
        <v>422</v>
      </c>
      <c r="C253" s="379"/>
      <c r="F253" s="379"/>
      <c r="G253" s="391"/>
      <c r="I253" s="391">
        <f t="shared" si="110"/>
        <v>0</v>
      </c>
      <c r="J253" s="389"/>
      <c r="K253" s="389">
        <f t="shared" ref="K253:K256" si="114">J253/12</f>
        <v>0</v>
      </c>
      <c r="R253" s="391">
        <f t="shared" si="113"/>
        <v>0</v>
      </c>
      <c r="U253" s="389">
        <f t="shared" si="87"/>
        <v>0</v>
      </c>
      <c r="V253" s="391"/>
      <c r="W253" s="391"/>
    </row>
    <row r="254" spans="1:23">
      <c r="A254" s="374" t="s">
        <v>423</v>
      </c>
      <c r="B254" s="374" t="s">
        <v>423</v>
      </c>
      <c r="C254" s="390">
        <v>86</v>
      </c>
      <c r="D254" s="391">
        <v>0</v>
      </c>
      <c r="F254" s="390">
        <v>86</v>
      </c>
      <c r="G254" s="391">
        <f>'[12]Murrey''s 3-15'!C254+'[12]Murrrey''s 4-15'!C254+'[12]Murrey''s 5-15'!C254+'[12]Murrey''s 6-15'!C254+'[12]Murrey''s 7-15'!C254+'[12]Murrey''s 8-15'!C254+'[12]Murrey''s 9-15'!C254+'[12]Murrey''s 10-15'!C254+'[12]Murrey''s 11-15'!C254+'[12]Murrey''s 12-15'!C254</f>
        <v>0</v>
      </c>
      <c r="I254" s="391">
        <f t="shared" si="110"/>
        <v>0</v>
      </c>
      <c r="J254" s="389">
        <f t="shared" si="111"/>
        <v>0</v>
      </c>
      <c r="K254" s="389">
        <f t="shared" ref="K254:K255" si="115">ROUND(J254/12,0)</f>
        <v>0</v>
      </c>
      <c r="R254" s="391">
        <f t="shared" si="113"/>
        <v>0</v>
      </c>
      <c r="U254" s="389">
        <f t="shared" si="87"/>
        <v>0</v>
      </c>
      <c r="V254" s="391"/>
      <c r="W254" s="391"/>
    </row>
    <row r="255" spans="1:23">
      <c r="A255" s="374" t="s">
        <v>424</v>
      </c>
      <c r="B255" s="374" t="s">
        <v>424</v>
      </c>
      <c r="C255" s="390">
        <v>139.38</v>
      </c>
      <c r="D255" s="391">
        <v>0</v>
      </c>
      <c r="F255" s="390">
        <v>144.97</v>
      </c>
      <c r="G255" s="391">
        <f>'[12]Murrey''s 3-15'!C255+'[12]Murrrey''s 4-15'!C255+'[12]Murrey''s 5-15'!C255+'[12]Murrey''s 6-15'!C255+'[12]Murrey''s 7-15'!C255+'[12]Murrey''s 8-15'!C255+'[12]Murrey''s 9-15'!C255+'[12]Murrey''s 10-15'!C255+'[12]Murrey''s 11-15'!C255+'[12]Murrey''s 12-15'!C255</f>
        <v>0</v>
      </c>
      <c r="I255" s="391">
        <f t="shared" si="110"/>
        <v>0</v>
      </c>
      <c r="J255" s="389">
        <f t="shared" si="111"/>
        <v>0</v>
      </c>
      <c r="K255" s="389">
        <f t="shared" si="115"/>
        <v>0</v>
      </c>
      <c r="R255" s="391">
        <f t="shared" si="113"/>
        <v>0</v>
      </c>
      <c r="U255" s="389">
        <f t="shared" si="87"/>
        <v>0</v>
      </c>
      <c r="V255" s="391"/>
    </row>
    <row r="256" spans="1:23">
      <c r="A256" s="373" t="s">
        <v>425</v>
      </c>
      <c r="B256" s="373" t="s">
        <v>425</v>
      </c>
      <c r="C256" s="379"/>
      <c r="F256" s="379"/>
      <c r="G256" s="391"/>
      <c r="I256" s="391">
        <f t="shared" si="110"/>
        <v>0</v>
      </c>
      <c r="J256" s="389"/>
      <c r="K256" s="389">
        <f t="shared" si="114"/>
        <v>0</v>
      </c>
      <c r="U256" s="389">
        <f t="shared" si="87"/>
        <v>0</v>
      </c>
      <c r="V256" s="391"/>
    </row>
    <row r="257" spans="1:22">
      <c r="A257" s="374"/>
      <c r="B257" s="373"/>
      <c r="C257" s="379"/>
      <c r="F257" s="379"/>
      <c r="U257" s="389">
        <f t="shared" si="87"/>
        <v>0</v>
      </c>
      <c r="V257" s="391"/>
    </row>
    <row r="258" spans="1:22">
      <c r="A258" s="374" t="s">
        <v>629</v>
      </c>
      <c r="B258" s="374" t="s">
        <v>426</v>
      </c>
      <c r="C258" s="390">
        <v>10.91</v>
      </c>
      <c r="D258" s="391">
        <v>21514.52</v>
      </c>
      <c r="F258" s="390">
        <v>10.98</v>
      </c>
      <c r="G258" s="391">
        <f>'[12]Murrey''s 3-15'!C258+'[12]Murrrey''s 4-15'!C258+'[12]Murrey''s 5-15'!C258+'[12]Murrey''s 6-15'!C258+'[12]Murrey''s 7-15'!C258+'[12]Murrey''s 8-15'!C258+'[12]Murrey''s 9-15'!C258+'[12]Murrey''s 10-15'!C258+'[12]Murrey''s 11-15'!C258+'[12]Murrey''s 12-15'!C258</f>
        <v>108174.96000000002</v>
      </c>
      <c r="I258" s="391">
        <f t="shared" ref="I258:I260" si="116">D258+G258</f>
        <v>129689.48000000003</v>
      </c>
      <c r="J258" s="389">
        <f t="shared" ref="J258:J260" si="117">D258/C258+G258/F258</f>
        <v>11824.000000000002</v>
      </c>
      <c r="K258" s="389">
        <f t="shared" ref="K258:K260" si="118">ROUND(J258/12,0)</f>
        <v>985</v>
      </c>
      <c r="O258" s="391">
        <f>J258*$B$314</f>
        <v>84659.840000000011</v>
      </c>
      <c r="Q258" s="391">
        <f>I258-O258</f>
        <v>45029.640000000014</v>
      </c>
      <c r="R258" s="391"/>
      <c r="U258" s="389">
        <f t="shared" si="87"/>
        <v>129689.48000000003</v>
      </c>
      <c r="V258" s="391"/>
    </row>
    <row r="259" spans="1:22">
      <c r="A259" s="374" t="s">
        <v>630</v>
      </c>
      <c r="B259" s="374" t="s">
        <v>427</v>
      </c>
      <c r="C259" s="390">
        <v>3.75</v>
      </c>
      <c r="D259" s="391">
        <v>25061.25</v>
      </c>
      <c r="F259" s="390">
        <v>3.82</v>
      </c>
      <c r="G259" s="391">
        <f>'[12]Murrey''s 3-15'!C259+'[12]Murrrey''s 4-15'!C259+'[12]Murrey''s 5-15'!C259+'[12]Murrey''s 6-15'!C259+'[12]Murrey''s 7-15'!C259+'[12]Murrey''s 8-15'!C259+'[12]Murrey''s 9-15'!C259+'[12]Murrey''s 10-15'!C259+'[12]Murrey''s 11-15'!C259+'[12]Murrey''s 12-15'!C259</f>
        <v>133180.62</v>
      </c>
      <c r="I259" s="391">
        <f t="shared" si="116"/>
        <v>158241.87</v>
      </c>
      <c r="J259" s="389">
        <f t="shared" si="117"/>
        <v>41547.036649214657</v>
      </c>
      <c r="K259" s="389">
        <f t="shared" si="118"/>
        <v>3462</v>
      </c>
      <c r="Q259" s="391">
        <f>I259-O259</f>
        <v>158241.87</v>
      </c>
      <c r="R259" s="391"/>
      <c r="U259" s="389">
        <f t="shared" si="87"/>
        <v>158241.87</v>
      </c>
      <c r="V259" s="391"/>
    </row>
    <row r="260" spans="1:22">
      <c r="A260" s="374" t="s">
        <v>631</v>
      </c>
      <c r="B260" s="374" t="s">
        <v>319</v>
      </c>
      <c r="C260" s="390">
        <v>-2.0499999999999998</v>
      </c>
      <c r="D260" s="391">
        <v>-4042.5999999999995</v>
      </c>
      <c r="F260" s="390">
        <v>-0.49</v>
      </c>
      <c r="G260" s="391">
        <f>'[12]Murrey''s 3-15'!C260+'[12]Murrrey''s 4-15'!C260+'[12]Murrey''s 5-15'!C260+'[12]Murrey''s 6-15'!C260+'[12]Murrey''s 7-15'!C260+'[12]Murrey''s 8-15'!C260+'[12]Murrey''s 9-15'!C260+'[12]Murrey''s 10-15'!C260+'[12]Murrey''s 11-15'!C260+'[12]Murrey''s 12-15'!C260</f>
        <v>-4827.4799999999996</v>
      </c>
      <c r="I260" s="392">
        <f t="shared" si="116"/>
        <v>-8870.0799999999981</v>
      </c>
      <c r="J260" s="389">
        <f t="shared" si="117"/>
        <v>11824</v>
      </c>
      <c r="K260" s="389">
        <f t="shared" si="118"/>
        <v>985</v>
      </c>
      <c r="R260" s="391"/>
      <c r="U260" s="389">
        <f t="shared" si="87"/>
        <v>0</v>
      </c>
      <c r="V260" s="391"/>
    </row>
    <row r="261" spans="1:22">
      <c r="A261" s="374"/>
      <c r="B261" s="374"/>
      <c r="C261" s="379"/>
      <c r="F261" s="379"/>
      <c r="U261" s="389">
        <f t="shared" si="87"/>
        <v>0</v>
      </c>
      <c r="V261" s="391"/>
    </row>
    <row r="262" spans="1:22">
      <c r="A262" s="374" t="s">
        <v>632</v>
      </c>
      <c r="B262" s="374" t="s">
        <v>288</v>
      </c>
      <c r="C262" s="390">
        <v>4.62</v>
      </c>
      <c r="D262" s="391">
        <v>0</v>
      </c>
      <c r="F262" s="390">
        <v>4.62</v>
      </c>
      <c r="G262" s="391">
        <f>'[12]Murrey''s 3-15'!C262+'[12]Murrrey''s 4-15'!C262+'[12]Murrey''s 5-15'!C262+'[12]Murrey''s 6-15'!C262+'[12]Murrey''s 7-15'!C262+'[12]Murrey''s 8-15'!C262+'[12]Murrey''s 9-15'!C262+'[12]Murrey''s 10-15'!C262+'[12]Murrey''s 11-15'!C262+'[12]Murrey''s 12-15'!C262</f>
        <v>0</v>
      </c>
      <c r="I262" s="391">
        <f t="shared" ref="I262:I263" si="119">D262+G262</f>
        <v>0</v>
      </c>
      <c r="J262" s="389">
        <f t="shared" ref="J262:J263" si="120">D262/C262+G262/F262</f>
        <v>0</v>
      </c>
      <c r="K262" s="389">
        <f t="shared" ref="K262:K263" si="121">ROUND(J262/12,0)</f>
        <v>0</v>
      </c>
      <c r="R262" s="391">
        <f t="shared" ref="R262:R263" si="122">I262</f>
        <v>0</v>
      </c>
      <c r="U262" s="389">
        <f t="shared" si="87"/>
        <v>0</v>
      </c>
      <c r="V262" s="391"/>
    </row>
    <row r="263" spans="1:22">
      <c r="A263" s="374" t="s">
        <v>633</v>
      </c>
      <c r="B263" s="374" t="s">
        <v>289</v>
      </c>
      <c r="C263" s="390">
        <v>2.06</v>
      </c>
      <c r="D263" s="391">
        <v>0</v>
      </c>
      <c r="F263" s="390">
        <v>2.06</v>
      </c>
      <c r="G263" s="391">
        <f>'[12]Murrey''s 3-15'!C263+'[12]Murrrey''s 4-15'!C263+'[12]Murrey''s 5-15'!C263+'[12]Murrey''s 6-15'!C263+'[12]Murrey''s 7-15'!C263+'[12]Murrey''s 8-15'!C263+'[12]Murrey''s 9-15'!C263+'[12]Murrey''s 10-15'!C263+'[12]Murrey''s 11-15'!C263+'[12]Murrey''s 12-15'!C263</f>
        <v>0</v>
      </c>
      <c r="I263" s="391">
        <f t="shared" si="119"/>
        <v>0</v>
      </c>
      <c r="J263" s="389">
        <f t="shared" si="120"/>
        <v>0</v>
      </c>
      <c r="K263" s="389">
        <f t="shared" si="121"/>
        <v>0</v>
      </c>
      <c r="R263" s="391">
        <f t="shared" si="122"/>
        <v>0</v>
      </c>
      <c r="U263" s="389">
        <f t="shared" si="87"/>
        <v>0</v>
      </c>
      <c r="V263" s="391"/>
    </row>
    <row r="264" spans="1:22">
      <c r="A264" s="374"/>
      <c r="B264" s="374"/>
      <c r="C264" s="395"/>
      <c r="F264" s="379"/>
      <c r="G264" s="391"/>
      <c r="I264" s="391"/>
      <c r="U264" s="389">
        <f t="shared" si="87"/>
        <v>0</v>
      </c>
      <c r="V264" s="391"/>
    </row>
    <row r="265" spans="1:22">
      <c r="A265" s="374"/>
      <c r="B265" s="374"/>
      <c r="C265" s="379"/>
      <c r="F265" s="379"/>
      <c r="U265" s="389">
        <f t="shared" si="87"/>
        <v>0</v>
      </c>
      <c r="V265" s="391"/>
    </row>
    <row r="266" spans="1:22">
      <c r="A266" s="426" t="s">
        <v>428</v>
      </c>
      <c r="B266" s="426" t="s">
        <v>428</v>
      </c>
      <c r="C266" s="379"/>
      <c r="F266" s="379"/>
      <c r="U266" s="389">
        <f t="shared" ref="U266:U279" si="123">SUM(M266:S266)</f>
        <v>0</v>
      </c>
      <c r="V266" s="391"/>
    </row>
    <row r="267" spans="1:22">
      <c r="A267" s="374" t="s">
        <v>634</v>
      </c>
      <c r="B267" s="374" t="s">
        <v>429</v>
      </c>
      <c r="C267" s="390">
        <v>13.02</v>
      </c>
      <c r="D267" s="391">
        <v>3608.1000000000004</v>
      </c>
      <c r="F267" s="390">
        <v>13.02</v>
      </c>
      <c r="G267" s="391">
        <f>'[12]Murrey''s 3-15'!C267+'[12]Murrrey''s 4-15'!C267+'[12]Murrey''s 5-15'!C267+'[12]Murrey''s 6-15'!C267+'[12]Murrey''s 7-15'!C267+'[12]Murrey''s 8-15'!C267+'[12]Murrey''s 9-15'!C267+'[12]Murrey''s 10-15'!C267+'[12]Murrey''s 11-15'!C267+'[12]Murrey''s 12-15'!C267</f>
        <v>17786.760000000002</v>
      </c>
      <c r="I267" s="391">
        <f t="shared" ref="I267:I274" si="124">D267+G267</f>
        <v>21394.86</v>
      </c>
      <c r="J267" s="389">
        <f t="shared" ref="J267:J274" si="125">D267/C267+G267/F267</f>
        <v>1643.2304147465441</v>
      </c>
      <c r="K267" s="389">
        <f t="shared" ref="K267:K274" si="126">ROUND(J267/12,0)</f>
        <v>137</v>
      </c>
      <c r="O267" s="391">
        <f>I267</f>
        <v>21394.86</v>
      </c>
      <c r="U267" s="389">
        <f t="shared" si="123"/>
        <v>21394.86</v>
      </c>
      <c r="V267" s="391"/>
    </row>
    <row r="268" spans="1:22">
      <c r="A268" s="374" t="s">
        <v>635</v>
      </c>
      <c r="B268" s="374" t="s">
        <v>430</v>
      </c>
      <c r="C268" s="390">
        <v>12.43</v>
      </c>
      <c r="D268" s="391">
        <v>522.05999999999995</v>
      </c>
      <c r="F268" s="390">
        <v>12.43</v>
      </c>
      <c r="G268" s="391">
        <f>'[12]Murrey''s 3-15'!C268+'[12]Murrrey''s 4-15'!C268+'[12]Murrey''s 5-15'!C268+'[12]Murrey''s 6-15'!C268+'[12]Murrey''s 7-15'!C268+'[12]Murrey''s 8-15'!C268+'[12]Murrey''s 9-15'!C268+'[12]Murrey''s 10-15'!C268+'[12]Murrey''s 11-15'!C268+'[12]Murrey''s 12-15'!C268</f>
        <v>2535.7199999999998</v>
      </c>
      <c r="I268" s="391">
        <f t="shared" si="124"/>
        <v>3057.7799999999997</v>
      </c>
      <c r="J268" s="389">
        <f t="shared" si="125"/>
        <v>246</v>
      </c>
      <c r="K268" s="389">
        <f t="shared" si="126"/>
        <v>21</v>
      </c>
      <c r="O268" s="391">
        <f t="shared" ref="O268:O274" si="127">I268</f>
        <v>3057.7799999999997</v>
      </c>
      <c r="U268" s="389">
        <f t="shared" si="123"/>
        <v>3057.7799999999997</v>
      </c>
      <c r="V268" s="391"/>
    </row>
    <row r="269" spans="1:22">
      <c r="A269" s="374" t="s">
        <v>636</v>
      </c>
      <c r="B269" s="374" t="s">
        <v>431</v>
      </c>
      <c r="C269" s="390">
        <v>40.590000000000003</v>
      </c>
      <c r="D269" s="391">
        <v>14763.380000000001</v>
      </c>
      <c r="F269" s="390">
        <v>40.590000000000003</v>
      </c>
      <c r="G269" s="391">
        <f>'[12]Murrey''s 3-15'!C269+'[12]Murrrey''s 4-15'!C269+'[12]Murrey''s 5-15'!C269+'[12]Murrey''s 6-15'!C269+'[12]Murrey''s 7-15'!C269+'[12]Murrey''s 8-15'!C269+'[12]Murrey''s 9-15'!C269+'[12]Murrey''s 10-15'!C269+'[12]Murrey''s 11-15'!C269+'[12]Murrey''s 12-15'!C269</f>
        <v>76101.66</v>
      </c>
      <c r="I269" s="391">
        <f t="shared" si="124"/>
        <v>90865.040000000008</v>
      </c>
      <c r="J269" s="389">
        <f t="shared" si="125"/>
        <v>2238.6065533382607</v>
      </c>
      <c r="K269" s="389">
        <f t="shared" si="126"/>
        <v>187</v>
      </c>
      <c r="O269" s="391">
        <f t="shared" si="127"/>
        <v>90865.040000000008</v>
      </c>
      <c r="U269" s="389">
        <f t="shared" si="123"/>
        <v>90865.040000000008</v>
      </c>
      <c r="V269" s="391"/>
    </row>
    <row r="270" spans="1:22">
      <c r="A270" s="374" t="s">
        <v>637</v>
      </c>
      <c r="B270" s="374" t="s">
        <v>432</v>
      </c>
      <c r="C270" s="390">
        <v>18.350000000000001</v>
      </c>
      <c r="D270" s="391">
        <v>844.09999999999991</v>
      </c>
      <c r="F270" s="390">
        <v>18.350000000000001</v>
      </c>
      <c r="G270" s="391">
        <f>'[12]Murrey''s 3-15'!C270+'[12]Murrrey''s 4-15'!C270+'[12]Murrey''s 5-15'!C270+'[12]Murrey''s 6-15'!C270+'[12]Murrey''s 7-15'!C270+'[12]Murrey''s 8-15'!C270+'[12]Murrey''s 9-15'!C270+'[12]Murrey''s 10-15'!C270+'[12]Murrey''s 11-15'!C270+'[12]Murrey''s 12-15'!C270</f>
        <v>4036.9999999999991</v>
      </c>
      <c r="I270" s="391">
        <f t="shared" si="124"/>
        <v>4881.0999999999985</v>
      </c>
      <c r="J270" s="389">
        <f t="shared" si="125"/>
        <v>265.99999999999994</v>
      </c>
      <c r="K270" s="389">
        <f t="shared" si="126"/>
        <v>22</v>
      </c>
      <c r="O270" s="391">
        <f t="shared" si="127"/>
        <v>4881.0999999999985</v>
      </c>
      <c r="U270" s="389">
        <f t="shared" si="123"/>
        <v>4881.0999999999985</v>
      </c>
      <c r="V270" s="391"/>
    </row>
    <row r="271" spans="1:22">
      <c r="A271" s="374" t="s">
        <v>638</v>
      </c>
      <c r="B271" s="374" t="s">
        <v>433</v>
      </c>
      <c r="C271" s="390">
        <v>6.28</v>
      </c>
      <c r="D271" s="391">
        <v>4269.1099999999997</v>
      </c>
      <c r="F271" s="390">
        <v>6.28</v>
      </c>
      <c r="G271" s="391">
        <f>'[12]Murrey''s 3-15'!C271+'[12]Murrrey''s 4-15'!C271+'[12]Murrey''s 5-15'!C271+'[12]Murrey''s 6-15'!C271+'[12]Murrey''s 7-15'!C271+'[12]Murrey''s 8-15'!C271+'[12]Murrey''s 9-15'!C271+'[12]Murrey''s 10-15'!C271+'[12]Murrey''s 11-15'!C271+'[12]Murrey''s 12-15'!C271</f>
        <v>18816.88</v>
      </c>
      <c r="I271" s="391">
        <f t="shared" si="124"/>
        <v>23085.99</v>
      </c>
      <c r="J271" s="389">
        <f t="shared" si="125"/>
        <v>3676.1130573248406</v>
      </c>
      <c r="K271" s="389">
        <f t="shared" si="126"/>
        <v>306</v>
      </c>
      <c r="O271" s="391">
        <f t="shared" si="127"/>
        <v>23085.99</v>
      </c>
      <c r="U271" s="389">
        <f t="shared" si="123"/>
        <v>23085.99</v>
      </c>
      <c r="V271" s="391"/>
    </row>
    <row r="272" spans="1:22">
      <c r="A272" s="374" t="s">
        <v>639</v>
      </c>
      <c r="B272" s="374" t="s">
        <v>434</v>
      </c>
      <c r="C272" s="390">
        <v>4.74</v>
      </c>
      <c r="D272" s="391">
        <v>763.14</v>
      </c>
      <c r="F272" s="390">
        <v>4.74</v>
      </c>
      <c r="G272" s="391">
        <f>'[12]Murrey''s 3-15'!C272+'[12]Murrrey''s 4-15'!C272+'[12]Murrey''s 5-15'!C272+'[12]Murrey''s 6-15'!C272+'[12]Murrey''s 7-15'!C272+'[12]Murrey''s 8-15'!C272+'[12]Murrey''s 9-15'!C272+'[12]Murrey''s 10-15'!C272+'[12]Murrey''s 11-15'!C272+'[12]Murrey''s 12-15'!C272</f>
        <v>3374.8799999999997</v>
      </c>
      <c r="I272" s="391">
        <f t="shared" si="124"/>
        <v>4138.0199999999995</v>
      </c>
      <c r="J272" s="389">
        <f t="shared" si="125"/>
        <v>872.99999999999989</v>
      </c>
      <c r="K272" s="389">
        <f t="shared" si="126"/>
        <v>73</v>
      </c>
      <c r="O272" s="391">
        <f t="shared" si="127"/>
        <v>4138.0199999999995</v>
      </c>
      <c r="U272" s="389">
        <f t="shared" si="123"/>
        <v>4138.0199999999995</v>
      </c>
      <c r="V272" s="391"/>
    </row>
    <row r="273" spans="1:22">
      <c r="A273" s="374" t="s">
        <v>458</v>
      </c>
      <c r="B273" s="374" t="s">
        <v>319</v>
      </c>
      <c r="C273" s="390">
        <v>-0.82</v>
      </c>
      <c r="D273" s="391">
        <v>-2492.52</v>
      </c>
      <c r="F273" s="390">
        <v>-0.44</v>
      </c>
      <c r="G273" s="391">
        <f>'[12]Murrey''s 3-15'!C273+'[12]Murrrey''s 4-15'!C273+'[12]Murrey''s 5-15'!C273+'[12]Murrey''s 6-15'!C273+'[12]Murrey''s 7-15'!C273+'[12]Murrey''s 8-15'!C273+'[12]Murrey''s 9-15'!C273+'[12]Murrey''s 10-15'!C273+'[12]Murrey''s 11-15'!C273+'[12]Murrey''s 12-15'!C273</f>
        <v>-6947.41</v>
      </c>
      <c r="I273" s="392">
        <f t="shared" si="124"/>
        <v>-9439.93</v>
      </c>
      <c r="J273" s="389">
        <f t="shared" si="125"/>
        <v>18829.226718403548</v>
      </c>
      <c r="K273" s="389">
        <f t="shared" si="126"/>
        <v>1569</v>
      </c>
      <c r="U273" s="389">
        <f t="shared" si="123"/>
        <v>0</v>
      </c>
      <c r="V273" s="391"/>
    </row>
    <row r="274" spans="1:22">
      <c r="A274" s="374" t="s">
        <v>640</v>
      </c>
      <c r="B274" s="374" t="s">
        <v>323</v>
      </c>
      <c r="C274" s="390">
        <v>2.85</v>
      </c>
      <c r="D274" s="391">
        <v>4993.2</v>
      </c>
      <c r="F274" s="390">
        <v>2.85</v>
      </c>
      <c r="G274" s="391">
        <f>'[12]Murrey''s 3-15'!C274+'[12]Murrrey''s 4-15'!C274+'[12]Murrey''s 5-15'!C274+'[12]Murrey''s 6-15'!C274+'[12]Murrey''s 7-15'!C274+'[12]Murrey''s 8-15'!C274+'[12]Murrey''s 9-15'!C274+'[12]Murrey''s 10-15'!C274+'[12]Murrey''s 11-15'!C274+'[12]Murrey''s 12-15'!C274</f>
        <v>20195.099999999999</v>
      </c>
      <c r="I274" s="396">
        <f t="shared" si="124"/>
        <v>25188.3</v>
      </c>
      <c r="J274" s="389">
        <f t="shared" si="125"/>
        <v>8837.9999999999982</v>
      </c>
      <c r="K274" s="389">
        <f t="shared" si="126"/>
        <v>737</v>
      </c>
      <c r="O274" s="396">
        <f t="shared" si="127"/>
        <v>25188.3</v>
      </c>
      <c r="U274" s="389">
        <f t="shared" si="123"/>
        <v>25188.3</v>
      </c>
      <c r="V274" s="391"/>
    </row>
    <row r="275" spans="1:22">
      <c r="A275" s="374"/>
      <c r="B275" s="374"/>
      <c r="C275" s="379"/>
      <c r="F275" s="379"/>
      <c r="U275" s="389">
        <f t="shared" si="123"/>
        <v>0</v>
      </c>
      <c r="V275" s="391"/>
    </row>
    <row r="276" spans="1:22">
      <c r="A276" s="374" t="s">
        <v>507</v>
      </c>
      <c r="B276" s="374" t="s">
        <v>299</v>
      </c>
      <c r="C276" s="390">
        <v>6.53</v>
      </c>
      <c r="D276" s="391">
        <v>2340.36</v>
      </c>
      <c r="F276" s="390">
        <v>6.53</v>
      </c>
      <c r="G276" s="391">
        <f>'[12]Murrey''s 3-15'!C276+'[12]Murrrey''s 4-15'!C276+'[12]Murrey''s 5-15'!C276+'[12]Murrey''s 6-15'!C276+'[12]Murrey''s 7-15'!C276+'[12]Murrey''s 8-15'!C276+'[12]Murrey''s 9-15'!C276+'[12]Murrey''s 10-15'!C276+'[12]Murrey''s 11-15'!C276+'[12]Murrey''s 12-15'!C276</f>
        <v>11700.490000000002</v>
      </c>
      <c r="I276" s="391">
        <f t="shared" ref="I276" si="128">D276+G276</f>
        <v>14040.850000000002</v>
      </c>
      <c r="J276" s="389">
        <f t="shared" ref="J276" si="129">D276/C276+G276/F276</f>
        <v>2150.2067381317001</v>
      </c>
      <c r="K276" s="389">
        <f>ROUND(J276/12,0)</f>
        <v>179</v>
      </c>
      <c r="N276" s="391">
        <f>I276</f>
        <v>14040.850000000002</v>
      </c>
      <c r="U276" s="389">
        <f t="shared" si="123"/>
        <v>14040.850000000002</v>
      </c>
      <c r="V276" s="391"/>
    </row>
    <row r="277" spans="1:22">
      <c r="A277" s="374"/>
      <c r="B277" s="374"/>
      <c r="C277" s="379"/>
      <c r="F277" s="379"/>
      <c r="U277" s="389">
        <f t="shared" si="123"/>
        <v>0</v>
      </c>
      <c r="V277" s="391"/>
    </row>
    <row r="278" spans="1:22">
      <c r="A278" s="374" t="s">
        <v>435</v>
      </c>
      <c r="B278" s="374" t="s">
        <v>435</v>
      </c>
      <c r="C278" s="379"/>
      <c r="F278" s="379"/>
      <c r="G278" s="391">
        <f>'[12]Murrey''s 3-15'!C278+'[12]Murrrey''s 4-15'!C278+'[12]Murrey''s 5-15'!C278+'[12]Murrey''s 6-15'!C278+'[12]Murrey''s 7-15'!C278+'[12]Murrey''s 8-15'!C278+'[12]Murrey''s 9-15'!C278+'[12]Murrey''s 10-15'!C278+'[12]Murrey''s 11-15'!C278+'[12]Murrey''s 12-15'!C278</f>
        <v>0</v>
      </c>
      <c r="U278" s="389">
        <f t="shared" si="123"/>
        <v>0</v>
      </c>
      <c r="V278" s="391"/>
    </row>
    <row r="279" spans="1:22">
      <c r="A279" s="374"/>
      <c r="B279" s="374"/>
      <c r="C279" s="379"/>
      <c r="F279" s="379"/>
      <c r="U279" s="389">
        <f t="shared" si="123"/>
        <v>0</v>
      </c>
      <c r="V279" s="391"/>
    </row>
    <row r="280" spans="1:22">
      <c r="A280" s="374"/>
      <c r="B280" s="372" t="s">
        <v>436</v>
      </c>
      <c r="C280" s="399"/>
      <c r="D280" s="386">
        <f>SUM(D202:D278)</f>
        <v>926839.59</v>
      </c>
      <c r="E280" s="383"/>
      <c r="F280" s="379"/>
      <c r="G280" s="386">
        <f>SUM(G202:G278)</f>
        <v>4763183.2499999991</v>
      </c>
      <c r="H280" s="383"/>
      <c r="I280" s="386">
        <f>SUM(I202:I278)</f>
        <v>5690022.8400000008</v>
      </c>
      <c r="J280" s="383"/>
      <c r="K280" s="383"/>
      <c r="L280" s="383"/>
      <c r="M280" s="386">
        <f t="shared" ref="M280:T280" si="130">SUM(M202:M278)</f>
        <v>0</v>
      </c>
      <c r="N280" s="386">
        <f t="shared" si="130"/>
        <v>14040.850000000002</v>
      </c>
      <c r="O280" s="386">
        <f t="shared" si="130"/>
        <v>257270.93</v>
      </c>
      <c r="P280" s="386">
        <f t="shared" si="130"/>
        <v>0</v>
      </c>
      <c r="Q280" s="386">
        <f t="shared" si="130"/>
        <v>203271.51</v>
      </c>
      <c r="R280" s="386">
        <f t="shared" si="130"/>
        <v>1706678.76</v>
      </c>
      <c r="S280" s="386">
        <f t="shared" si="130"/>
        <v>3527070.8000000003</v>
      </c>
      <c r="T280" s="386">
        <f t="shared" si="130"/>
        <v>0</v>
      </c>
      <c r="U280" s="380">
        <f>SUM(U202:U278)</f>
        <v>5708332.8500000006</v>
      </c>
      <c r="V280" s="391"/>
    </row>
    <row r="281" spans="1:22">
      <c r="A281" s="374"/>
      <c r="B281" s="372" t="s">
        <v>97</v>
      </c>
      <c r="C281" s="379"/>
      <c r="D281" s="386">
        <f>'[12]Murrey''s 1-15'!C280+'[12]Murrey''s 2-15'!C280</f>
        <v>926839.59000000008</v>
      </c>
      <c r="F281" s="379"/>
      <c r="G281" s="386">
        <f>'[12]Murrey''s 3-15'!C280+'[12]Murrrey''s 4-15'!C280+'[12]Murrey''s 5-15'!C280+'[12]Murrey''s 6-15'!C280+'[12]Murrey''s 7-15'!C280+'[12]Murrey''s 8-15'!C280+'[12]Murrey''s 9-15'!C280+'[12]Murrey''s 10-15'!C280+'[12]Murrey''s 11-15'!C280+'[12]Murrey''s 12-15'!C280</f>
        <v>4763183.25</v>
      </c>
      <c r="I281" s="386">
        <f>D281+G281</f>
        <v>5690022.8399999999</v>
      </c>
      <c r="V281" s="391"/>
    </row>
    <row r="282" spans="1:22">
      <c r="A282" s="374"/>
      <c r="B282" s="374"/>
      <c r="C282" s="379"/>
      <c r="D282" s="391"/>
      <c r="F282" s="379"/>
      <c r="V282" s="391"/>
    </row>
    <row r="283" spans="1:22">
      <c r="A283" s="372" t="s">
        <v>437</v>
      </c>
      <c r="B283" s="383" t="s">
        <v>437</v>
      </c>
      <c r="C283" s="379"/>
      <c r="F283" s="379"/>
      <c r="V283" s="391"/>
    </row>
    <row r="284" spans="1:22">
      <c r="A284" s="374" t="s">
        <v>674</v>
      </c>
      <c r="B284" s="374"/>
      <c r="C284" s="390">
        <v>22.6</v>
      </c>
      <c r="D284" s="391">
        <v>1333.4</v>
      </c>
      <c r="F284" s="390">
        <v>22.6</v>
      </c>
      <c r="G284" s="391">
        <f>'[12]Murrey''s 3-15'!C284+'[12]Murrrey''s 4-15'!C284+'[12]Murrey''s 5-15'!C284+'[12]Murrey''s 6-15'!C284+'[12]Murrey''s 7-15'!C284+'[12]Murrey''s 8-15'!C284+'[12]Murrey''s 9-15'!C284+'[12]Murrey''s 10-15'!C284+'[12]Murrey''s 11-15'!C284+'[12]Murrey''s 12-15'!C284</f>
        <v>6478.0999999999995</v>
      </c>
      <c r="I284" s="391">
        <f t="shared" ref="I284:I286" si="131">D284+G284</f>
        <v>7811.5</v>
      </c>
      <c r="J284" s="389">
        <f t="shared" ref="J284:J286" si="132">D284/C284+G284/F284</f>
        <v>345.64159292035396</v>
      </c>
      <c r="K284" s="389">
        <f t="shared" ref="K284:K286" si="133">ROUND(J284/12,0)</f>
        <v>29</v>
      </c>
      <c r="T284" s="391">
        <f>I284</f>
        <v>7811.5</v>
      </c>
      <c r="U284" s="389">
        <f>SUM(M284:T284)</f>
        <v>7811.5</v>
      </c>
      <c r="V284" s="391"/>
    </row>
    <row r="285" spans="1:22">
      <c r="A285" s="374" t="s">
        <v>675</v>
      </c>
      <c r="B285" s="374"/>
      <c r="C285" s="390">
        <v>37.4</v>
      </c>
      <c r="D285" s="391">
        <v>8190.6</v>
      </c>
      <c r="F285" s="390">
        <v>37.4</v>
      </c>
      <c r="G285" s="391">
        <f>'[12]Murrey''s 3-15'!C285+'[12]Murrrey''s 4-15'!C285+'[12]Murrey''s 5-15'!C285+'[12]Murrey''s 6-15'!C285+'[12]Murrey''s 7-15'!C285+'[12]Murrey''s 8-15'!C285+'[12]Murrey''s 9-15'!C285+'[12]Murrey''s 10-15'!C285+'[12]Murrey''s 11-15'!C285+'[12]Murrey''s 12-15'!C285</f>
        <v>45444.95</v>
      </c>
      <c r="I285" s="391">
        <f t="shared" si="131"/>
        <v>53635.549999999996</v>
      </c>
      <c r="J285" s="389">
        <f t="shared" si="132"/>
        <v>1434.1056149732619</v>
      </c>
      <c r="K285" s="389">
        <f t="shared" si="133"/>
        <v>120</v>
      </c>
      <c r="T285" s="391">
        <f t="shared" ref="T285:T286" si="134">I285</f>
        <v>53635.549999999996</v>
      </c>
      <c r="U285" s="389">
        <f t="shared" ref="U285:U286" si="135">SUM(M285:T285)</f>
        <v>53635.549999999996</v>
      </c>
      <c r="V285" s="391"/>
    </row>
    <row r="286" spans="1:22">
      <c r="A286" s="374" t="s">
        <v>676</v>
      </c>
      <c r="B286" s="374"/>
      <c r="C286" s="390">
        <v>64.400000000000006</v>
      </c>
      <c r="D286" s="391">
        <v>8436.4</v>
      </c>
      <c r="F286" s="390">
        <v>64.400000000000006</v>
      </c>
      <c r="G286" s="391">
        <f>'[12]Murrey''s 3-15'!C286+'[12]Murrrey''s 4-15'!C286+'[12]Murrey''s 5-15'!C286+'[12]Murrey''s 6-15'!C286+'[12]Murrey''s 7-15'!C286+'[12]Murrey''s 8-15'!C286+'[12]Murrey''s 9-15'!C286+'[12]Murrey''s 10-15'!C286+'[12]Murrey''s 11-15'!C286+'[12]Murrey''s 12-15'!C286</f>
        <v>29778.400000000001</v>
      </c>
      <c r="I286" s="391">
        <f t="shared" si="131"/>
        <v>38214.800000000003</v>
      </c>
      <c r="J286" s="389">
        <f t="shared" si="132"/>
        <v>593.3975155279503</v>
      </c>
      <c r="K286" s="389">
        <f t="shared" si="133"/>
        <v>49</v>
      </c>
      <c r="T286" s="391">
        <f t="shared" si="134"/>
        <v>38214.800000000003</v>
      </c>
      <c r="U286" s="389">
        <f t="shared" si="135"/>
        <v>38214.800000000003</v>
      </c>
      <c r="V286" s="391"/>
    </row>
    <row r="287" spans="1:22">
      <c r="A287" s="383" t="s">
        <v>17</v>
      </c>
      <c r="B287" s="374"/>
      <c r="D287" s="386">
        <f>SUM(D284:D286)</f>
        <v>17960.400000000001</v>
      </c>
      <c r="G287" s="386">
        <f>SUM(G284:G286)</f>
        <v>81701.45</v>
      </c>
      <c r="I287" s="386">
        <f>SUM(I284:I286)</f>
        <v>99661.85</v>
      </c>
      <c r="M287" s="386">
        <f t="shared" ref="M287:U287" si="136">SUM(M284:M286)</f>
        <v>0</v>
      </c>
      <c r="N287" s="386">
        <f t="shared" si="136"/>
        <v>0</v>
      </c>
      <c r="O287" s="386">
        <f t="shared" si="136"/>
        <v>0</v>
      </c>
      <c r="P287" s="386">
        <f t="shared" si="136"/>
        <v>0</v>
      </c>
      <c r="Q287" s="386">
        <f t="shared" si="136"/>
        <v>0</v>
      </c>
      <c r="R287" s="386">
        <f t="shared" si="136"/>
        <v>0</v>
      </c>
      <c r="S287" s="386">
        <f t="shared" si="136"/>
        <v>0</v>
      </c>
      <c r="T287" s="386">
        <f t="shared" si="136"/>
        <v>99661.85</v>
      </c>
      <c r="U287" s="380">
        <f t="shared" si="136"/>
        <v>99661.85</v>
      </c>
      <c r="V287" s="391"/>
    </row>
    <row r="288" spans="1:22">
      <c r="A288" s="379"/>
      <c r="B288" s="374"/>
      <c r="C288" s="379"/>
      <c r="F288" s="379"/>
    </row>
    <row r="289" spans="1:23">
      <c r="A289" s="399" t="s">
        <v>17</v>
      </c>
      <c r="B289" s="374"/>
      <c r="C289" s="379"/>
      <c r="D289" s="386">
        <f>D49+D196+D280+D287</f>
        <v>3964645.36</v>
      </c>
      <c r="F289" s="379"/>
      <c r="G289" s="386">
        <f>G49+G196+G280+G287</f>
        <v>18356758.434999995</v>
      </c>
      <c r="I289" s="400">
        <f>I287+I280+I196+I49</f>
        <v>22321403.795000002</v>
      </c>
      <c r="M289" s="386">
        <f>M49+M196+M280+M287</f>
        <v>2869900.042305246</v>
      </c>
      <c r="N289" s="386">
        <f t="shared" ref="N289:T289" si="137">N49+N196+N280+N287</f>
        <v>1588699.7400000002</v>
      </c>
      <c r="O289" s="386">
        <f t="shared" si="137"/>
        <v>518476.94954460225</v>
      </c>
      <c r="P289" s="386">
        <f t="shared" si="137"/>
        <v>7809281.6476947553</v>
      </c>
      <c r="Q289" s="386">
        <f t="shared" si="137"/>
        <v>4547033.8604553994</v>
      </c>
      <c r="R289" s="386">
        <f t="shared" si="137"/>
        <v>1706678.76</v>
      </c>
      <c r="S289" s="386">
        <f t="shared" si="137"/>
        <v>3527070.8000000003</v>
      </c>
      <c r="T289" s="386">
        <f t="shared" si="137"/>
        <v>99661.85</v>
      </c>
      <c r="U289" s="380">
        <f>U49+U196+U280+U287</f>
        <v>22666803.650000006</v>
      </c>
      <c r="V289" s="378" t="s">
        <v>641</v>
      </c>
    </row>
    <row r="290" spans="1:23">
      <c r="A290" s="401"/>
      <c r="B290" s="374"/>
      <c r="C290" s="379"/>
      <c r="F290" s="379"/>
      <c r="M290" s="402"/>
      <c r="U290" s="403">
        <f>I273+I260+I54+I6+I63</f>
        <v>-345399.85499999998</v>
      </c>
      <c r="V290" s="378" t="s">
        <v>677</v>
      </c>
    </row>
    <row r="291" spans="1:23">
      <c r="A291" s="401"/>
      <c r="B291" s="374"/>
      <c r="C291" s="379"/>
      <c r="F291" s="379"/>
      <c r="M291" s="402"/>
    </row>
    <row r="292" spans="1:23">
      <c r="B292" s="374"/>
      <c r="I292" s="391"/>
      <c r="M292" s="404" t="s">
        <v>644</v>
      </c>
      <c r="P292" s="391"/>
      <c r="U292" s="405">
        <f>SUM(U289:U290)</f>
        <v>22321403.795000006</v>
      </c>
      <c r="V292" s="378" t="s">
        <v>678</v>
      </c>
    </row>
    <row r="293" spans="1:23">
      <c r="A293" s="378" t="s">
        <v>642</v>
      </c>
      <c r="B293" s="374"/>
      <c r="C293" s="377"/>
      <c r="D293" s="391">
        <f>'[12]Murrey''s 1-15'!C293+'[12]Murrey''s 2-15'!C293</f>
        <v>6813.83</v>
      </c>
      <c r="F293" s="377"/>
      <c r="G293" s="391">
        <f>'[12]Murrey''s 3-15'!C293+'[12]Murrrey''s 4-15'!C293+'[12]Murrey''s 5-15'!C293+'[12]Murrey''s 6-15'!C293+'[12]Murrey''s 7-15'!C293+'[12]Murrey''s 8-15'!C293+'[12]Murrey''s 9-15'!C293+'[12]Murrey''s 10-15'!C293+'[12]Murrey''s 11-15'!C293+'[12]Murrey''s 12-15'!C293</f>
        <v>27048.58</v>
      </c>
      <c r="I293" s="386">
        <f t="shared" ref="I293:I294" si="138">D293+G293</f>
        <v>33862.410000000003</v>
      </c>
      <c r="M293" s="389">
        <f>SUM(M33:M48)</f>
        <v>8143.212305246012</v>
      </c>
      <c r="N293" s="378" t="s">
        <v>14</v>
      </c>
      <c r="P293" s="388"/>
      <c r="U293" s="389">
        <f>U292-I289</f>
        <v>0</v>
      </c>
    </row>
    <row r="294" spans="1:23">
      <c r="A294" s="378" t="s">
        <v>643</v>
      </c>
      <c r="B294" s="374"/>
      <c r="C294" s="377"/>
      <c r="D294" s="391">
        <f>'[12]Murrey''s 1-15'!C294+'[12]Murrey''s 2-15'!C294</f>
        <v>100</v>
      </c>
      <c r="F294" s="377"/>
      <c r="G294" s="391">
        <f>'[12]Murrey''s 3-15'!C294+'[12]Murrrey''s 4-15'!C294+'[12]Murrey''s 5-15'!C294+'[12]Murrey''s 6-15'!C294+'[12]Murrey''s 7-15'!C294+'[12]Murrey''s 8-15'!C294+'[12]Murrey''s 9-15'!C294+'[12]Murrey''s 10-15'!C294+'[12]Murrey''s 11-15'!C294+'[12]Murrey''s 12-15'!C294</f>
        <v>700</v>
      </c>
      <c r="I294" s="386">
        <f t="shared" si="138"/>
        <v>800</v>
      </c>
      <c r="M294" s="389">
        <f>SUM(O76:O85)</f>
        <v>36.75</v>
      </c>
      <c r="N294" s="378" t="s">
        <v>645</v>
      </c>
      <c r="P294" s="382"/>
      <c r="Q294" s="382"/>
      <c r="R294" s="382"/>
      <c r="S294" s="383"/>
      <c r="T294" s="383"/>
    </row>
    <row r="295" spans="1:23">
      <c r="B295" s="374"/>
      <c r="C295" s="377"/>
      <c r="D295" s="391"/>
      <c r="F295" s="377"/>
      <c r="M295" s="389">
        <f>O64</f>
        <v>3178.5</v>
      </c>
      <c r="N295" s="378" t="s">
        <v>646</v>
      </c>
      <c r="P295" s="382"/>
      <c r="Q295" s="382"/>
      <c r="R295" s="382"/>
      <c r="S295" s="384"/>
      <c r="T295" s="384"/>
    </row>
    <row r="296" spans="1:23">
      <c r="B296" s="374"/>
      <c r="C296" s="377"/>
      <c r="D296" s="391"/>
      <c r="F296" s="377"/>
      <c r="I296" s="391"/>
      <c r="M296" s="389">
        <f>O274</f>
        <v>25188.3</v>
      </c>
      <c r="N296" s="378" t="s">
        <v>647</v>
      </c>
    </row>
    <row r="297" spans="1:23">
      <c r="B297" s="374"/>
      <c r="C297" s="377"/>
      <c r="F297" s="377"/>
      <c r="I297" s="391"/>
      <c r="M297" s="380">
        <f>SUM(M293:M296)</f>
        <v>36546.762305246011</v>
      </c>
      <c r="P297" s="393"/>
    </row>
    <row r="298" spans="1:23">
      <c r="B298" s="374"/>
      <c r="M298" s="391"/>
    </row>
    <row r="299" spans="1:23">
      <c r="B299" s="374"/>
      <c r="D299" s="391"/>
      <c r="G299" s="391"/>
      <c r="I299" s="391"/>
      <c r="M299" s="391"/>
      <c r="N299" s="384" t="s">
        <v>14</v>
      </c>
      <c r="O299" s="384"/>
      <c r="P299" s="384"/>
      <c r="Q299" s="384" t="s">
        <v>648</v>
      </c>
      <c r="R299" s="384" t="s">
        <v>453</v>
      </c>
      <c r="S299" s="384" t="s">
        <v>649</v>
      </c>
      <c r="T299" s="383" t="s">
        <v>650</v>
      </c>
    </row>
    <row r="300" spans="1:23">
      <c r="B300" s="374"/>
      <c r="C300" s="406"/>
      <c r="D300" s="391"/>
      <c r="F300" s="406"/>
      <c r="G300" s="391"/>
      <c r="I300" s="391"/>
      <c r="M300" s="393" t="s">
        <v>144</v>
      </c>
      <c r="N300" s="389">
        <f>P289</f>
        <v>7809281.6476947553</v>
      </c>
      <c r="O300" s="389"/>
      <c r="P300" s="378" t="s">
        <v>144</v>
      </c>
      <c r="Q300" s="407">
        <f>Q289</f>
        <v>4547033.8604553994</v>
      </c>
      <c r="R300" s="408">
        <f>R289</f>
        <v>1706678.76</v>
      </c>
      <c r="S300" s="407">
        <f>S289</f>
        <v>3527070.8000000003</v>
      </c>
      <c r="U300" s="389">
        <f>SUM(N300:T300)</f>
        <v>17590065.068150155</v>
      </c>
    </row>
    <row r="301" spans="1:23">
      <c r="B301" s="371"/>
      <c r="D301" s="386"/>
      <c r="G301" s="386"/>
      <c r="I301" s="386"/>
      <c r="M301" s="409" t="s">
        <v>284</v>
      </c>
      <c r="N301" s="389">
        <f>M289</f>
        <v>2869900.042305246</v>
      </c>
      <c r="O301" s="389"/>
      <c r="P301" s="378" t="s">
        <v>651</v>
      </c>
      <c r="Q301" s="407">
        <f>O289</f>
        <v>518476.94954460225</v>
      </c>
      <c r="U301" s="389">
        <f t="shared" ref="U301:U302" si="139">SUM(N301:T301)</f>
        <v>3388376.9918498481</v>
      </c>
    </row>
    <row r="302" spans="1:23">
      <c r="B302" s="371"/>
      <c r="D302" s="386"/>
      <c r="G302" s="386"/>
      <c r="I302" s="386"/>
      <c r="M302" s="389" t="s">
        <v>447</v>
      </c>
      <c r="N302" s="389">
        <f>N289</f>
        <v>1588699.7400000002</v>
      </c>
      <c r="O302" s="389"/>
      <c r="P302" s="389" t="s">
        <v>455</v>
      </c>
      <c r="Q302" s="407">
        <f>T289</f>
        <v>99661.85</v>
      </c>
      <c r="R302" s="389"/>
      <c r="S302" s="389"/>
      <c r="T302" s="389"/>
      <c r="U302" s="389">
        <f t="shared" si="139"/>
        <v>1688361.5900000003</v>
      </c>
    </row>
    <row r="303" spans="1:23" ht="13.5" thickBot="1">
      <c r="A303" s="410"/>
      <c r="B303" s="376"/>
      <c r="C303" s="410"/>
      <c r="D303" s="386"/>
      <c r="G303" s="386"/>
      <c r="I303" s="386"/>
      <c r="M303" s="389"/>
      <c r="N303" s="380">
        <f>SUM(N300:N302)</f>
        <v>12267881.430000002</v>
      </c>
      <c r="O303" s="389"/>
      <c r="P303" s="389"/>
      <c r="Q303" s="411">
        <f>SUM(Q300:Q302)</f>
        <v>5165172.6600000011</v>
      </c>
      <c r="R303" s="407">
        <f>SUM(R300:R302)</f>
        <v>1706678.76</v>
      </c>
      <c r="S303" s="407">
        <f>SUM(S300:S302)</f>
        <v>3527070.8000000003</v>
      </c>
      <c r="T303" s="389"/>
      <c r="U303" s="389">
        <f>SUM(U300:U302)</f>
        <v>22666803.650000002</v>
      </c>
      <c r="V303" s="391"/>
    </row>
    <row r="304" spans="1:23">
      <c r="A304" s="412"/>
      <c r="B304" s="413"/>
      <c r="C304" s="414"/>
      <c r="D304" s="415"/>
      <c r="N304" s="389"/>
      <c r="O304" s="389"/>
      <c r="Q304" s="407"/>
      <c r="R304" s="389"/>
      <c r="S304" s="389"/>
      <c r="T304" s="408">
        <f>I6+I54+I63+I260+I273</f>
        <v>-345399.85499999998</v>
      </c>
      <c r="U304" s="403">
        <f>T304</f>
        <v>-345399.85499999998</v>
      </c>
      <c r="V304" s="391"/>
      <c r="W304" s="391"/>
    </row>
    <row r="305" spans="1:21">
      <c r="A305" s="416" t="s">
        <v>652</v>
      </c>
      <c r="C305" s="417"/>
      <c r="D305" s="415"/>
      <c r="M305" s="383" t="s">
        <v>696</v>
      </c>
      <c r="N305" s="389"/>
      <c r="O305" s="389"/>
      <c r="Q305" s="407"/>
    </row>
    <row r="306" spans="1:21">
      <c r="A306" s="418" t="s">
        <v>56</v>
      </c>
      <c r="B306" s="378">
        <v>1</v>
      </c>
      <c r="C306" s="417"/>
      <c r="D306" s="415"/>
      <c r="M306" s="378" t="s">
        <v>692</v>
      </c>
      <c r="N306" s="403">
        <f>I6</f>
        <v>-296675.71499999997</v>
      </c>
      <c r="O306" s="389"/>
      <c r="Q306" s="389"/>
      <c r="R306" s="389"/>
      <c r="S306" s="389"/>
      <c r="U306" s="419">
        <f>U303+U304</f>
        <v>22321403.795000002</v>
      </c>
    </row>
    <row r="307" spans="1:21">
      <c r="A307" s="418" t="s">
        <v>653</v>
      </c>
      <c r="B307" s="378">
        <v>2</v>
      </c>
      <c r="C307" s="417"/>
      <c r="D307" s="415"/>
      <c r="M307" s="378" t="s">
        <v>693</v>
      </c>
      <c r="N307" s="403">
        <f>I260+I54</f>
        <v>-13273.119999999999</v>
      </c>
      <c r="O307" s="389"/>
      <c r="Q307" s="407"/>
    </row>
    <row r="308" spans="1:21">
      <c r="A308" s="418" t="s">
        <v>654</v>
      </c>
      <c r="B308" s="420">
        <v>3</v>
      </c>
      <c r="C308" s="417"/>
      <c r="D308" s="415"/>
      <c r="M308" s="378" t="s">
        <v>694</v>
      </c>
      <c r="N308" s="403">
        <f>I63</f>
        <v>-26011.089999999997</v>
      </c>
      <c r="O308" s="380"/>
      <c r="U308" s="389">
        <f>U289-U303</f>
        <v>0</v>
      </c>
    </row>
    <row r="309" spans="1:21">
      <c r="A309" s="418" t="s">
        <v>655</v>
      </c>
      <c r="B309" s="378">
        <v>4</v>
      </c>
      <c r="C309" s="417"/>
      <c r="D309" s="415"/>
      <c r="M309" s="378" t="s">
        <v>695</v>
      </c>
      <c r="N309" s="403">
        <f>I273</f>
        <v>-9439.93</v>
      </c>
      <c r="O309" s="389"/>
    </row>
    <row r="310" spans="1:21">
      <c r="A310" s="418" t="s">
        <v>656</v>
      </c>
      <c r="B310" s="383">
        <v>5</v>
      </c>
      <c r="C310" s="417"/>
      <c r="D310" s="415"/>
      <c r="M310" s="421"/>
      <c r="N310" s="403">
        <f>SUM(N306:N309)</f>
        <v>-345399.85499999992</v>
      </c>
      <c r="O310" s="389"/>
    </row>
    <row r="311" spans="1:21">
      <c r="A311" s="418" t="s">
        <v>657</v>
      </c>
      <c r="B311" s="383">
        <v>6</v>
      </c>
      <c r="C311" s="417"/>
      <c r="D311" s="415"/>
      <c r="N311" s="389"/>
      <c r="O311" s="389"/>
    </row>
    <row r="312" spans="1:21">
      <c r="A312" s="418"/>
      <c r="B312" s="383"/>
      <c r="C312" s="417"/>
      <c r="D312" s="415"/>
      <c r="N312" s="389"/>
      <c r="O312" s="389"/>
    </row>
    <row r="313" spans="1:21">
      <c r="A313" s="416" t="s">
        <v>658</v>
      </c>
      <c r="B313" s="383"/>
      <c r="C313" s="417"/>
      <c r="D313" s="415"/>
      <c r="N313" s="389"/>
      <c r="O313" s="389"/>
    </row>
    <row r="314" spans="1:21">
      <c r="A314" s="418" t="s">
        <v>284</v>
      </c>
      <c r="B314" s="378">
        <v>7.16</v>
      </c>
      <c r="C314" s="417"/>
      <c r="D314" s="415"/>
      <c r="N314" s="389"/>
      <c r="O314" s="389"/>
    </row>
    <row r="315" spans="1:21">
      <c r="A315" s="418"/>
      <c r="C315" s="417"/>
      <c r="D315" s="415"/>
      <c r="N315" s="389"/>
      <c r="O315" s="389"/>
    </row>
    <row r="316" spans="1:21">
      <c r="A316" s="416" t="s">
        <v>659</v>
      </c>
      <c r="C316" s="417"/>
      <c r="D316" s="415"/>
      <c r="N316" s="389"/>
      <c r="O316" s="389"/>
    </row>
    <row r="317" spans="1:21">
      <c r="A317" s="418" t="s">
        <v>660</v>
      </c>
      <c r="B317" s="378">
        <v>4.33</v>
      </c>
      <c r="C317" s="417"/>
      <c r="D317" s="415"/>
      <c r="N317" s="389"/>
      <c r="O317" s="389"/>
    </row>
    <row r="318" spans="1:21">
      <c r="A318" s="418" t="s">
        <v>661</v>
      </c>
      <c r="B318" s="378">
        <f>B317+B317</f>
        <v>8.66</v>
      </c>
      <c r="C318" s="417"/>
      <c r="D318" s="415"/>
      <c r="N318" s="389"/>
      <c r="O318" s="389"/>
    </row>
    <row r="319" spans="1:21">
      <c r="A319" s="418" t="s">
        <v>662</v>
      </c>
      <c r="B319" s="378">
        <f>B318+B317</f>
        <v>12.99</v>
      </c>
      <c r="C319" s="417"/>
      <c r="D319" s="415"/>
    </row>
    <row r="320" spans="1:21">
      <c r="A320" s="418" t="s">
        <v>663</v>
      </c>
      <c r="B320" s="378">
        <v>1</v>
      </c>
      <c r="C320" s="417"/>
      <c r="D320" s="415"/>
    </row>
    <row r="321" spans="1:4">
      <c r="A321" s="418"/>
      <c r="B321" s="383"/>
      <c r="C321" s="417"/>
      <c r="D321" s="415"/>
    </row>
    <row r="322" spans="1:4">
      <c r="A322" s="416" t="s">
        <v>664</v>
      </c>
      <c r="C322" s="417"/>
      <c r="D322" s="415"/>
    </row>
    <row r="323" spans="1:4">
      <c r="A323" s="418" t="s">
        <v>679</v>
      </c>
      <c r="B323" s="378">
        <v>4.3899999999999997</v>
      </c>
      <c r="C323" s="417"/>
      <c r="D323" s="415"/>
    </row>
    <row r="324" spans="1:4">
      <c r="A324" s="418"/>
      <c r="C324" s="417"/>
      <c r="D324" s="415"/>
    </row>
    <row r="325" spans="1:4">
      <c r="A325" s="416" t="s">
        <v>666</v>
      </c>
      <c r="C325" s="417"/>
      <c r="D325" s="415"/>
    </row>
    <row r="326" spans="1:4">
      <c r="A326" s="418" t="s">
        <v>128</v>
      </c>
      <c r="B326" s="378">
        <v>1</v>
      </c>
      <c r="C326" s="417"/>
      <c r="D326" s="415"/>
    </row>
    <row r="327" spans="1:4">
      <c r="A327" s="418" t="s">
        <v>129</v>
      </c>
      <c r="B327" s="378">
        <v>1.5</v>
      </c>
      <c r="C327" s="417"/>
      <c r="D327" s="415"/>
    </row>
    <row r="328" spans="1:4">
      <c r="A328" s="418" t="s">
        <v>130</v>
      </c>
      <c r="B328" s="378">
        <v>2</v>
      </c>
      <c r="C328" s="417"/>
      <c r="D328" s="415"/>
    </row>
    <row r="329" spans="1:4">
      <c r="A329" s="418" t="s">
        <v>155</v>
      </c>
      <c r="B329" s="378">
        <v>3</v>
      </c>
      <c r="C329" s="417"/>
      <c r="D329" s="415"/>
    </row>
    <row r="330" spans="1:4">
      <c r="A330" s="418" t="s">
        <v>131</v>
      </c>
      <c r="B330" s="378">
        <v>4</v>
      </c>
      <c r="C330" s="417"/>
      <c r="D330" s="415"/>
    </row>
    <row r="331" spans="1:4">
      <c r="A331" s="418" t="s">
        <v>132</v>
      </c>
      <c r="B331" s="378">
        <v>6</v>
      </c>
      <c r="C331" s="417"/>
      <c r="D331" s="415"/>
    </row>
    <row r="332" spans="1:4" ht="13.5" thickBot="1">
      <c r="A332" s="422"/>
      <c r="B332" s="423"/>
      <c r="C332" s="424"/>
      <c r="D332" s="415"/>
    </row>
    <row r="333" spans="1:4">
      <c r="A333" s="425"/>
      <c r="B333" s="425"/>
      <c r="C333" s="425"/>
    </row>
  </sheetData>
  <pageMargins left="0.7" right="0.7" top="0.75" bottom="0.75" header="0.3" footer="0.3"/>
  <pageSetup scale="60" fitToWidth="2" fitToHeight="5" pageOrder="overThenDown" orientation="portrait" r:id="rId1"/>
  <rowBreaks count="6" manualBreakCount="6">
    <brk id="51" max="20" man="1"/>
    <brk id="113" max="20" man="1"/>
    <brk id="172" max="20" man="1"/>
    <brk id="241" max="20" man="1"/>
    <brk id="282" max="20" man="1"/>
    <brk id="332" max="20" man="1"/>
  </rowBreaks>
  <colBreaks count="2" manualBreakCount="2">
    <brk id="11" max="331" man="1"/>
    <brk id="21" max="1048575" man="1"/>
  </colBreaks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W327"/>
  <sheetViews>
    <sheetView topLeftCell="A244" zoomScaleNormal="100" workbookViewId="0">
      <selection activeCell="A266" sqref="A266:B266"/>
    </sheetView>
  </sheetViews>
  <sheetFormatPr defaultColWidth="9.1796875" defaultRowHeight="13"/>
  <cols>
    <col min="1" max="1" width="20" style="378" customWidth="1"/>
    <col min="2" max="2" width="25.7265625" style="378" customWidth="1"/>
    <col min="3" max="3" width="14" style="378" customWidth="1"/>
    <col min="4" max="4" width="15.453125" style="378" customWidth="1"/>
    <col min="5" max="5" width="2.1796875" style="378" customWidth="1"/>
    <col min="6" max="6" width="14.1796875" style="378" customWidth="1"/>
    <col min="7" max="7" width="13.7265625" style="378" customWidth="1"/>
    <col min="8" max="8" width="2" style="378" customWidth="1"/>
    <col min="9" max="9" width="13.81640625" style="378" customWidth="1"/>
    <col min="10" max="10" width="11.81640625" style="378" customWidth="1"/>
    <col min="11" max="11" width="15.1796875" style="378" customWidth="1"/>
    <col min="12" max="12" width="3.7265625" style="378" customWidth="1"/>
    <col min="13" max="13" width="15.7265625" style="378" customWidth="1"/>
    <col min="14" max="14" width="14.81640625" style="378" customWidth="1"/>
    <col min="15" max="15" width="13.1796875" style="378" customWidth="1"/>
    <col min="16" max="16" width="14.1796875" style="378" customWidth="1"/>
    <col min="17" max="17" width="14.81640625" style="378" customWidth="1"/>
    <col min="18" max="18" width="15.81640625" style="378" customWidth="1"/>
    <col min="19" max="19" width="13.453125" style="378" customWidth="1"/>
    <col min="20" max="20" width="11.54296875" style="378" customWidth="1"/>
    <col min="21" max="21" width="14.1796875" style="389" customWidth="1"/>
    <col min="22" max="22" width="16.54296875" style="378" customWidth="1"/>
    <col min="23" max="23" width="13.81640625" style="378" customWidth="1"/>
    <col min="24" max="16384" width="9.1796875" style="378"/>
  </cols>
  <sheetData>
    <row r="1" spans="1:22">
      <c r="A1" s="354" t="s">
        <v>889</v>
      </c>
      <c r="B1" s="354"/>
      <c r="C1" s="377"/>
      <c r="E1" s="355"/>
      <c r="I1" s="380" t="s">
        <v>445</v>
      </c>
      <c r="J1" s="380"/>
      <c r="K1" s="380"/>
      <c r="L1" s="381"/>
      <c r="M1" s="382"/>
      <c r="N1" s="382"/>
      <c r="O1" s="382"/>
      <c r="P1" s="382"/>
      <c r="Q1" s="382"/>
      <c r="R1" s="382"/>
      <c r="S1" s="383"/>
      <c r="T1" s="383"/>
      <c r="U1" s="380"/>
      <c r="V1" s="383"/>
    </row>
    <row r="2" spans="1:22">
      <c r="A2" s="354" t="s">
        <v>888</v>
      </c>
      <c r="B2" s="356"/>
      <c r="C2" s="377"/>
      <c r="E2" s="357"/>
      <c r="I2" s="380"/>
      <c r="J2" s="380"/>
      <c r="K2" s="380"/>
      <c r="L2" s="380"/>
      <c r="M2" s="382"/>
      <c r="N2" s="382"/>
      <c r="O2" s="382"/>
      <c r="P2" s="382"/>
      <c r="Q2" s="382"/>
      <c r="R2" s="382"/>
      <c r="S2" s="383"/>
      <c r="T2" s="383"/>
      <c r="U2" s="382"/>
      <c r="V2" s="384"/>
    </row>
    <row r="3" spans="1:22">
      <c r="A3" s="354" t="s">
        <v>885</v>
      </c>
      <c r="B3" s="358"/>
      <c r="C3" s="385">
        <v>2015</v>
      </c>
      <c r="D3" s="386"/>
      <c r="E3" s="359"/>
      <c r="F3" s="385">
        <v>2015</v>
      </c>
      <c r="G3" s="385"/>
      <c r="H3" s="385"/>
      <c r="I3" s="382" t="s">
        <v>17</v>
      </c>
      <c r="J3" s="382" t="s">
        <v>17</v>
      </c>
      <c r="K3" s="382" t="s">
        <v>274</v>
      </c>
      <c r="L3" s="380"/>
      <c r="M3" s="382" t="s">
        <v>446</v>
      </c>
      <c r="N3" s="382" t="s">
        <v>447</v>
      </c>
      <c r="O3" s="382" t="s">
        <v>258</v>
      </c>
      <c r="P3" s="382" t="s">
        <v>446</v>
      </c>
      <c r="Q3" s="382" t="s">
        <v>448</v>
      </c>
      <c r="R3" s="382"/>
      <c r="S3" s="383"/>
      <c r="T3" s="383"/>
      <c r="U3" s="380"/>
      <c r="V3" s="383"/>
    </row>
    <row r="4" spans="1:22">
      <c r="A4" s="360"/>
      <c r="B4" s="360"/>
      <c r="C4" s="361" t="s">
        <v>449</v>
      </c>
      <c r="D4" s="361" t="s">
        <v>449</v>
      </c>
      <c r="E4" s="362"/>
      <c r="F4" s="361" t="s">
        <v>450</v>
      </c>
      <c r="G4" s="361" t="s">
        <v>450</v>
      </c>
      <c r="H4" s="361"/>
      <c r="I4" s="382" t="s">
        <v>83</v>
      </c>
      <c r="J4" s="382" t="s">
        <v>84</v>
      </c>
      <c r="K4" s="382" t="s">
        <v>84</v>
      </c>
      <c r="L4" s="382"/>
      <c r="M4" s="382" t="s">
        <v>284</v>
      </c>
      <c r="N4" s="382"/>
      <c r="O4" s="382" t="s">
        <v>451</v>
      </c>
      <c r="P4" s="382" t="s">
        <v>452</v>
      </c>
      <c r="Q4" s="382" t="s">
        <v>452</v>
      </c>
      <c r="R4" s="382" t="s">
        <v>453</v>
      </c>
      <c r="S4" s="384" t="s">
        <v>454</v>
      </c>
      <c r="T4" s="384" t="s">
        <v>455</v>
      </c>
      <c r="U4" s="382" t="s">
        <v>17</v>
      </c>
      <c r="V4" s="384"/>
    </row>
    <row r="5" spans="1:22">
      <c r="A5" s="366" t="s">
        <v>164</v>
      </c>
      <c r="B5" s="366" t="s">
        <v>164</v>
      </c>
      <c r="C5" s="361" t="s">
        <v>456</v>
      </c>
      <c r="D5" s="363" t="s">
        <v>83</v>
      </c>
      <c r="E5" s="355"/>
      <c r="F5" s="361" t="s">
        <v>456</v>
      </c>
      <c r="G5" s="363" t="s">
        <v>83</v>
      </c>
      <c r="H5" s="361"/>
      <c r="I5" s="389"/>
      <c r="J5" s="389"/>
      <c r="K5" s="389"/>
      <c r="M5" s="389"/>
    </row>
    <row r="6" spans="1:22">
      <c r="A6" s="356" t="s">
        <v>457</v>
      </c>
      <c r="B6" s="356" t="s">
        <v>282</v>
      </c>
      <c r="C6" s="390">
        <v>-2.0499999999999998</v>
      </c>
      <c r="D6" s="391">
        <v>-88820.625</v>
      </c>
      <c r="F6" s="377">
        <v>-0.49</v>
      </c>
      <c r="G6" s="391">
        <v>-69955.61</v>
      </c>
      <c r="I6" s="392">
        <f>D6+G6</f>
        <v>-158776.23499999999</v>
      </c>
      <c r="J6" s="389">
        <f>D6/C6+G6/F6</f>
        <v>186093.68516674964</v>
      </c>
      <c r="K6" s="389">
        <f>J6/12</f>
        <v>15507.807097229137</v>
      </c>
      <c r="U6" s="389">
        <f t="shared" ref="U6:U48" si="0">SUM(M6:S6)</f>
        <v>0</v>
      </c>
      <c r="V6" s="391">
        <f>I6-U6</f>
        <v>-158776.23499999999</v>
      </c>
    </row>
    <row r="7" spans="1:22">
      <c r="A7" s="356" t="s">
        <v>458</v>
      </c>
      <c r="B7" s="356" t="s">
        <v>283</v>
      </c>
      <c r="C7" s="390">
        <v>7.1</v>
      </c>
      <c r="D7" s="391">
        <v>300256.44500000001</v>
      </c>
      <c r="F7" s="390">
        <v>7.1</v>
      </c>
      <c r="G7" s="391">
        <v>1183603.175</v>
      </c>
      <c r="I7" s="391">
        <f t="shared" ref="I7:I8" si="1">D7+G7</f>
        <v>1483859.62</v>
      </c>
      <c r="J7" s="389">
        <f t="shared" ref="J7:J8" si="2">D7/C7+G7/F7</f>
        <v>208994.31267605635</v>
      </c>
      <c r="K7" s="389">
        <f t="shared" ref="K7:K8" si="3">J7/12</f>
        <v>17416.192723004697</v>
      </c>
      <c r="M7" s="391">
        <f>I7</f>
        <v>1483859.62</v>
      </c>
      <c r="U7" s="389">
        <f t="shared" si="0"/>
        <v>1483859.62</v>
      </c>
      <c r="V7" s="391">
        <f t="shared" ref="V7:V70" si="4">I7-U7</f>
        <v>0</v>
      </c>
    </row>
    <row r="8" spans="1:22">
      <c r="A8" s="356" t="s">
        <v>459</v>
      </c>
      <c r="B8" s="356" t="s">
        <v>284</v>
      </c>
      <c r="C8" s="390">
        <v>7.1</v>
      </c>
      <c r="D8" s="391">
        <v>7549.0750000000007</v>
      </c>
      <c r="F8" s="390">
        <v>7.1</v>
      </c>
      <c r="G8" s="391">
        <v>27627.5</v>
      </c>
      <c r="I8" s="391">
        <f t="shared" si="1"/>
        <v>35176.574999999997</v>
      </c>
      <c r="J8" s="389">
        <f t="shared" si="2"/>
        <v>4954.4471830985922</v>
      </c>
      <c r="K8" s="389">
        <f t="shared" si="3"/>
        <v>412.87059859154937</v>
      </c>
      <c r="M8" s="391">
        <f>I8</f>
        <v>35176.574999999997</v>
      </c>
      <c r="U8" s="389">
        <f t="shared" si="0"/>
        <v>35176.574999999997</v>
      </c>
      <c r="V8" s="391">
        <f t="shared" si="4"/>
        <v>0</v>
      </c>
    </row>
    <row r="9" spans="1:22">
      <c r="A9" s="356"/>
      <c r="B9" s="356"/>
      <c r="C9" s="379"/>
      <c r="F9" s="379"/>
      <c r="U9" s="389">
        <f t="shared" si="0"/>
        <v>0</v>
      </c>
      <c r="V9" s="391">
        <f t="shared" si="4"/>
        <v>0</v>
      </c>
    </row>
    <row r="10" spans="1:22">
      <c r="A10" s="356" t="s">
        <v>460</v>
      </c>
      <c r="B10" s="356" t="s">
        <v>285</v>
      </c>
      <c r="C10" s="390">
        <v>10.3</v>
      </c>
      <c r="D10" s="391">
        <v>1987.9</v>
      </c>
      <c r="F10" s="390">
        <v>10.3</v>
      </c>
      <c r="G10" s="391">
        <v>7879.4999999999991</v>
      </c>
      <c r="I10" s="391">
        <f>D10+G10</f>
        <v>9867.4</v>
      </c>
      <c r="J10" s="389">
        <f>D10/C10+G10/F10</f>
        <v>957.99999999999989</v>
      </c>
      <c r="K10" s="389">
        <f>J10/12</f>
        <v>79.833333333333329</v>
      </c>
      <c r="P10" s="391">
        <f>I10</f>
        <v>9867.4</v>
      </c>
      <c r="U10" s="389">
        <f t="shared" si="0"/>
        <v>9867.4</v>
      </c>
      <c r="V10" s="391">
        <f t="shared" si="4"/>
        <v>0</v>
      </c>
    </row>
    <row r="11" spans="1:22">
      <c r="A11" s="356"/>
      <c r="B11" s="356"/>
      <c r="C11" s="379"/>
      <c r="F11" s="379"/>
      <c r="U11" s="389">
        <f t="shared" si="0"/>
        <v>0</v>
      </c>
      <c r="V11" s="391">
        <f t="shared" si="4"/>
        <v>0</v>
      </c>
    </row>
    <row r="12" spans="1:22">
      <c r="A12" s="356" t="s">
        <v>461</v>
      </c>
      <c r="B12" s="356" t="s">
        <v>286</v>
      </c>
      <c r="C12" s="390">
        <v>4.07</v>
      </c>
      <c r="D12" s="391">
        <v>28057.43</v>
      </c>
      <c r="F12" s="377">
        <v>4.1399999999999997</v>
      </c>
      <c r="G12" s="391">
        <v>191935.05</v>
      </c>
      <c r="I12" s="391">
        <f t="shared" ref="I12:I19" si="5">D12+G12</f>
        <v>219992.47999999998</v>
      </c>
      <c r="J12" s="389">
        <f t="shared" ref="J12:J19" si="6">D12/C12+G12/F12</f>
        <v>53254.84063312324</v>
      </c>
      <c r="K12" s="389">
        <f t="shared" ref="K12:K19" si="7">J12/12</f>
        <v>4437.9033860936033</v>
      </c>
      <c r="P12" s="391">
        <f t="shared" ref="P12:P19" si="8">I12</f>
        <v>219992.47999999998</v>
      </c>
      <c r="U12" s="389">
        <f t="shared" si="0"/>
        <v>219992.47999999998</v>
      </c>
      <c r="V12" s="391">
        <f t="shared" si="4"/>
        <v>0</v>
      </c>
    </row>
    <row r="13" spans="1:22">
      <c r="A13" s="356" t="s">
        <v>462</v>
      </c>
      <c r="B13" s="356" t="s">
        <v>287</v>
      </c>
      <c r="C13" s="390">
        <v>8.25</v>
      </c>
      <c r="D13" s="391">
        <v>206.25</v>
      </c>
      <c r="F13" s="390">
        <v>8.25</v>
      </c>
      <c r="G13" s="391">
        <v>1146.75</v>
      </c>
      <c r="I13" s="391">
        <f t="shared" si="5"/>
        <v>1353</v>
      </c>
      <c r="J13" s="389">
        <f t="shared" si="6"/>
        <v>164</v>
      </c>
      <c r="K13" s="389">
        <f t="shared" si="7"/>
        <v>13.666666666666666</v>
      </c>
      <c r="P13" s="391">
        <f t="shared" si="8"/>
        <v>1353</v>
      </c>
      <c r="U13" s="389">
        <f t="shared" si="0"/>
        <v>1353</v>
      </c>
      <c r="V13" s="391">
        <f t="shared" si="4"/>
        <v>0</v>
      </c>
    </row>
    <row r="14" spans="1:22">
      <c r="A14" s="356" t="s">
        <v>463</v>
      </c>
      <c r="B14" s="356" t="s">
        <v>288</v>
      </c>
      <c r="C14" s="390">
        <v>4.62</v>
      </c>
      <c r="D14" s="391">
        <v>1756.27</v>
      </c>
      <c r="F14" s="390">
        <v>4.62</v>
      </c>
      <c r="G14" s="391">
        <v>6404.0650000000005</v>
      </c>
      <c r="I14" s="391">
        <f t="shared" si="5"/>
        <v>8160.3350000000009</v>
      </c>
      <c r="J14" s="389">
        <f t="shared" si="6"/>
        <v>1766.3062770562772</v>
      </c>
      <c r="K14" s="389">
        <f t="shared" si="7"/>
        <v>147.19218975468976</v>
      </c>
      <c r="P14" s="391">
        <f t="shared" si="8"/>
        <v>8160.3350000000009</v>
      </c>
      <c r="U14" s="389">
        <f t="shared" si="0"/>
        <v>8160.3350000000009</v>
      </c>
      <c r="V14" s="391">
        <f t="shared" si="4"/>
        <v>0</v>
      </c>
    </row>
    <row r="15" spans="1:22">
      <c r="A15" s="356" t="s">
        <v>464</v>
      </c>
      <c r="B15" s="356" t="s">
        <v>289</v>
      </c>
      <c r="C15" s="390">
        <v>2.06</v>
      </c>
      <c r="D15" s="391">
        <v>237.91000000000003</v>
      </c>
      <c r="F15" s="390">
        <v>2.06</v>
      </c>
      <c r="G15" s="391">
        <v>682.89</v>
      </c>
      <c r="I15" s="391">
        <f t="shared" si="5"/>
        <v>920.8</v>
      </c>
      <c r="J15" s="389">
        <f t="shared" si="6"/>
        <v>446.99029126213594</v>
      </c>
      <c r="K15" s="389">
        <f t="shared" si="7"/>
        <v>37.249190938511326</v>
      </c>
      <c r="P15" s="391">
        <f t="shared" si="8"/>
        <v>920.8</v>
      </c>
      <c r="U15" s="389">
        <f t="shared" si="0"/>
        <v>920.8</v>
      </c>
      <c r="V15" s="391">
        <f t="shared" si="4"/>
        <v>0</v>
      </c>
    </row>
    <row r="16" spans="1:22">
      <c r="A16" s="356" t="s">
        <v>465</v>
      </c>
      <c r="B16" s="356" t="s">
        <v>290</v>
      </c>
      <c r="C16" s="390">
        <v>0.77</v>
      </c>
      <c r="D16" s="391">
        <v>5.3900000000000006</v>
      </c>
      <c r="F16" s="390">
        <v>0.77</v>
      </c>
      <c r="G16" s="391">
        <v>18.480000000000004</v>
      </c>
      <c r="I16" s="391">
        <f t="shared" si="5"/>
        <v>23.870000000000005</v>
      </c>
      <c r="J16" s="389">
        <f t="shared" si="6"/>
        <v>31.000000000000004</v>
      </c>
      <c r="K16" s="389">
        <f t="shared" si="7"/>
        <v>2.5833333333333335</v>
      </c>
      <c r="P16" s="391">
        <f t="shared" si="8"/>
        <v>23.870000000000005</v>
      </c>
      <c r="U16" s="389">
        <f t="shared" si="0"/>
        <v>23.870000000000005</v>
      </c>
      <c r="V16" s="391">
        <f t="shared" si="4"/>
        <v>0</v>
      </c>
    </row>
    <row r="17" spans="1:22">
      <c r="A17" s="356" t="s">
        <v>466</v>
      </c>
      <c r="B17" s="356" t="s">
        <v>291</v>
      </c>
      <c r="C17" s="390">
        <v>0.77</v>
      </c>
      <c r="D17" s="391">
        <v>0</v>
      </c>
      <c r="F17" s="390">
        <v>0.77</v>
      </c>
      <c r="G17" s="391">
        <v>0</v>
      </c>
      <c r="I17" s="391">
        <f t="shared" si="5"/>
        <v>0</v>
      </c>
      <c r="J17" s="389">
        <f t="shared" si="6"/>
        <v>0</v>
      </c>
      <c r="K17" s="389">
        <f t="shared" si="7"/>
        <v>0</v>
      </c>
      <c r="P17" s="391">
        <f t="shared" si="8"/>
        <v>0</v>
      </c>
      <c r="U17" s="389">
        <f t="shared" si="0"/>
        <v>0</v>
      </c>
      <c r="V17" s="391">
        <f t="shared" si="4"/>
        <v>0</v>
      </c>
    </row>
    <row r="18" spans="1:22">
      <c r="A18" s="356" t="s">
        <v>467</v>
      </c>
      <c r="B18" s="356" t="s">
        <v>292</v>
      </c>
      <c r="C18" s="390">
        <v>0.77</v>
      </c>
      <c r="D18" s="391">
        <v>1.54</v>
      </c>
      <c r="F18" s="390">
        <v>0.77</v>
      </c>
      <c r="G18" s="391">
        <v>4.43</v>
      </c>
      <c r="I18" s="391">
        <f t="shared" si="5"/>
        <v>5.97</v>
      </c>
      <c r="J18" s="389">
        <f t="shared" si="6"/>
        <v>7.7532467532467528</v>
      </c>
      <c r="K18" s="389">
        <f t="shared" si="7"/>
        <v>0.64610389610389607</v>
      </c>
      <c r="P18" s="391">
        <f t="shared" si="8"/>
        <v>5.97</v>
      </c>
      <c r="U18" s="389">
        <f t="shared" si="0"/>
        <v>5.97</v>
      </c>
      <c r="V18" s="391">
        <f t="shared" si="4"/>
        <v>0</v>
      </c>
    </row>
    <row r="19" spans="1:22">
      <c r="A19" s="364" t="s">
        <v>468</v>
      </c>
      <c r="B19" s="356" t="s">
        <v>293</v>
      </c>
      <c r="C19" s="377">
        <v>7.81</v>
      </c>
      <c r="D19" s="391">
        <v>46.86</v>
      </c>
      <c r="F19" s="377">
        <v>7.81</v>
      </c>
      <c r="G19" s="391">
        <v>574.38</v>
      </c>
      <c r="I19" s="391">
        <f t="shared" si="5"/>
        <v>621.24</v>
      </c>
      <c r="J19" s="389">
        <f t="shared" si="6"/>
        <v>79.544174135723438</v>
      </c>
      <c r="K19" s="389">
        <f t="shared" si="7"/>
        <v>6.6286811779769534</v>
      </c>
      <c r="P19" s="391">
        <f t="shared" si="8"/>
        <v>621.24</v>
      </c>
      <c r="U19" s="389">
        <f t="shared" si="0"/>
        <v>621.24</v>
      </c>
      <c r="V19" s="391">
        <f t="shared" si="4"/>
        <v>0</v>
      </c>
    </row>
    <row r="20" spans="1:22">
      <c r="A20" s="356"/>
      <c r="B20" s="356"/>
      <c r="C20" s="379"/>
      <c r="F20" s="379"/>
      <c r="U20" s="389">
        <f t="shared" si="0"/>
        <v>0</v>
      </c>
      <c r="V20" s="391">
        <f t="shared" si="4"/>
        <v>0</v>
      </c>
    </row>
    <row r="21" spans="1:22">
      <c r="A21" s="365" t="s">
        <v>469</v>
      </c>
      <c r="B21" s="365" t="s">
        <v>294</v>
      </c>
      <c r="C21" s="377">
        <v>10.66</v>
      </c>
      <c r="D21" s="391">
        <v>2278.5749999999998</v>
      </c>
      <c r="F21" s="377">
        <v>10.66</v>
      </c>
      <c r="G21" s="391">
        <v>9301.69</v>
      </c>
      <c r="I21" s="391">
        <f t="shared" ref="I21:I24" si="9">D21+G21</f>
        <v>11580.264999999999</v>
      </c>
      <c r="J21" s="389">
        <f t="shared" ref="J21:J24" si="10">D21/C21+G21/F21</f>
        <v>1086.3287992495309</v>
      </c>
      <c r="K21" s="389">
        <f t="shared" ref="K21:K24" si="11">J21/12</f>
        <v>90.527399937460913</v>
      </c>
      <c r="M21" s="391">
        <f>I21</f>
        <v>11580.264999999999</v>
      </c>
      <c r="U21" s="389">
        <f t="shared" si="0"/>
        <v>11580.264999999999</v>
      </c>
      <c r="V21" s="391">
        <f t="shared" si="4"/>
        <v>0</v>
      </c>
    </row>
    <row r="22" spans="1:22">
      <c r="A22" s="356" t="s">
        <v>470</v>
      </c>
      <c r="B22" s="356" t="s">
        <v>295</v>
      </c>
      <c r="C22" s="377">
        <v>20.72</v>
      </c>
      <c r="D22" s="391">
        <v>103.6</v>
      </c>
      <c r="F22" s="377">
        <v>20.72</v>
      </c>
      <c r="G22" s="391">
        <v>372.95999999999992</v>
      </c>
      <c r="I22" s="391">
        <f t="shared" si="9"/>
        <v>476.55999999999995</v>
      </c>
      <c r="J22" s="389">
        <f t="shared" si="10"/>
        <v>22.999999999999996</v>
      </c>
      <c r="K22" s="389">
        <f t="shared" si="11"/>
        <v>1.9166666666666663</v>
      </c>
      <c r="M22" s="391">
        <f t="shared" ref="M22:M24" si="12">I22</f>
        <v>476.55999999999995</v>
      </c>
      <c r="U22" s="389">
        <f t="shared" si="0"/>
        <v>476.55999999999995</v>
      </c>
      <c r="V22" s="391">
        <f t="shared" si="4"/>
        <v>0</v>
      </c>
    </row>
    <row r="23" spans="1:22">
      <c r="A23" s="356" t="s">
        <v>471</v>
      </c>
      <c r="B23" s="356" t="s">
        <v>166</v>
      </c>
      <c r="C23" s="377">
        <v>12.43</v>
      </c>
      <c r="D23" s="391">
        <v>62.15</v>
      </c>
      <c r="F23" s="377">
        <v>12.43</v>
      </c>
      <c r="G23" s="391">
        <v>385.33</v>
      </c>
      <c r="I23" s="391">
        <f t="shared" si="9"/>
        <v>447.47999999999996</v>
      </c>
      <c r="J23" s="389">
        <f t="shared" si="10"/>
        <v>36</v>
      </c>
      <c r="K23" s="389">
        <f t="shared" si="11"/>
        <v>3</v>
      </c>
      <c r="M23" s="391">
        <f t="shared" si="12"/>
        <v>447.47999999999996</v>
      </c>
      <c r="U23" s="389">
        <f t="shared" si="0"/>
        <v>447.47999999999996</v>
      </c>
      <c r="V23" s="391">
        <f t="shared" si="4"/>
        <v>0</v>
      </c>
    </row>
    <row r="24" spans="1:22">
      <c r="A24" s="356" t="s">
        <v>472</v>
      </c>
      <c r="B24" s="356" t="s">
        <v>296</v>
      </c>
      <c r="C24" s="377">
        <v>4.4400000000000004</v>
      </c>
      <c r="D24" s="391">
        <v>834.90000000000009</v>
      </c>
      <c r="F24" s="377">
        <v>4.4400000000000004</v>
      </c>
      <c r="G24" s="391">
        <v>2797.1999999999994</v>
      </c>
      <c r="I24" s="391">
        <f t="shared" si="9"/>
        <v>3632.0999999999995</v>
      </c>
      <c r="J24" s="389">
        <f t="shared" si="10"/>
        <v>818.04054054054029</v>
      </c>
      <c r="K24" s="389">
        <f t="shared" si="11"/>
        <v>68.170045045045029</v>
      </c>
      <c r="M24" s="391">
        <f t="shared" si="12"/>
        <v>3632.0999999999995</v>
      </c>
      <c r="U24" s="389">
        <f t="shared" si="0"/>
        <v>3632.0999999999995</v>
      </c>
      <c r="V24" s="391">
        <f t="shared" si="4"/>
        <v>0</v>
      </c>
    </row>
    <row r="25" spans="1:22">
      <c r="A25" s="356"/>
      <c r="B25" s="356"/>
      <c r="C25" s="377"/>
      <c r="F25" s="377"/>
      <c r="U25" s="389">
        <f t="shared" si="0"/>
        <v>0</v>
      </c>
      <c r="V25" s="391">
        <f t="shared" si="4"/>
        <v>0</v>
      </c>
    </row>
    <row r="26" spans="1:22">
      <c r="A26" s="356" t="s">
        <v>473</v>
      </c>
      <c r="B26" s="356" t="s">
        <v>297</v>
      </c>
      <c r="C26" s="377">
        <v>4.54</v>
      </c>
      <c r="F26" s="377">
        <v>4.54</v>
      </c>
      <c r="G26" s="391">
        <v>193.64999999999998</v>
      </c>
      <c r="I26" s="391">
        <f t="shared" ref="I26:I30" si="13">D26+G26</f>
        <v>193.64999999999998</v>
      </c>
      <c r="J26" s="389">
        <f t="shared" ref="J26:J30" si="14">D26/C26+G26/F26</f>
        <v>42.654185022026425</v>
      </c>
      <c r="K26" s="389">
        <f t="shared" ref="K26:K30" si="15">J26/12</f>
        <v>3.5545154185022021</v>
      </c>
      <c r="N26" s="391">
        <f>I26</f>
        <v>193.64999999999998</v>
      </c>
      <c r="U26" s="389">
        <f t="shared" si="0"/>
        <v>193.64999999999998</v>
      </c>
      <c r="V26" s="391">
        <f t="shared" si="4"/>
        <v>0</v>
      </c>
    </row>
    <row r="27" spans="1:22">
      <c r="A27" s="356" t="s">
        <v>474</v>
      </c>
      <c r="B27" s="356" t="s">
        <v>298</v>
      </c>
      <c r="C27" s="377">
        <v>11.6</v>
      </c>
      <c r="D27" s="391">
        <v>11.6</v>
      </c>
      <c r="F27" s="377">
        <v>11.6</v>
      </c>
      <c r="G27" s="391">
        <v>104.39999999999999</v>
      </c>
      <c r="I27" s="391">
        <f t="shared" si="13"/>
        <v>115.99999999999999</v>
      </c>
      <c r="J27" s="389">
        <f t="shared" si="14"/>
        <v>10</v>
      </c>
      <c r="K27" s="389">
        <f t="shared" si="15"/>
        <v>0.83333333333333337</v>
      </c>
      <c r="N27" s="391">
        <f>I27</f>
        <v>115.99999999999999</v>
      </c>
      <c r="U27" s="389">
        <f t="shared" si="0"/>
        <v>115.99999999999999</v>
      </c>
      <c r="V27" s="391">
        <f t="shared" si="4"/>
        <v>0</v>
      </c>
    </row>
    <row r="28" spans="1:22">
      <c r="A28" s="356" t="s">
        <v>475</v>
      </c>
      <c r="B28" s="356" t="s">
        <v>299</v>
      </c>
      <c r="C28" s="390">
        <v>6.53</v>
      </c>
      <c r="D28" s="391">
        <v>132630.91500000001</v>
      </c>
      <c r="F28" s="390">
        <v>6.53</v>
      </c>
      <c r="G28" s="391">
        <v>526847.56499999994</v>
      </c>
      <c r="I28" s="391">
        <f t="shared" si="13"/>
        <v>659478.48</v>
      </c>
      <c r="J28" s="389">
        <f t="shared" si="14"/>
        <v>100992.11026033689</v>
      </c>
      <c r="K28" s="389">
        <f t="shared" si="15"/>
        <v>8416.0091883614077</v>
      </c>
      <c r="N28" s="391">
        <f t="shared" ref="N28:N30" si="16">I28</f>
        <v>659478.48</v>
      </c>
      <c r="U28" s="389">
        <f t="shared" si="0"/>
        <v>659478.48</v>
      </c>
      <c r="V28" s="391">
        <f t="shared" si="4"/>
        <v>0</v>
      </c>
    </row>
    <row r="29" spans="1:22">
      <c r="A29" s="356" t="s">
        <v>476</v>
      </c>
      <c r="B29" s="356" t="s">
        <v>300</v>
      </c>
      <c r="C29" s="390">
        <v>19.34</v>
      </c>
      <c r="D29" s="391">
        <v>38.68</v>
      </c>
      <c r="F29" s="390">
        <v>19.34</v>
      </c>
      <c r="G29" s="391">
        <v>251.42000000000002</v>
      </c>
      <c r="I29" s="391">
        <f t="shared" si="13"/>
        <v>290.10000000000002</v>
      </c>
      <c r="J29" s="389">
        <f t="shared" si="14"/>
        <v>15.000000000000002</v>
      </c>
      <c r="K29" s="389">
        <f t="shared" si="15"/>
        <v>1.2500000000000002</v>
      </c>
      <c r="N29" s="391">
        <f t="shared" si="16"/>
        <v>290.10000000000002</v>
      </c>
      <c r="U29" s="389">
        <f t="shared" si="0"/>
        <v>290.10000000000002</v>
      </c>
      <c r="V29" s="391">
        <f t="shared" si="4"/>
        <v>0</v>
      </c>
    </row>
    <row r="30" spans="1:22">
      <c r="A30" s="356" t="s">
        <v>477</v>
      </c>
      <c r="B30" s="356" t="s">
        <v>301</v>
      </c>
      <c r="C30" s="390">
        <v>2.1</v>
      </c>
      <c r="D30" s="391">
        <v>86.1</v>
      </c>
      <c r="F30" s="390">
        <v>2.1</v>
      </c>
      <c r="G30" s="391">
        <v>552.29999999999995</v>
      </c>
      <c r="I30" s="391">
        <f t="shared" si="13"/>
        <v>638.4</v>
      </c>
      <c r="J30" s="389">
        <f t="shared" si="14"/>
        <v>303.99999999999994</v>
      </c>
      <c r="K30" s="389">
        <f t="shared" si="15"/>
        <v>25.333333333333329</v>
      </c>
      <c r="N30" s="391">
        <f t="shared" si="16"/>
        <v>638.4</v>
      </c>
      <c r="U30" s="389">
        <f t="shared" si="0"/>
        <v>638.4</v>
      </c>
      <c r="V30" s="391">
        <f t="shared" si="4"/>
        <v>0</v>
      </c>
    </row>
    <row r="31" spans="1:22">
      <c r="A31" s="356"/>
      <c r="B31" s="356"/>
      <c r="C31" s="379"/>
      <c r="F31" s="379"/>
      <c r="U31" s="389">
        <f t="shared" si="0"/>
        <v>0</v>
      </c>
      <c r="V31" s="391">
        <f t="shared" si="4"/>
        <v>0</v>
      </c>
    </row>
    <row r="32" spans="1:22">
      <c r="A32" s="356" t="s">
        <v>478</v>
      </c>
      <c r="B32" s="356" t="s">
        <v>302</v>
      </c>
      <c r="C32" s="390">
        <v>13.11</v>
      </c>
      <c r="D32" s="391">
        <v>16484.170000000002</v>
      </c>
      <c r="F32" s="377">
        <v>13.3</v>
      </c>
      <c r="G32" s="391">
        <v>68018.214999999997</v>
      </c>
      <c r="I32" s="391">
        <f t="shared" ref="I32:I50" si="17">D32+G32</f>
        <v>84502.384999999995</v>
      </c>
      <c r="J32" s="389">
        <f t="shared" ref="J32:J48" si="18">D32/C32+G32/F32</f>
        <v>6371.5252642475753</v>
      </c>
      <c r="K32" s="389">
        <f t="shared" ref="K32:K48" si="19">J32/12</f>
        <v>530.96043868729794</v>
      </c>
      <c r="P32" s="391">
        <f>I32</f>
        <v>84502.384999999995</v>
      </c>
      <c r="U32" s="389">
        <f t="shared" si="0"/>
        <v>84502.384999999995</v>
      </c>
      <c r="V32" s="391">
        <f t="shared" si="4"/>
        <v>0</v>
      </c>
    </row>
    <row r="33" spans="1:22">
      <c r="A33" s="356" t="s">
        <v>479</v>
      </c>
      <c r="B33" s="356" t="s">
        <v>303</v>
      </c>
      <c r="C33" s="390">
        <v>14.11</v>
      </c>
      <c r="D33" s="391">
        <v>262.8</v>
      </c>
      <c r="F33" s="377">
        <v>14.3</v>
      </c>
      <c r="G33" s="391">
        <v>673.24</v>
      </c>
      <c r="I33" s="391">
        <f t="shared" si="17"/>
        <v>936.04</v>
      </c>
      <c r="J33" s="389">
        <f t="shared" si="18"/>
        <v>65.704808869373011</v>
      </c>
      <c r="K33" s="389">
        <f t="shared" si="19"/>
        <v>5.4754007391144173</v>
      </c>
      <c r="M33" s="393">
        <f>(C33-C32)*J33</f>
        <v>65.704808869373011</v>
      </c>
      <c r="P33" s="391">
        <f>I33-M33</f>
        <v>870.33519113062698</v>
      </c>
      <c r="U33" s="389">
        <f t="shared" si="0"/>
        <v>936.04</v>
      </c>
      <c r="V33" s="391">
        <f t="shared" si="4"/>
        <v>0</v>
      </c>
    </row>
    <row r="34" spans="1:22">
      <c r="A34" s="356" t="s">
        <v>480</v>
      </c>
      <c r="B34" s="356" t="s">
        <v>304</v>
      </c>
      <c r="C34" s="390">
        <v>10.23</v>
      </c>
      <c r="D34" s="391">
        <v>6587.5349999999999</v>
      </c>
      <c r="F34" s="377">
        <v>10.3</v>
      </c>
      <c r="G34" s="391">
        <v>27180.799999999999</v>
      </c>
      <c r="I34" s="391">
        <f t="shared" si="17"/>
        <v>33768.334999999999</v>
      </c>
      <c r="J34" s="389">
        <f t="shared" si="18"/>
        <v>3282.85543660849</v>
      </c>
      <c r="K34" s="389">
        <f t="shared" si="19"/>
        <v>273.57128638404083</v>
      </c>
      <c r="M34" s="393"/>
      <c r="P34" s="391">
        <f t="shared" ref="P34:P48" si="20">I34-M34</f>
        <v>33768.334999999999</v>
      </c>
      <c r="U34" s="389">
        <f t="shared" si="0"/>
        <v>33768.334999999999</v>
      </c>
      <c r="V34" s="391">
        <f t="shared" si="4"/>
        <v>0</v>
      </c>
    </row>
    <row r="35" spans="1:22">
      <c r="A35" s="356" t="s">
        <v>481</v>
      </c>
      <c r="B35" s="356" t="s">
        <v>305</v>
      </c>
      <c r="C35" s="390">
        <v>16.3</v>
      </c>
      <c r="D35" s="391">
        <v>493951.14999999997</v>
      </c>
      <c r="F35" s="377">
        <v>16.62</v>
      </c>
      <c r="G35" s="391">
        <v>1990369.895</v>
      </c>
      <c r="I35" s="391">
        <f t="shared" si="17"/>
        <v>2484321.0449999999</v>
      </c>
      <c r="J35" s="389">
        <f t="shared" si="18"/>
        <v>150061.2662750179</v>
      </c>
      <c r="K35" s="389">
        <f t="shared" si="19"/>
        <v>12505.105522918158</v>
      </c>
      <c r="M35" s="393"/>
      <c r="P35" s="391">
        <f t="shared" si="20"/>
        <v>2484321.0449999999</v>
      </c>
      <c r="U35" s="389">
        <f t="shared" si="0"/>
        <v>2484321.0449999999</v>
      </c>
      <c r="V35" s="391">
        <f t="shared" si="4"/>
        <v>0</v>
      </c>
    </row>
    <row r="36" spans="1:22">
      <c r="A36" s="356" t="s">
        <v>482</v>
      </c>
      <c r="B36" s="356" t="s">
        <v>306</v>
      </c>
      <c r="C36" s="390">
        <v>17.3</v>
      </c>
      <c r="D36" s="391">
        <v>8801.380000000001</v>
      </c>
      <c r="F36" s="377">
        <v>17.62</v>
      </c>
      <c r="G36" s="391">
        <v>34484.99</v>
      </c>
      <c r="I36" s="391">
        <f t="shared" si="17"/>
        <v>43286.369999999995</v>
      </c>
      <c r="J36" s="389">
        <f t="shared" si="18"/>
        <v>2465.9006862931637</v>
      </c>
      <c r="K36" s="389">
        <f t="shared" si="19"/>
        <v>205.49172385776365</v>
      </c>
      <c r="M36" s="393">
        <f>(C36-C35)*J36</f>
        <v>2465.9006862931637</v>
      </c>
      <c r="P36" s="391">
        <f t="shared" si="20"/>
        <v>40820.469313706832</v>
      </c>
      <c r="U36" s="389">
        <f t="shared" si="0"/>
        <v>43286.369999999995</v>
      </c>
      <c r="V36" s="391">
        <f t="shared" si="4"/>
        <v>0</v>
      </c>
    </row>
    <row r="37" spans="1:22">
      <c r="A37" s="356" t="s">
        <v>483</v>
      </c>
      <c r="B37" s="356" t="s">
        <v>307</v>
      </c>
      <c r="C37" s="390">
        <v>23.94</v>
      </c>
      <c r="D37" s="391">
        <v>223631.49</v>
      </c>
      <c r="F37" s="377">
        <v>24.43</v>
      </c>
      <c r="G37" s="391">
        <v>883031.79500000004</v>
      </c>
      <c r="I37" s="391">
        <f t="shared" si="17"/>
        <v>1106663.2850000001</v>
      </c>
      <c r="J37" s="389">
        <f t="shared" si="18"/>
        <v>45486.718695018353</v>
      </c>
      <c r="K37" s="389">
        <f t="shared" si="19"/>
        <v>3790.5598912515293</v>
      </c>
      <c r="M37" s="393"/>
      <c r="P37" s="391">
        <f t="shared" si="20"/>
        <v>1106663.2850000001</v>
      </c>
      <c r="U37" s="389">
        <f t="shared" si="0"/>
        <v>1106663.2850000001</v>
      </c>
      <c r="V37" s="391">
        <f t="shared" si="4"/>
        <v>0</v>
      </c>
    </row>
    <row r="38" spans="1:22">
      <c r="A38" s="356" t="s">
        <v>484</v>
      </c>
      <c r="B38" s="356" t="s">
        <v>308</v>
      </c>
      <c r="C38" s="390">
        <v>25.94</v>
      </c>
      <c r="D38" s="391">
        <v>3647.8100000000004</v>
      </c>
      <c r="F38" s="377">
        <v>26.43</v>
      </c>
      <c r="G38" s="391">
        <v>13751.474999999999</v>
      </c>
      <c r="I38" s="391">
        <f t="shared" si="17"/>
        <v>17399.285</v>
      </c>
      <c r="J38" s="389">
        <f t="shared" si="18"/>
        <v>660.92286049094332</v>
      </c>
      <c r="K38" s="389">
        <f t="shared" si="19"/>
        <v>55.076905040911946</v>
      </c>
      <c r="M38" s="393">
        <f>(C38-C37)*J38</f>
        <v>1321.8457209818866</v>
      </c>
      <c r="P38" s="391">
        <f t="shared" si="20"/>
        <v>16077.439279018114</v>
      </c>
      <c r="U38" s="389">
        <f t="shared" si="0"/>
        <v>17399.285</v>
      </c>
      <c r="V38" s="391">
        <f t="shared" si="4"/>
        <v>0</v>
      </c>
    </row>
    <row r="39" spans="1:22">
      <c r="A39" s="356" t="s">
        <v>485</v>
      </c>
      <c r="B39" s="356" t="s">
        <v>309</v>
      </c>
      <c r="C39" s="390">
        <v>33.159999999999997</v>
      </c>
      <c r="D39" s="391">
        <v>21554.57</v>
      </c>
      <c r="F39" s="377">
        <v>33.9</v>
      </c>
      <c r="G39" s="391">
        <v>85964.615000000005</v>
      </c>
      <c r="I39" s="391">
        <f t="shared" si="17"/>
        <v>107519.185</v>
      </c>
      <c r="J39" s="389">
        <f t="shared" si="18"/>
        <v>3185.8465404172498</v>
      </c>
      <c r="K39" s="389">
        <f t="shared" si="19"/>
        <v>265.4872117014375</v>
      </c>
      <c r="M39" s="393"/>
      <c r="P39" s="391">
        <f t="shared" si="20"/>
        <v>107519.185</v>
      </c>
      <c r="U39" s="389">
        <f t="shared" si="0"/>
        <v>107519.185</v>
      </c>
      <c r="V39" s="391">
        <f t="shared" si="4"/>
        <v>0</v>
      </c>
    </row>
    <row r="40" spans="1:22">
      <c r="A40" s="356" t="s">
        <v>486</v>
      </c>
      <c r="B40" s="356" t="s">
        <v>310</v>
      </c>
      <c r="C40" s="390">
        <v>36.159999999999997</v>
      </c>
      <c r="D40" s="391">
        <v>325.43999999999994</v>
      </c>
      <c r="F40" s="377">
        <v>36.9</v>
      </c>
      <c r="G40" s="391">
        <v>1632.6399999999996</v>
      </c>
      <c r="I40" s="391">
        <f t="shared" si="17"/>
        <v>1958.0799999999995</v>
      </c>
      <c r="J40" s="389">
        <f t="shared" si="18"/>
        <v>53.244986449864491</v>
      </c>
      <c r="K40" s="389">
        <f t="shared" si="19"/>
        <v>4.4370822041553746</v>
      </c>
      <c r="M40" s="393">
        <f>(C40-C39)*J40</f>
        <v>159.73495934959348</v>
      </c>
      <c r="P40" s="391">
        <f t="shared" si="20"/>
        <v>1798.345040650406</v>
      </c>
      <c r="U40" s="389">
        <f t="shared" si="0"/>
        <v>1958.0799999999995</v>
      </c>
      <c r="V40" s="391">
        <f t="shared" si="4"/>
        <v>0</v>
      </c>
    </row>
    <row r="41" spans="1:22">
      <c r="A41" s="356" t="s">
        <v>487</v>
      </c>
      <c r="B41" s="356" t="s">
        <v>311</v>
      </c>
      <c r="C41" s="390">
        <v>43.64</v>
      </c>
      <c r="D41" s="391">
        <v>2416.5650000000001</v>
      </c>
      <c r="F41" s="377">
        <v>44.57</v>
      </c>
      <c r="G41" s="391">
        <v>11338.14</v>
      </c>
      <c r="I41" s="391">
        <f t="shared" si="17"/>
        <v>13754.705</v>
      </c>
      <c r="J41" s="389">
        <f t="shared" si="18"/>
        <v>309.76449966345075</v>
      </c>
      <c r="K41" s="389">
        <f t="shared" si="19"/>
        <v>25.813708305287562</v>
      </c>
      <c r="M41" s="393"/>
      <c r="P41" s="391">
        <f t="shared" si="20"/>
        <v>13754.705</v>
      </c>
      <c r="U41" s="389">
        <f t="shared" si="0"/>
        <v>13754.705</v>
      </c>
      <c r="V41" s="391">
        <f t="shared" si="4"/>
        <v>0</v>
      </c>
    </row>
    <row r="42" spans="1:22">
      <c r="A42" s="356" t="s">
        <v>488</v>
      </c>
      <c r="B42" s="356" t="s">
        <v>312</v>
      </c>
      <c r="C42" s="390">
        <v>47.64</v>
      </c>
      <c r="D42" s="391">
        <v>238.2</v>
      </c>
      <c r="F42" s="377">
        <v>48.57</v>
      </c>
      <c r="G42" s="391">
        <v>426.15</v>
      </c>
      <c r="I42" s="391">
        <f t="shared" si="17"/>
        <v>664.34999999999991</v>
      </c>
      <c r="J42" s="389">
        <f t="shared" si="18"/>
        <v>13.773934527486102</v>
      </c>
      <c r="K42" s="389">
        <f t="shared" si="19"/>
        <v>1.1478278772905084</v>
      </c>
      <c r="M42" s="393">
        <f>(C42-C41)*J42</f>
        <v>55.095738109944406</v>
      </c>
      <c r="P42" s="391">
        <f t="shared" si="20"/>
        <v>609.25426189005555</v>
      </c>
      <c r="U42" s="389">
        <f t="shared" si="0"/>
        <v>664.34999999999991</v>
      </c>
      <c r="V42" s="391">
        <f t="shared" si="4"/>
        <v>0</v>
      </c>
    </row>
    <row r="43" spans="1:22">
      <c r="A43" s="356" t="s">
        <v>489</v>
      </c>
      <c r="B43" s="356" t="s">
        <v>313</v>
      </c>
      <c r="C43" s="390">
        <v>53</v>
      </c>
      <c r="D43" s="391">
        <v>318</v>
      </c>
      <c r="F43" s="377">
        <v>54.12</v>
      </c>
      <c r="G43" s="391">
        <v>1217.7</v>
      </c>
      <c r="I43" s="391">
        <f t="shared" si="17"/>
        <v>1535.7</v>
      </c>
      <c r="J43" s="389">
        <f t="shared" si="18"/>
        <v>28.500000000000004</v>
      </c>
      <c r="K43" s="389">
        <f t="shared" si="19"/>
        <v>2.3750000000000004</v>
      </c>
      <c r="M43" s="393"/>
      <c r="P43" s="391">
        <f t="shared" si="20"/>
        <v>1535.7</v>
      </c>
      <c r="U43" s="389">
        <f t="shared" si="0"/>
        <v>1535.7</v>
      </c>
      <c r="V43" s="391">
        <f t="shared" si="4"/>
        <v>0</v>
      </c>
    </row>
    <row r="44" spans="1:22">
      <c r="A44" s="356" t="s">
        <v>490</v>
      </c>
      <c r="B44" s="356" t="s">
        <v>314</v>
      </c>
      <c r="C44" s="390">
        <v>58</v>
      </c>
      <c r="D44" s="391">
        <v>0</v>
      </c>
      <c r="F44" s="377">
        <v>59.12</v>
      </c>
      <c r="G44" s="391">
        <v>0</v>
      </c>
      <c r="I44" s="391">
        <f t="shared" si="17"/>
        <v>0</v>
      </c>
      <c r="J44" s="389">
        <f t="shared" si="18"/>
        <v>0</v>
      </c>
      <c r="K44" s="389">
        <f t="shared" si="19"/>
        <v>0</v>
      </c>
      <c r="M44" s="393">
        <f>(C44-C43)*J44</f>
        <v>0</v>
      </c>
      <c r="P44" s="391">
        <f t="shared" si="20"/>
        <v>0</v>
      </c>
      <c r="U44" s="389">
        <f t="shared" si="0"/>
        <v>0</v>
      </c>
      <c r="V44" s="391">
        <f t="shared" si="4"/>
        <v>0</v>
      </c>
    </row>
    <row r="45" spans="1:22">
      <c r="A45" s="356" t="s">
        <v>491</v>
      </c>
      <c r="B45" s="356" t="s">
        <v>315</v>
      </c>
      <c r="C45" s="390">
        <v>58.16</v>
      </c>
      <c r="D45" s="391">
        <v>0</v>
      </c>
      <c r="F45" s="377">
        <v>59.66</v>
      </c>
      <c r="G45" s="391">
        <v>1190.95</v>
      </c>
      <c r="I45" s="391">
        <f t="shared" si="17"/>
        <v>1190.95</v>
      </c>
      <c r="J45" s="389">
        <f t="shared" si="18"/>
        <v>19.962286288970837</v>
      </c>
      <c r="K45" s="389">
        <f t="shared" si="19"/>
        <v>1.6635238574142364</v>
      </c>
      <c r="M45" s="393"/>
      <c r="P45" s="391">
        <f t="shared" si="20"/>
        <v>1190.95</v>
      </c>
      <c r="U45" s="389">
        <f t="shared" si="0"/>
        <v>1190.95</v>
      </c>
      <c r="V45" s="391">
        <f t="shared" si="4"/>
        <v>0</v>
      </c>
    </row>
    <row r="46" spans="1:22">
      <c r="A46" s="356" t="s">
        <v>492</v>
      </c>
      <c r="B46" s="356" t="s">
        <v>316</v>
      </c>
      <c r="C46" s="390">
        <v>64.16</v>
      </c>
      <c r="D46" s="391">
        <v>0</v>
      </c>
      <c r="F46" s="377">
        <v>65.66</v>
      </c>
      <c r="G46" s="391">
        <v>0</v>
      </c>
      <c r="I46" s="391">
        <f t="shared" si="17"/>
        <v>0</v>
      </c>
      <c r="J46" s="389">
        <f t="shared" si="18"/>
        <v>0</v>
      </c>
      <c r="K46" s="389">
        <f t="shared" si="19"/>
        <v>0</v>
      </c>
      <c r="M46" s="393">
        <f>(C46-C45)*J46</f>
        <v>0</v>
      </c>
      <c r="P46" s="391">
        <f t="shared" si="20"/>
        <v>0</v>
      </c>
      <c r="U46" s="389">
        <f t="shared" si="0"/>
        <v>0</v>
      </c>
      <c r="V46" s="391">
        <f t="shared" si="4"/>
        <v>0</v>
      </c>
    </row>
    <row r="47" spans="1:22">
      <c r="A47" s="356" t="s">
        <v>493</v>
      </c>
      <c r="B47" s="356" t="s">
        <v>317</v>
      </c>
      <c r="C47" s="390">
        <v>32.39</v>
      </c>
      <c r="D47" s="391">
        <v>4364.5600000000004</v>
      </c>
      <c r="F47" s="377">
        <v>32.78</v>
      </c>
      <c r="G47" s="391">
        <v>17826.795000000002</v>
      </c>
      <c r="I47" s="391">
        <f t="shared" si="17"/>
        <v>22191.355000000003</v>
      </c>
      <c r="J47" s="389">
        <f t="shared" si="18"/>
        <v>678.58168365789049</v>
      </c>
      <c r="K47" s="389">
        <f t="shared" si="19"/>
        <v>56.548473638157539</v>
      </c>
      <c r="M47" s="393"/>
      <c r="P47" s="391">
        <f t="shared" si="20"/>
        <v>22191.355000000003</v>
      </c>
      <c r="U47" s="389">
        <f t="shared" si="0"/>
        <v>22191.355000000003</v>
      </c>
      <c r="V47" s="391">
        <f t="shared" si="4"/>
        <v>0</v>
      </c>
    </row>
    <row r="48" spans="1:22">
      <c r="A48" s="356" t="s">
        <v>494</v>
      </c>
      <c r="B48" s="356" t="s">
        <v>318</v>
      </c>
      <c r="C48" s="390">
        <v>64.78</v>
      </c>
      <c r="D48" s="391">
        <v>518.20000000000005</v>
      </c>
      <c r="F48" s="377">
        <v>65.56</v>
      </c>
      <c r="G48" s="391">
        <v>2343.9749999999999</v>
      </c>
      <c r="I48" s="391">
        <f t="shared" si="17"/>
        <v>2862.1750000000002</v>
      </c>
      <c r="J48" s="389">
        <f t="shared" si="18"/>
        <v>43.752509432121215</v>
      </c>
      <c r="K48" s="389">
        <f t="shared" si="19"/>
        <v>3.6460424526767681</v>
      </c>
      <c r="M48" s="393"/>
      <c r="P48" s="391">
        <f t="shared" si="20"/>
        <v>2862.1750000000002</v>
      </c>
      <c r="U48" s="389">
        <f t="shared" si="0"/>
        <v>2862.1750000000002</v>
      </c>
      <c r="V48" s="391">
        <f t="shared" si="4"/>
        <v>0</v>
      </c>
    </row>
    <row r="49" spans="1:23">
      <c r="A49" s="354" t="s">
        <v>17</v>
      </c>
      <c r="B49" s="354" t="s">
        <v>17</v>
      </c>
      <c r="C49" s="379"/>
      <c r="D49" s="386">
        <f>SUM(D6:D48)</f>
        <v>1170432.8349999997</v>
      </c>
      <c r="F49" s="379"/>
      <c r="G49" s="386">
        <f>SUM(G6:G48)</f>
        <v>5030178.4999999991</v>
      </c>
      <c r="I49" s="386">
        <f>SUM(I6:I48)</f>
        <v>6200611.335</v>
      </c>
      <c r="M49" s="386">
        <f t="shared" ref="M49:U49" si="21">SUM(M6:M48)</f>
        <v>1539240.881913604</v>
      </c>
      <c r="N49" s="386">
        <f t="shared" si="21"/>
        <v>660716.63</v>
      </c>
      <c r="O49" s="386">
        <f t="shared" si="21"/>
        <v>0</v>
      </c>
      <c r="P49" s="386">
        <f t="shared" si="21"/>
        <v>4159430.0580863962</v>
      </c>
      <c r="Q49" s="386">
        <f t="shared" si="21"/>
        <v>0</v>
      </c>
      <c r="R49" s="386">
        <f t="shared" si="21"/>
        <v>0</v>
      </c>
      <c r="S49" s="386">
        <f t="shared" si="21"/>
        <v>0</v>
      </c>
      <c r="T49" s="386">
        <f t="shared" si="21"/>
        <v>0</v>
      </c>
      <c r="U49" s="380">
        <f t="shared" si="21"/>
        <v>6359387.5700000003</v>
      </c>
      <c r="V49" s="391"/>
    </row>
    <row r="50" spans="1:23">
      <c r="A50" s="354"/>
      <c r="B50" s="354" t="s">
        <v>97</v>
      </c>
      <c r="C50" s="379"/>
      <c r="D50" s="386">
        <f>'[13]American 1-15'!C49+'[13]American 2-15'!C49+'[13]American 1-15'!L49</f>
        <v>1170432.835</v>
      </c>
      <c r="F50" s="379"/>
      <c r="G50" s="386">
        <f>SUM('[13]American 12-15:American 3-15'!C49)</f>
        <v>5030178.5</v>
      </c>
      <c r="H50" s="383"/>
      <c r="I50" s="386">
        <f t="shared" si="17"/>
        <v>6200611.335</v>
      </c>
      <c r="Q50" s="391"/>
      <c r="V50" s="391"/>
      <c r="W50" s="391"/>
    </row>
    <row r="51" spans="1:23">
      <c r="A51" s="354"/>
      <c r="B51" s="354"/>
      <c r="C51" s="379"/>
      <c r="F51" s="379"/>
      <c r="I51" s="391"/>
      <c r="V51" s="391">
        <f t="shared" si="4"/>
        <v>0</v>
      </c>
      <c r="W51" s="391">
        <f>V49+W50</f>
        <v>0</v>
      </c>
    </row>
    <row r="52" spans="1:23">
      <c r="A52" s="354"/>
      <c r="B52" s="354"/>
      <c r="C52" s="379"/>
      <c r="D52" s="391"/>
      <c r="F52" s="379"/>
      <c r="G52" s="391"/>
      <c r="I52" s="391"/>
      <c r="K52" s="391"/>
      <c r="V52" s="391">
        <f t="shared" si="4"/>
        <v>0</v>
      </c>
    </row>
    <row r="53" spans="1:23">
      <c r="A53" s="366" t="s">
        <v>184</v>
      </c>
      <c r="B53" s="366" t="s">
        <v>184</v>
      </c>
      <c r="C53" s="379"/>
      <c r="F53" s="379"/>
      <c r="V53" s="391">
        <f t="shared" si="4"/>
        <v>0</v>
      </c>
    </row>
    <row r="54" spans="1:23">
      <c r="A54" s="356" t="s">
        <v>495</v>
      </c>
      <c r="B54" s="356" t="s">
        <v>319</v>
      </c>
      <c r="C54" s="390">
        <v>-2.0499999999999998</v>
      </c>
      <c r="D54" s="391">
        <v>-426.4</v>
      </c>
      <c r="F54" s="377">
        <v>-0.49</v>
      </c>
      <c r="G54" s="391">
        <v>-510.95999999999992</v>
      </c>
      <c r="I54" s="392">
        <f t="shared" ref="I54:I56" si="22">D54+G54</f>
        <v>-937.3599999999999</v>
      </c>
      <c r="J54" s="389">
        <f t="shared" ref="J54:J56" si="23">D54/C54+G54/F54</f>
        <v>1250.7755102040815</v>
      </c>
      <c r="K54" s="389">
        <f t="shared" ref="K54:K56" si="24">J54/12</f>
        <v>104.23129251700679</v>
      </c>
      <c r="U54" s="389">
        <f>SUM(M54:S54)</f>
        <v>0</v>
      </c>
      <c r="V54" s="391">
        <f t="shared" si="4"/>
        <v>-937.3599999999999</v>
      </c>
      <c r="W54" s="391"/>
    </row>
    <row r="55" spans="1:23">
      <c r="A55" s="356" t="s">
        <v>496</v>
      </c>
      <c r="B55" s="356" t="s">
        <v>284</v>
      </c>
      <c r="C55" s="390">
        <v>7.1</v>
      </c>
      <c r="D55" s="391">
        <v>1467.2</v>
      </c>
      <c r="F55" s="390">
        <v>7.1</v>
      </c>
      <c r="G55" s="391">
        <v>7368.6099999999988</v>
      </c>
      <c r="I55" s="391">
        <f t="shared" si="22"/>
        <v>8835.81</v>
      </c>
      <c r="J55" s="389">
        <f t="shared" si="23"/>
        <v>1244.4802816901408</v>
      </c>
      <c r="K55" s="389">
        <f t="shared" si="24"/>
        <v>103.70669014084507</v>
      </c>
      <c r="O55" s="391">
        <f>I55</f>
        <v>8835.81</v>
      </c>
      <c r="U55" s="389">
        <f t="shared" ref="U55:U118" si="25">SUM(M55:S55)</f>
        <v>8835.81</v>
      </c>
      <c r="V55" s="391">
        <f t="shared" si="4"/>
        <v>0</v>
      </c>
      <c r="W55" s="391"/>
    </row>
    <row r="56" spans="1:23">
      <c r="A56" s="356" t="s">
        <v>497</v>
      </c>
      <c r="B56" s="356" t="s">
        <v>284</v>
      </c>
      <c r="C56" s="390">
        <v>7.1</v>
      </c>
      <c r="D56" s="391">
        <v>0</v>
      </c>
      <c r="F56" s="390">
        <v>7.1</v>
      </c>
      <c r="G56" s="391">
        <v>0</v>
      </c>
      <c r="I56" s="391">
        <f t="shared" si="22"/>
        <v>0</v>
      </c>
      <c r="J56" s="389">
        <f t="shared" si="23"/>
        <v>0</v>
      </c>
      <c r="K56" s="389">
        <f t="shared" si="24"/>
        <v>0</v>
      </c>
      <c r="O56" s="391">
        <f>I56</f>
        <v>0</v>
      </c>
      <c r="U56" s="389">
        <f t="shared" si="25"/>
        <v>0</v>
      </c>
      <c r="V56" s="391">
        <f t="shared" si="4"/>
        <v>0</v>
      </c>
      <c r="W56" s="391"/>
    </row>
    <row r="57" spans="1:23">
      <c r="A57" s="354"/>
      <c r="B57" s="354"/>
      <c r="C57" s="379"/>
      <c r="F57" s="379"/>
      <c r="U57" s="389">
        <f t="shared" si="25"/>
        <v>0</v>
      </c>
      <c r="V57" s="391">
        <f t="shared" si="4"/>
        <v>0</v>
      </c>
      <c r="W57" s="391"/>
    </row>
    <row r="58" spans="1:23">
      <c r="A58" s="356" t="s">
        <v>498</v>
      </c>
      <c r="B58" s="356" t="s">
        <v>286</v>
      </c>
      <c r="C58" s="390">
        <v>4.07</v>
      </c>
      <c r="D58" s="391">
        <v>302.61</v>
      </c>
      <c r="F58" s="377">
        <v>4.1399999999999997</v>
      </c>
      <c r="G58" s="391">
        <v>2824.77</v>
      </c>
      <c r="I58" s="391">
        <f t="shared" ref="I58" si="26">D58+G58</f>
        <v>3127.38</v>
      </c>
      <c r="J58" s="389">
        <f t="shared" ref="J58" si="27">D58/C58+G58/F58</f>
        <v>756.66294555424997</v>
      </c>
      <c r="K58" s="389">
        <f t="shared" ref="K58" si="28">J58/12</f>
        <v>63.055245462854167</v>
      </c>
      <c r="Q58" s="391">
        <f>I58</f>
        <v>3127.38</v>
      </c>
      <c r="U58" s="389">
        <f t="shared" si="25"/>
        <v>3127.38</v>
      </c>
      <c r="V58" s="391">
        <f t="shared" si="4"/>
        <v>0</v>
      </c>
      <c r="W58" s="391"/>
    </row>
    <row r="59" spans="1:23">
      <c r="A59" s="356"/>
      <c r="B59" s="356"/>
      <c r="C59" s="379"/>
      <c r="F59" s="379"/>
      <c r="U59" s="389">
        <f t="shared" si="25"/>
        <v>0</v>
      </c>
      <c r="V59" s="391">
        <f t="shared" si="4"/>
        <v>0</v>
      </c>
      <c r="W59" s="391"/>
    </row>
    <row r="60" spans="1:23">
      <c r="A60" s="356" t="s">
        <v>499</v>
      </c>
      <c r="B60" s="356" t="s">
        <v>320</v>
      </c>
      <c r="C60" s="390">
        <v>22.21</v>
      </c>
      <c r="D60" s="391">
        <v>111.05</v>
      </c>
      <c r="F60" s="390">
        <v>22.21</v>
      </c>
      <c r="G60" s="391">
        <v>1191.97</v>
      </c>
      <c r="I60" s="391">
        <f t="shared" ref="I60:I61" si="29">D60+G60</f>
        <v>1303.02</v>
      </c>
      <c r="J60" s="389">
        <f t="shared" ref="J60:J61" si="30">D60/C60+G60/F60</f>
        <v>58.668167492120666</v>
      </c>
      <c r="K60" s="389">
        <f t="shared" ref="K60:K61" si="31">J60/12</f>
        <v>4.8890139576767222</v>
      </c>
      <c r="Q60" s="391">
        <f>I60</f>
        <v>1303.02</v>
      </c>
      <c r="U60" s="389">
        <f t="shared" si="25"/>
        <v>1303.02</v>
      </c>
      <c r="V60" s="391">
        <f t="shared" si="4"/>
        <v>0</v>
      </c>
      <c r="W60" s="391"/>
    </row>
    <row r="61" spans="1:23">
      <c r="A61" s="356" t="s">
        <v>500</v>
      </c>
      <c r="B61" s="356" t="s">
        <v>321</v>
      </c>
      <c r="C61" s="390">
        <v>39.1</v>
      </c>
      <c r="D61" s="391">
        <v>508.3</v>
      </c>
      <c r="F61" s="390">
        <v>39.1</v>
      </c>
      <c r="G61" s="391">
        <v>3284.3999999999996</v>
      </c>
      <c r="I61" s="391">
        <f t="shared" si="29"/>
        <v>3792.7</v>
      </c>
      <c r="J61" s="389">
        <f t="shared" si="30"/>
        <v>96.999999999999986</v>
      </c>
      <c r="K61" s="389">
        <f t="shared" si="31"/>
        <v>8.0833333333333321</v>
      </c>
      <c r="Q61" s="391">
        <f>I61</f>
        <v>3792.7</v>
      </c>
      <c r="U61" s="389">
        <f t="shared" si="25"/>
        <v>3792.7</v>
      </c>
      <c r="V61" s="391">
        <f t="shared" si="4"/>
        <v>0</v>
      </c>
      <c r="W61" s="391"/>
    </row>
    <row r="62" spans="1:23">
      <c r="A62" s="356"/>
      <c r="B62" s="356"/>
      <c r="C62" s="379"/>
      <c r="F62" s="379"/>
      <c r="U62" s="389">
        <f t="shared" si="25"/>
        <v>0</v>
      </c>
      <c r="V62" s="391">
        <f t="shared" si="4"/>
        <v>0</v>
      </c>
      <c r="W62" s="391"/>
    </row>
    <row r="63" spans="1:23">
      <c r="A63" s="356" t="s">
        <v>501</v>
      </c>
      <c r="B63" s="356" t="s">
        <v>322</v>
      </c>
      <c r="C63" s="390">
        <v>-3.55</v>
      </c>
      <c r="D63" s="391">
        <v>-2453.2399999999998</v>
      </c>
      <c r="F63" s="377">
        <v>-1.91</v>
      </c>
      <c r="G63" s="391">
        <v>-6618.98</v>
      </c>
      <c r="I63" s="392">
        <f t="shared" ref="I63:I64" si="32">D63+G63</f>
        <v>-9072.2199999999993</v>
      </c>
      <c r="J63" s="389">
        <f t="shared" ref="J63:J64" si="33">D63/C63+G63/F63</f>
        <v>4156.4880761005825</v>
      </c>
      <c r="K63" s="389">
        <f t="shared" ref="K63:K64" si="34">J63/12</f>
        <v>346.37400634171519</v>
      </c>
      <c r="U63" s="389">
        <f t="shared" si="25"/>
        <v>0</v>
      </c>
      <c r="V63" s="391">
        <f t="shared" si="4"/>
        <v>-9072.2199999999993</v>
      </c>
      <c r="W63" s="391"/>
    </row>
    <row r="64" spans="1:23">
      <c r="A64" s="356" t="s">
        <v>502</v>
      </c>
      <c r="B64" s="356" t="s">
        <v>323</v>
      </c>
      <c r="C64" s="390">
        <v>0.75</v>
      </c>
      <c r="D64" s="391">
        <v>225</v>
      </c>
      <c r="F64" s="390">
        <v>0.75</v>
      </c>
      <c r="G64" s="391">
        <v>1041</v>
      </c>
      <c r="I64" s="396">
        <f t="shared" si="32"/>
        <v>1266</v>
      </c>
      <c r="J64" s="389">
        <f t="shared" si="33"/>
        <v>1688</v>
      </c>
      <c r="K64" s="389">
        <f t="shared" si="34"/>
        <v>140.66666666666666</v>
      </c>
      <c r="O64" s="391">
        <f>I64</f>
        <v>1266</v>
      </c>
      <c r="U64" s="389">
        <f t="shared" si="25"/>
        <v>1266</v>
      </c>
      <c r="V64" s="391">
        <f t="shared" si="4"/>
        <v>0</v>
      </c>
      <c r="W64" s="391"/>
    </row>
    <row r="65" spans="1:23">
      <c r="A65" s="356"/>
      <c r="B65" s="356"/>
      <c r="C65" s="379"/>
      <c r="F65" s="379"/>
      <c r="U65" s="389">
        <f t="shared" si="25"/>
        <v>0</v>
      </c>
      <c r="V65" s="391">
        <f t="shared" si="4"/>
        <v>0</v>
      </c>
      <c r="W65" s="391"/>
    </row>
    <row r="66" spans="1:23">
      <c r="A66" s="356" t="s">
        <v>503</v>
      </c>
      <c r="B66" s="356" t="s">
        <v>288</v>
      </c>
      <c r="C66" s="390">
        <v>4.62</v>
      </c>
      <c r="D66" s="391">
        <v>64.680000000000007</v>
      </c>
      <c r="F66" s="390">
        <v>4.62</v>
      </c>
      <c r="G66" s="391">
        <v>386.6400000000001</v>
      </c>
      <c r="I66" s="391">
        <f t="shared" ref="I66:I70" si="35">D66+G66</f>
        <v>451.32000000000011</v>
      </c>
      <c r="J66" s="389">
        <f t="shared" ref="J66:J70" si="36">D66/C66+G66/F66</f>
        <v>97.688311688311714</v>
      </c>
      <c r="K66" s="389">
        <f t="shared" ref="K66:K70" si="37">J66/12</f>
        <v>8.1406926406926434</v>
      </c>
      <c r="Q66" s="391">
        <f t="shared" ref="Q66:Q70" si="38">I66</f>
        <v>451.32000000000011</v>
      </c>
      <c r="U66" s="389">
        <f t="shared" si="25"/>
        <v>451.32000000000011</v>
      </c>
      <c r="V66" s="391">
        <f t="shared" si="4"/>
        <v>0</v>
      </c>
      <c r="W66" s="391"/>
    </row>
    <row r="67" spans="1:23">
      <c r="A67" s="356" t="s">
        <v>504</v>
      </c>
      <c r="B67" s="356" t="s">
        <v>289</v>
      </c>
      <c r="C67" s="390">
        <v>2.06</v>
      </c>
      <c r="D67" s="391">
        <v>113.08</v>
      </c>
      <c r="F67" s="390">
        <v>2.06</v>
      </c>
      <c r="G67" s="391">
        <v>518.54000000000008</v>
      </c>
      <c r="I67" s="391">
        <f t="shared" si="35"/>
        <v>631.62000000000012</v>
      </c>
      <c r="J67" s="389">
        <f t="shared" si="36"/>
        <v>306.61165048543694</v>
      </c>
      <c r="K67" s="389">
        <f t="shared" si="37"/>
        <v>25.550970873786412</v>
      </c>
      <c r="Q67" s="391">
        <f t="shared" si="38"/>
        <v>631.62000000000012</v>
      </c>
      <c r="U67" s="389">
        <f t="shared" si="25"/>
        <v>631.62000000000012</v>
      </c>
      <c r="V67" s="391">
        <f t="shared" si="4"/>
        <v>0</v>
      </c>
      <c r="W67" s="391"/>
    </row>
    <row r="68" spans="1:23">
      <c r="A68" s="356" t="s">
        <v>505</v>
      </c>
      <c r="B68" s="356" t="s">
        <v>324</v>
      </c>
      <c r="C68" s="390">
        <v>7.8</v>
      </c>
      <c r="D68" s="391">
        <v>155.9</v>
      </c>
      <c r="F68" s="390">
        <v>7.8</v>
      </c>
      <c r="G68" s="391">
        <v>713.24</v>
      </c>
      <c r="I68" s="391">
        <f t="shared" si="35"/>
        <v>869.14</v>
      </c>
      <c r="J68" s="389">
        <f t="shared" si="36"/>
        <v>111.42820512820514</v>
      </c>
      <c r="K68" s="389">
        <f t="shared" si="37"/>
        <v>9.2856837606837619</v>
      </c>
      <c r="Q68" s="391">
        <f t="shared" si="38"/>
        <v>869.14</v>
      </c>
      <c r="U68" s="389">
        <f t="shared" si="25"/>
        <v>869.14</v>
      </c>
      <c r="V68" s="391">
        <f t="shared" si="4"/>
        <v>0</v>
      </c>
      <c r="W68" s="391"/>
    </row>
    <row r="69" spans="1:23">
      <c r="A69" s="356" t="s">
        <v>506</v>
      </c>
      <c r="B69" s="356" t="s">
        <v>292</v>
      </c>
      <c r="C69" s="390">
        <v>0.77</v>
      </c>
      <c r="D69" s="391">
        <v>0</v>
      </c>
      <c r="F69" s="390">
        <v>0.77</v>
      </c>
      <c r="G69" s="391">
        <v>0</v>
      </c>
      <c r="I69" s="391">
        <f t="shared" si="35"/>
        <v>0</v>
      </c>
      <c r="J69" s="389">
        <f t="shared" si="36"/>
        <v>0</v>
      </c>
      <c r="K69" s="389">
        <f t="shared" si="37"/>
        <v>0</v>
      </c>
      <c r="Q69" s="391">
        <f t="shared" si="38"/>
        <v>0</v>
      </c>
      <c r="U69" s="389">
        <f t="shared" si="25"/>
        <v>0</v>
      </c>
      <c r="V69" s="391">
        <f t="shared" si="4"/>
        <v>0</v>
      </c>
      <c r="W69" s="391"/>
    </row>
    <row r="70" spans="1:23">
      <c r="A70" s="356" t="s">
        <v>465</v>
      </c>
      <c r="B70" s="356" t="s">
        <v>290</v>
      </c>
      <c r="C70" s="390">
        <v>0.77</v>
      </c>
      <c r="D70" s="391">
        <v>0</v>
      </c>
      <c r="F70" s="390">
        <v>0.77</v>
      </c>
      <c r="G70" s="391">
        <v>0</v>
      </c>
      <c r="I70" s="391">
        <f t="shared" si="35"/>
        <v>0</v>
      </c>
      <c r="J70" s="389">
        <f t="shared" si="36"/>
        <v>0</v>
      </c>
      <c r="K70" s="389">
        <f t="shared" si="37"/>
        <v>0</v>
      </c>
      <c r="Q70" s="391">
        <f t="shared" si="38"/>
        <v>0</v>
      </c>
      <c r="U70" s="389">
        <f t="shared" si="25"/>
        <v>0</v>
      </c>
      <c r="V70" s="391">
        <f t="shared" si="4"/>
        <v>0</v>
      </c>
      <c r="W70" s="391"/>
    </row>
    <row r="71" spans="1:23">
      <c r="A71" s="356"/>
      <c r="B71" s="356"/>
      <c r="C71" s="379"/>
      <c r="F71" s="379"/>
      <c r="U71" s="389">
        <f t="shared" si="25"/>
        <v>0</v>
      </c>
      <c r="V71" s="391">
        <f t="shared" ref="V71:V134" si="39">I71-U71</f>
        <v>0</v>
      </c>
      <c r="W71" s="391"/>
    </row>
    <row r="72" spans="1:23">
      <c r="A72" s="356" t="s">
        <v>507</v>
      </c>
      <c r="B72" s="356" t="s">
        <v>299</v>
      </c>
      <c r="C72" s="390">
        <v>6.53</v>
      </c>
      <c r="D72" s="391">
        <v>654.15</v>
      </c>
      <c r="F72" s="390">
        <v>6.53</v>
      </c>
      <c r="G72" s="391">
        <v>2834.8500000000004</v>
      </c>
      <c r="I72" s="391">
        <f t="shared" ref="I72:I74" si="40">D72+G72</f>
        <v>3489.0000000000005</v>
      </c>
      <c r="J72" s="389">
        <f t="shared" ref="J72:J74" si="41">D72/C72+G72/F72</f>
        <v>534.30321592649318</v>
      </c>
      <c r="K72" s="389">
        <f t="shared" ref="K72:K74" si="42">J72/12</f>
        <v>44.525267993874429</v>
      </c>
      <c r="N72" s="391">
        <f>I72</f>
        <v>3489.0000000000005</v>
      </c>
      <c r="U72" s="389">
        <f t="shared" si="25"/>
        <v>3489.0000000000005</v>
      </c>
      <c r="V72" s="391">
        <f t="shared" si="39"/>
        <v>0</v>
      </c>
      <c r="W72" s="391"/>
    </row>
    <row r="73" spans="1:23">
      <c r="A73" s="356" t="s">
        <v>476</v>
      </c>
      <c r="B73" s="356" t="s">
        <v>325</v>
      </c>
      <c r="C73" s="390">
        <v>19.34</v>
      </c>
      <c r="D73" s="391">
        <v>0</v>
      </c>
      <c r="F73" s="390">
        <v>19.34</v>
      </c>
      <c r="G73" s="391">
        <v>0</v>
      </c>
      <c r="I73" s="391">
        <f t="shared" si="40"/>
        <v>0</v>
      </c>
      <c r="J73" s="389">
        <f t="shared" si="41"/>
        <v>0</v>
      </c>
      <c r="K73" s="389">
        <f t="shared" si="42"/>
        <v>0</v>
      </c>
      <c r="N73" s="391">
        <f t="shared" ref="N73:N74" si="43">I73</f>
        <v>0</v>
      </c>
      <c r="U73" s="389">
        <f t="shared" si="25"/>
        <v>0</v>
      </c>
      <c r="V73" s="391">
        <f t="shared" si="39"/>
        <v>0</v>
      </c>
      <c r="W73" s="391"/>
    </row>
    <row r="74" spans="1:23">
      <c r="A74" s="357" t="s">
        <v>477</v>
      </c>
      <c r="B74" s="357" t="s">
        <v>301</v>
      </c>
      <c r="C74" s="390">
        <v>2.1</v>
      </c>
      <c r="D74" s="391"/>
      <c r="F74" s="390">
        <v>2.1</v>
      </c>
      <c r="G74" s="391">
        <v>0</v>
      </c>
      <c r="I74" s="391">
        <f t="shared" si="40"/>
        <v>0</v>
      </c>
      <c r="J74" s="389">
        <f t="shared" si="41"/>
        <v>0</v>
      </c>
      <c r="K74" s="389">
        <f t="shared" si="42"/>
        <v>0</v>
      </c>
      <c r="N74" s="391">
        <f t="shared" si="43"/>
        <v>0</v>
      </c>
      <c r="U74" s="389">
        <f t="shared" si="25"/>
        <v>0</v>
      </c>
      <c r="V74" s="391">
        <f t="shared" si="39"/>
        <v>0</v>
      </c>
      <c r="W74" s="391"/>
    </row>
    <row r="75" spans="1:23">
      <c r="A75" s="356"/>
      <c r="B75" s="356"/>
      <c r="C75" s="379"/>
      <c r="F75" s="379"/>
      <c r="U75" s="389">
        <f t="shared" si="25"/>
        <v>0</v>
      </c>
      <c r="V75" s="391">
        <f t="shared" si="39"/>
        <v>0</v>
      </c>
      <c r="W75" s="391"/>
    </row>
    <row r="76" spans="1:23">
      <c r="A76" s="356" t="s">
        <v>508</v>
      </c>
      <c r="B76" s="356" t="s">
        <v>305</v>
      </c>
      <c r="C76" s="390">
        <v>17.79</v>
      </c>
      <c r="D76" s="391">
        <v>3522.42</v>
      </c>
      <c r="F76" s="377">
        <v>18.11</v>
      </c>
      <c r="G76" s="391">
        <v>17652.539999999997</v>
      </c>
      <c r="I76" s="391">
        <f t="shared" ref="I76:I85" si="44">D76+G76</f>
        <v>21174.959999999999</v>
      </c>
      <c r="J76" s="389">
        <f t="shared" ref="J76:J85" si="45">D76/C76+G76/F76</f>
        <v>1172.7399226946436</v>
      </c>
      <c r="K76" s="389">
        <f t="shared" ref="K76:K85" si="46">J76/12</f>
        <v>97.728326891220306</v>
      </c>
      <c r="Q76" s="391">
        <f>I76-O76</f>
        <v>21174.959999999999</v>
      </c>
      <c r="U76" s="389">
        <f t="shared" si="25"/>
        <v>21174.959999999999</v>
      </c>
      <c r="V76" s="391">
        <f t="shared" si="39"/>
        <v>0</v>
      </c>
      <c r="W76" s="391"/>
    </row>
    <row r="77" spans="1:23">
      <c r="A77" s="356" t="s">
        <v>509</v>
      </c>
      <c r="B77" s="356" t="s">
        <v>306</v>
      </c>
      <c r="C77" s="390">
        <v>18.54</v>
      </c>
      <c r="D77" s="391">
        <v>0</v>
      </c>
      <c r="F77" s="377">
        <v>18.86</v>
      </c>
      <c r="G77" s="391">
        <v>0</v>
      </c>
      <c r="I77" s="391">
        <f t="shared" si="44"/>
        <v>0</v>
      </c>
      <c r="J77" s="389">
        <f t="shared" si="45"/>
        <v>0</v>
      </c>
      <c r="K77" s="389">
        <f t="shared" si="46"/>
        <v>0</v>
      </c>
      <c r="O77" s="393">
        <f>(C77-C76)*J77</f>
        <v>0</v>
      </c>
      <c r="Q77" s="391">
        <f t="shared" ref="Q77:Q85" si="47">I77-O77</f>
        <v>0</v>
      </c>
      <c r="U77" s="389">
        <f t="shared" si="25"/>
        <v>0</v>
      </c>
      <c r="V77" s="391">
        <f t="shared" si="39"/>
        <v>0</v>
      </c>
      <c r="W77" s="391"/>
    </row>
    <row r="78" spans="1:23">
      <c r="A78" s="356" t="s">
        <v>510</v>
      </c>
      <c r="B78" s="356" t="s">
        <v>307</v>
      </c>
      <c r="C78" s="390">
        <v>27.97</v>
      </c>
      <c r="D78" s="391">
        <v>167.82</v>
      </c>
      <c r="F78" s="377">
        <v>28.46</v>
      </c>
      <c r="G78" s="391">
        <v>1074.3700000000001</v>
      </c>
      <c r="I78" s="391">
        <f t="shared" si="44"/>
        <v>1242.19</v>
      </c>
      <c r="J78" s="389">
        <f t="shared" si="45"/>
        <v>43.750175685172174</v>
      </c>
      <c r="K78" s="389">
        <f t="shared" si="46"/>
        <v>3.6458479737643477</v>
      </c>
      <c r="Q78" s="391">
        <f t="shared" si="47"/>
        <v>1242.19</v>
      </c>
      <c r="U78" s="389">
        <f t="shared" si="25"/>
        <v>1242.19</v>
      </c>
      <c r="V78" s="391">
        <f t="shared" si="39"/>
        <v>0</v>
      </c>
      <c r="W78" s="391"/>
    </row>
    <row r="79" spans="1:23">
      <c r="A79" s="356" t="s">
        <v>511</v>
      </c>
      <c r="B79" s="356" t="s">
        <v>308</v>
      </c>
      <c r="C79" s="390">
        <v>28.72</v>
      </c>
      <c r="D79" s="391">
        <v>0</v>
      </c>
      <c r="F79" s="377">
        <v>29.21</v>
      </c>
      <c r="G79" s="391">
        <v>0</v>
      </c>
      <c r="I79" s="391">
        <f t="shared" si="44"/>
        <v>0</v>
      </c>
      <c r="J79" s="389">
        <f t="shared" si="45"/>
        <v>0</v>
      </c>
      <c r="K79" s="389">
        <f t="shared" si="46"/>
        <v>0</v>
      </c>
      <c r="O79" s="393">
        <f>(C79-C78)*J79</f>
        <v>0</v>
      </c>
      <c r="Q79" s="391">
        <f t="shared" si="47"/>
        <v>0</v>
      </c>
      <c r="U79" s="389">
        <f t="shared" si="25"/>
        <v>0</v>
      </c>
      <c r="V79" s="391">
        <f t="shared" si="39"/>
        <v>0</v>
      </c>
      <c r="W79" s="391"/>
    </row>
    <row r="80" spans="1:23">
      <c r="A80" s="356" t="s">
        <v>512</v>
      </c>
      <c r="B80" s="356" t="s">
        <v>309</v>
      </c>
      <c r="C80" s="390">
        <v>41.14</v>
      </c>
      <c r="D80" s="391">
        <v>164.56</v>
      </c>
      <c r="F80" s="377">
        <v>41.88</v>
      </c>
      <c r="G80" s="391">
        <v>837.6</v>
      </c>
      <c r="I80" s="391">
        <f t="shared" si="44"/>
        <v>1002.1600000000001</v>
      </c>
      <c r="J80" s="389">
        <f t="shared" si="45"/>
        <v>24</v>
      </c>
      <c r="K80" s="389">
        <f t="shared" si="46"/>
        <v>2</v>
      </c>
      <c r="Q80" s="391">
        <f t="shared" si="47"/>
        <v>1002.1600000000001</v>
      </c>
      <c r="U80" s="389">
        <f t="shared" si="25"/>
        <v>1002.1600000000001</v>
      </c>
      <c r="V80" s="391">
        <f t="shared" si="39"/>
        <v>0</v>
      </c>
      <c r="W80" s="391"/>
    </row>
    <row r="81" spans="1:23">
      <c r="A81" s="356" t="s">
        <v>513</v>
      </c>
      <c r="B81" s="356" t="s">
        <v>310</v>
      </c>
      <c r="C81" s="390">
        <v>41.89</v>
      </c>
      <c r="D81" s="391">
        <v>0</v>
      </c>
      <c r="F81" s="377">
        <v>42.63</v>
      </c>
      <c r="G81" s="391">
        <v>0</v>
      </c>
      <c r="I81" s="391">
        <f t="shared" si="44"/>
        <v>0</v>
      </c>
      <c r="J81" s="389">
        <f t="shared" si="45"/>
        <v>0</v>
      </c>
      <c r="K81" s="389">
        <f t="shared" si="46"/>
        <v>0</v>
      </c>
      <c r="O81" s="393">
        <f>(C81-C80)*J81</f>
        <v>0</v>
      </c>
      <c r="Q81" s="391">
        <f t="shared" si="47"/>
        <v>0</v>
      </c>
      <c r="U81" s="389">
        <f t="shared" si="25"/>
        <v>0</v>
      </c>
      <c r="V81" s="391">
        <f t="shared" si="39"/>
        <v>0</v>
      </c>
      <c r="W81" s="391"/>
    </row>
    <row r="82" spans="1:23">
      <c r="A82" s="356" t="s">
        <v>514</v>
      </c>
      <c r="B82" s="356" t="s">
        <v>311</v>
      </c>
      <c r="C82" s="390">
        <v>54.45</v>
      </c>
      <c r="D82" s="391">
        <v>108.9</v>
      </c>
      <c r="F82" s="377">
        <v>55.38</v>
      </c>
      <c r="G82" s="391">
        <v>553.80000000000007</v>
      </c>
      <c r="I82" s="391">
        <f t="shared" si="44"/>
        <v>662.7</v>
      </c>
      <c r="J82" s="389">
        <f t="shared" si="45"/>
        <v>12</v>
      </c>
      <c r="K82" s="389">
        <f t="shared" si="46"/>
        <v>1</v>
      </c>
      <c r="Q82" s="391">
        <f t="shared" si="47"/>
        <v>662.7</v>
      </c>
      <c r="U82" s="389">
        <f t="shared" si="25"/>
        <v>662.7</v>
      </c>
      <c r="V82" s="391">
        <f t="shared" si="39"/>
        <v>0</v>
      </c>
      <c r="W82" s="391"/>
    </row>
    <row r="83" spans="1:23">
      <c r="A83" s="356" t="s">
        <v>515</v>
      </c>
      <c r="B83" s="356" t="s">
        <v>312</v>
      </c>
      <c r="C83" s="390">
        <v>55.2</v>
      </c>
      <c r="D83" s="391">
        <v>0</v>
      </c>
      <c r="F83" s="377">
        <v>56.13</v>
      </c>
      <c r="G83" s="391">
        <v>0</v>
      </c>
      <c r="I83" s="391">
        <f t="shared" si="44"/>
        <v>0</v>
      </c>
      <c r="J83" s="389">
        <f t="shared" si="45"/>
        <v>0</v>
      </c>
      <c r="K83" s="389">
        <f t="shared" si="46"/>
        <v>0</v>
      </c>
      <c r="O83" s="393">
        <f>(C83-C82)*J83</f>
        <v>0</v>
      </c>
      <c r="Q83" s="391">
        <f t="shared" si="47"/>
        <v>0</v>
      </c>
      <c r="U83" s="389">
        <f t="shared" si="25"/>
        <v>0</v>
      </c>
      <c r="V83" s="391">
        <f t="shared" si="39"/>
        <v>0</v>
      </c>
      <c r="W83" s="391"/>
    </row>
    <row r="84" spans="1:23">
      <c r="A84" s="356" t="s">
        <v>516</v>
      </c>
      <c r="B84" s="356" t="s">
        <v>315</v>
      </c>
      <c r="C84" s="390">
        <v>81.69</v>
      </c>
      <c r="D84" s="391">
        <v>0</v>
      </c>
      <c r="F84" s="377">
        <v>83.19</v>
      </c>
      <c r="G84" s="391">
        <v>0</v>
      </c>
      <c r="I84" s="391">
        <f t="shared" si="44"/>
        <v>0</v>
      </c>
      <c r="J84" s="389">
        <f t="shared" si="45"/>
        <v>0</v>
      </c>
      <c r="K84" s="389">
        <f t="shared" si="46"/>
        <v>0</v>
      </c>
      <c r="Q84" s="391">
        <f t="shared" si="47"/>
        <v>0</v>
      </c>
      <c r="U84" s="389">
        <f t="shared" si="25"/>
        <v>0</v>
      </c>
      <c r="V84" s="391">
        <f t="shared" si="39"/>
        <v>0</v>
      </c>
      <c r="W84" s="391"/>
    </row>
    <row r="85" spans="1:23">
      <c r="A85" s="356" t="s">
        <v>517</v>
      </c>
      <c r="B85" s="356" t="s">
        <v>317</v>
      </c>
      <c r="C85" s="390">
        <v>32.39</v>
      </c>
      <c r="D85" s="391">
        <v>0</v>
      </c>
      <c r="F85" s="377">
        <v>32.78</v>
      </c>
      <c r="G85" s="391">
        <v>0</v>
      </c>
      <c r="I85" s="391">
        <f t="shared" si="44"/>
        <v>0</v>
      </c>
      <c r="J85" s="389">
        <f t="shared" si="45"/>
        <v>0</v>
      </c>
      <c r="K85" s="389">
        <f t="shared" si="46"/>
        <v>0</v>
      </c>
      <c r="Q85" s="391">
        <f t="shared" si="47"/>
        <v>0</v>
      </c>
      <c r="U85" s="389">
        <f t="shared" si="25"/>
        <v>0</v>
      </c>
      <c r="V85" s="391">
        <f t="shared" si="39"/>
        <v>0</v>
      </c>
      <c r="W85" s="391"/>
    </row>
    <row r="86" spans="1:23">
      <c r="A86" s="356"/>
      <c r="B86" s="356"/>
      <c r="C86" s="379"/>
      <c r="F86" s="379"/>
      <c r="U86" s="389">
        <f t="shared" si="25"/>
        <v>0</v>
      </c>
      <c r="V86" s="391">
        <f t="shared" si="39"/>
        <v>0</v>
      </c>
      <c r="W86" s="391"/>
    </row>
    <row r="87" spans="1:23">
      <c r="A87" s="354" t="s">
        <v>518</v>
      </c>
      <c r="B87" s="354" t="s">
        <v>326</v>
      </c>
      <c r="C87" s="379"/>
      <c r="D87" s="391"/>
      <c r="F87" s="379"/>
      <c r="U87" s="389">
        <f t="shared" si="25"/>
        <v>0</v>
      </c>
      <c r="V87" s="391">
        <f t="shared" si="39"/>
        <v>0</v>
      </c>
      <c r="W87" s="391"/>
    </row>
    <row r="88" spans="1:23">
      <c r="A88" s="356" t="s">
        <v>519</v>
      </c>
      <c r="B88" s="356" t="s">
        <v>327</v>
      </c>
      <c r="C88" s="390">
        <v>105.05</v>
      </c>
      <c r="D88" s="391">
        <v>10137.34</v>
      </c>
      <c r="F88" s="377">
        <v>106.73</v>
      </c>
      <c r="G88" s="391">
        <v>50348.200000000004</v>
      </c>
      <c r="I88" s="391">
        <f t="shared" ref="I88:I105" si="48">D88+G88</f>
        <v>60485.540000000008</v>
      </c>
      <c r="J88" s="389">
        <f t="shared" ref="J88:J105" si="49">D88/C88+G88/F88</f>
        <v>568.23442555875363</v>
      </c>
      <c r="K88" s="389">
        <f t="shared" ref="K88:K105" si="50">J88/12</f>
        <v>47.352868796562802</v>
      </c>
      <c r="M88" s="393"/>
      <c r="N88" s="393"/>
      <c r="O88" s="393">
        <f>J88*$B$311*$B$317*$B$320</f>
        <v>10801.397725118679</v>
      </c>
      <c r="Q88" s="391">
        <f>I88-O88</f>
        <v>49684.142274881327</v>
      </c>
      <c r="U88" s="389">
        <f t="shared" si="25"/>
        <v>60485.540000000008</v>
      </c>
      <c r="V88" s="391">
        <f t="shared" si="39"/>
        <v>0</v>
      </c>
      <c r="W88" s="391"/>
    </row>
    <row r="89" spans="1:23">
      <c r="A89" s="356" t="s">
        <v>520</v>
      </c>
      <c r="B89" s="356" t="s">
        <v>328</v>
      </c>
      <c r="C89" s="397">
        <v>210.09</v>
      </c>
      <c r="D89" s="391">
        <v>0</v>
      </c>
      <c r="F89" s="398">
        <v>213.47</v>
      </c>
      <c r="G89" s="391">
        <v>0</v>
      </c>
      <c r="I89" s="391">
        <f t="shared" si="48"/>
        <v>0</v>
      </c>
      <c r="J89" s="389">
        <f t="shared" si="49"/>
        <v>0</v>
      </c>
      <c r="K89" s="389">
        <f t="shared" si="50"/>
        <v>0</v>
      </c>
      <c r="M89" s="393"/>
      <c r="N89" s="393"/>
      <c r="O89" s="393">
        <f>J89*$B$312*$B$317*$B$320</f>
        <v>0</v>
      </c>
      <c r="Q89" s="391">
        <f t="shared" ref="Q89:Q111" si="51">I89-O89</f>
        <v>0</v>
      </c>
      <c r="U89" s="389">
        <f t="shared" si="25"/>
        <v>0</v>
      </c>
      <c r="V89" s="391">
        <f t="shared" si="39"/>
        <v>0</v>
      </c>
      <c r="W89" s="391"/>
    </row>
    <row r="90" spans="1:23">
      <c r="A90" s="356" t="s">
        <v>521</v>
      </c>
      <c r="B90" s="356" t="s">
        <v>329</v>
      </c>
      <c r="C90" s="397">
        <v>147.31</v>
      </c>
      <c r="D90" s="391">
        <v>4713.92</v>
      </c>
      <c r="F90" s="398">
        <v>149.69</v>
      </c>
      <c r="G90" s="391">
        <v>23838.13</v>
      </c>
      <c r="I90" s="391">
        <f t="shared" si="48"/>
        <v>28552.050000000003</v>
      </c>
      <c r="J90" s="389">
        <f t="shared" si="49"/>
        <v>191.24998329881757</v>
      </c>
      <c r="K90" s="389">
        <f t="shared" si="50"/>
        <v>15.937498608234797</v>
      </c>
      <c r="M90" s="393"/>
      <c r="N90" s="393"/>
      <c r="O90" s="393">
        <f>J90*$B$311*$B$317*$B$321</f>
        <v>5453.1203362983506</v>
      </c>
      <c r="Q90" s="391">
        <f t="shared" si="51"/>
        <v>23098.929663701652</v>
      </c>
      <c r="U90" s="389">
        <f t="shared" si="25"/>
        <v>28552.050000000003</v>
      </c>
      <c r="V90" s="391">
        <f t="shared" si="39"/>
        <v>0</v>
      </c>
      <c r="W90" s="391"/>
    </row>
    <row r="91" spans="1:23">
      <c r="A91" s="356" t="s">
        <v>522</v>
      </c>
      <c r="B91" s="356" t="s">
        <v>330</v>
      </c>
      <c r="C91" s="397">
        <v>294.61</v>
      </c>
      <c r="D91" s="391">
        <v>1178.44</v>
      </c>
      <c r="F91" s="398">
        <v>299.38</v>
      </c>
      <c r="G91" s="391">
        <v>5987.6000000000013</v>
      </c>
      <c r="I91" s="391">
        <f t="shared" si="48"/>
        <v>7166.0400000000009</v>
      </c>
      <c r="J91" s="389">
        <f t="shared" si="49"/>
        <v>24.000000000000004</v>
      </c>
      <c r="K91" s="389">
        <f t="shared" si="50"/>
        <v>2.0000000000000004</v>
      </c>
      <c r="M91" s="393"/>
      <c r="N91" s="393"/>
      <c r="O91" s="393">
        <f>J91*$B$312*$B$317*$B$321</f>
        <v>1368.6264000000001</v>
      </c>
      <c r="Q91" s="391">
        <f t="shared" si="51"/>
        <v>5797.4136000000008</v>
      </c>
      <c r="U91" s="389">
        <f t="shared" si="25"/>
        <v>7166.0400000000009</v>
      </c>
      <c r="V91" s="391">
        <f t="shared" si="39"/>
        <v>0</v>
      </c>
      <c r="W91" s="391"/>
    </row>
    <row r="92" spans="1:23">
      <c r="A92" s="357" t="s">
        <v>523</v>
      </c>
      <c r="B92" s="357" t="s">
        <v>331</v>
      </c>
      <c r="C92" s="397">
        <v>441.92</v>
      </c>
      <c r="D92" s="391">
        <v>0</v>
      </c>
      <c r="F92" s="398">
        <v>449.06</v>
      </c>
      <c r="G92" s="391">
        <v>0</v>
      </c>
      <c r="I92" s="391">
        <f t="shared" si="48"/>
        <v>0</v>
      </c>
      <c r="J92" s="389">
        <f t="shared" si="49"/>
        <v>0</v>
      </c>
      <c r="K92" s="389">
        <f t="shared" si="50"/>
        <v>0</v>
      </c>
      <c r="M92" s="393"/>
      <c r="N92" s="393"/>
      <c r="O92" s="393">
        <f>J92*$B$313*$B$317*$B$321</f>
        <v>0</v>
      </c>
      <c r="Q92" s="391">
        <f t="shared" si="51"/>
        <v>0</v>
      </c>
      <c r="U92" s="389">
        <f t="shared" si="25"/>
        <v>0</v>
      </c>
      <c r="V92" s="391">
        <f t="shared" si="39"/>
        <v>0</v>
      </c>
      <c r="W92" s="391"/>
    </row>
    <row r="93" spans="1:23">
      <c r="A93" s="356" t="s">
        <v>524</v>
      </c>
      <c r="B93" s="356" t="s">
        <v>332</v>
      </c>
      <c r="C93" s="390">
        <v>185.63</v>
      </c>
      <c r="D93" s="391">
        <v>25013.65</v>
      </c>
      <c r="F93" s="377">
        <v>188.7</v>
      </c>
      <c r="G93" s="391">
        <v>126674.27999999998</v>
      </c>
      <c r="I93" s="391">
        <f t="shared" si="48"/>
        <v>151687.93</v>
      </c>
      <c r="J93" s="389">
        <f t="shared" si="49"/>
        <v>806.0498814204401</v>
      </c>
      <c r="K93" s="389">
        <f t="shared" si="50"/>
        <v>67.170823451703342</v>
      </c>
      <c r="M93" s="393"/>
      <c r="N93" s="393"/>
      <c r="O93" s="393">
        <f>J93*$B$311*$B$317*$B$322</f>
        <v>30643.920761913436</v>
      </c>
      <c r="Q93" s="391">
        <f t="shared" si="51"/>
        <v>121044.00923808655</v>
      </c>
      <c r="U93" s="389">
        <f t="shared" si="25"/>
        <v>151687.93</v>
      </c>
      <c r="V93" s="391">
        <f t="shared" si="39"/>
        <v>0</v>
      </c>
      <c r="W93" s="391"/>
    </row>
    <row r="94" spans="1:23">
      <c r="A94" s="356" t="s">
        <v>525</v>
      </c>
      <c r="B94" s="356" t="s">
        <v>333</v>
      </c>
      <c r="C94" s="390">
        <v>371.25</v>
      </c>
      <c r="D94" s="391">
        <v>3712.5</v>
      </c>
      <c r="F94" s="377">
        <v>377.4</v>
      </c>
      <c r="G94" s="391">
        <v>23398.799999999999</v>
      </c>
      <c r="I94" s="391">
        <f t="shared" si="48"/>
        <v>27111.3</v>
      </c>
      <c r="J94" s="389">
        <f t="shared" si="49"/>
        <v>72</v>
      </c>
      <c r="K94" s="389">
        <f t="shared" si="50"/>
        <v>6</v>
      </c>
      <c r="M94" s="393"/>
      <c r="N94" s="393"/>
      <c r="O94" s="393">
        <f>J94*$B$312*$B$317*$B$322</f>
        <v>5474.5055999999995</v>
      </c>
      <c r="Q94" s="391">
        <f t="shared" si="51"/>
        <v>21636.794399999999</v>
      </c>
      <c r="U94" s="389">
        <f t="shared" si="25"/>
        <v>27111.3</v>
      </c>
      <c r="V94" s="391">
        <f t="shared" si="39"/>
        <v>0</v>
      </c>
      <c r="W94" s="391"/>
    </row>
    <row r="95" spans="1:23">
      <c r="A95" s="356" t="s">
        <v>526</v>
      </c>
      <c r="B95" s="356" t="s">
        <v>334</v>
      </c>
      <c r="C95" s="390">
        <v>556.88</v>
      </c>
      <c r="D95" s="391">
        <v>0</v>
      </c>
      <c r="F95" s="377">
        <v>566.1</v>
      </c>
      <c r="G95" s="391">
        <v>0</v>
      </c>
      <c r="I95" s="391">
        <f t="shared" si="48"/>
        <v>0</v>
      </c>
      <c r="J95" s="389">
        <f t="shared" si="49"/>
        <v>0</v>
      </c>
      <c r="K95" s="389">
        <f t="shared" si="50"/>
        <v>0</v>
      </c>
      <c r="M95" s="393"/>
      <c r="N95" s="393"/>
      <c r="O95" s="393">
        <f>J95*$B$313*$B$317*$B$322</f>
        <v>0</v>
      </c>
      <c r="Q95" s="391">
        <f t="shared" si="51"/>
        <v>0</v>
      </c>
      <c r="U95" s="389">
        <f t="shared" si="25"/>
        <v>0</v>
      </c>
      <c r="V95" s="391">
        <f t="shared" si="39"/>
        <v>0</v>
      </c>
      <c r="W95" s="391"/>
    </row>
    <row r="96" spans="1:23">
      <c r="A96" s="356" t="s">
        <v>527</v>
      </c>
      <c r="B96" s="356" t="s">
        <v>335</v>
      </c>
      <c r="C96" s="390">
        <v>353.07</v>
      </c>
      <c r="D96" s="391">
        <v>2118.42</v>
      </c>
      <c r="F96" s="377">
        <v>358.91</v>
      </c>
      <c r="G96" s="391">
        <v>12561.849999999999</v>
      </c>
      <c r="I96" s="391">
        <f t="shared" si="48"/>
        <v>14680.269999999999</v>
      </c>
      <c r="J96" s="389">
        <f t="shared" si="49"/>
        <v>40.999999999999993</v>
      </c>
      <c r="K96" s="389">
        <f t="shared" si="50"/>
        <v>3.4166666666666661</v>
      </c>
      <c r="M96" s="393"/>
      <c r="N96" s="393"/>
      <c r="O96" s="393">
        <f>J96*$B$311*$B$317*$B$324</f>
        <v>3117.4267999999993</v>
      </c>
      <c r="Q96" s="391">
        <f t="shared" si="51"/>
        <v>11562.843199999999</v>
      </c>
      <c r="U96" s="389">
        <f t="shared" si="25"/>
        <v>14680.269999999999</v>
      </c>
      <c r="V96" s="391">
        <f t="shared" si="39"/>
        <v>0</v>
      </c>
      <c r="W96" s="391"/>
    </row>
    <row r="97" spans="1:23">
      <c r="A97" s="356" t="s">
        <v>528</v>
      </c>
      <c r="B97" s="356" t="s">
        <v>336</v>
      </c>
      <c r="C97" s="390">
        <v>706.14</v>
      </c>
      <c r="D97" s="391">
        <v>1412.28</v>
      </c>
      <c r="F97" s="377">
        <v>717.83</v>
      </c>
      <c r="G97" s="391">
        <v>7178.3</v>
      </c>
      <c r="I97" s="391">
        <f t="shared" si="48"/>
        <v>8590.58</v>
      </c>
      <c r="J97" s="389">
        <f t="shared" si="49"/>
        <v>12</v>
      </c>
      <c r="K97" s="389">
        <f t="shared" si="50"/>
        <v>1</v>
      </c>
      <c r="M97" s="393"/>
      <c r="N97" s="393"/>
      <c r="O97" s="393">
        <f>J97*$B$312*$B$317*$B$324</f>
        <v>1824.8352</v>
      </c>
      <c r="Q97" s="391">
        <f t="shared" si="51"/>
        <v>6765.7448000000004</v>
      </c>
      <c r="U97" s="389">
        <f t="shared" si="25"/>
        <v>8590.58</v>
      </c>
      <c r="V97" s="391">
        <f t="shared" si="39"/>
        <v>0</v>
      </c>
      <c r="W97" s="391"/>
    </row>
    <row r="98" spans="1:23">
      <c r="A98" s="356" t="s">
        <v>529</v>
      </c>
      <c r="B98" s="356" t="s">
        <v>337</v>
      </c>
      <c r="C98" s="390">
        <v>1059.2</v>
      </c>
      <c r="D98" s="391">
        <v>0</v>
      </c>
      <c r="F98" s="377">
        <v>1076.74</v>
      </c>
      <c r="G98" s="391">
        <v>0</v>
      </c>
      <c r="I98" s="391">
        <f t="shared" si="48"/>
        <v>0</v>
      </c>
      <c r="J98" s="389">
        <f t="shared" si="49"/>
        <v>0</v>
      </c>
      <c r="K98" s="389">
        <f t="shared" si="50"/>
        <v>0</v>
      </c>
      <c r="M98" s="393"/>
      <c r="N98" s="393"/>
      <c r="O98" s="393">
        <f>J98*$B$313*$B$317*$B$324</f>
        <v>0</v>
      </c>
      <c r="Q98" s="391">
        <f t="shared" si="51"/>
        <v>0</v>
      </c>
      <c r="U98" s="389">
        <f t="shared" si="25"/>
        <v>0</v>
      </c>
      <c r="V98" s="391">
        <f t="shared" si="39"/>
        <v>0</v>
      </c>
      <c r="W98" s="391"/>
    </row>
    <row r="99" spans="1:23">
      <c r="A99" s="356" t="s">
        <v>530</v>
      </c>
      <c r="B99" s="356" t="s">
        <v>338</v>
      </c>
      <c r="C99" s="390">
        <v>497.26</v>
      </c>
      <c r="D99" s="391">
        <v>6961.64</v>
      </c>
      <c r="F99" s="377">
        <v>505.27</v>
      </c>
      <c r="G99" s="391">
        <v>35368.9</v>
      </c>
      <c r="I99" s="391">
        <f t="shared" si="48"/>
        <v>42330.54</v>
      </c>
      <c r="J99" s="389">
        <f t="shared" si="49"/>
        <v>84</v>
      </c>
      <c r="K99" s="389">
        <f t="shared" si="50"/>
        <v>7</v>
      </c>
      <c r="M99" s="393"/>
      <c r="N99" s="393"/>
      <c r="O99" s="393">
        <f>J99*$B$311*$B$317*$B$325</f>
        <v>9580.3847999999998</v>
      </c>
      <c r="Q99" s="391">
        <f t="shared" si="51"/>
        <v>32750.155200000001</v>
      </c>
      <c r="U99" s="389">
        <f t="shared" si="25"/>
        <v>42330.54</v>
      </c>
      <c r="V99" s="391">
        <f t="shared" si="39"/>
        <v>0</v>
      </c>
      <c r="W99" s="391"/>
    </row>
    <row r="100" spans="1:23">
      <c r="A100" s="356" t="s">
        <v>531</v>
      </c>
      <c r="B100" s="356" t="s">
        <v>339</v>
      </c>
      <c r="C100" s="390">
        <v>994.51</v>
      </c>
      <c r="D100" s="391">
        <v>7956.08</v>
      </c>
      <c r="F100" s="377">
        <v>1010.54</v>
      </c>
      <c r="G100" s="391">
        <v>40421.600000000006</v>
      </c>
      <c r="I100" s="391">
        <f t="shared" si="48"/>
        <v>48377.680000000008</v>
      </c>
      <c r="J100" s="389">
        <f t="shared" si="49"/>
        <v>48.000000000000007</v>
      </c>
      <c r="K100" s="389">
        <f t="shared" si="50"/>
        <v>4.0000000000000009</v>
      </c>
      <c r="M100" s="393"/>
      <c r="N100" s="393"/>
      <c r="O100" s="393">
        <f>J100*$B$312*$B$317*$B$325</f>
        <v>10949.011200000001</v>
      </c>
      <c r="Q100" s="391">
        <f t="shared" si="51"/>
        <v>37428.668800000007</v>
      </c>
      <c r="U100" s="389">
        <f t="shared" si="25"/>
        <v>48377.680000000008</v>
      </c>
      <c r="V100" s="391">
        <f t="shared" si="39"/>
        <v>0</v>
      </c>
      <c r="W100" s="391"/>
    </row>
    <row r="101" spans="1:23">
      <c r="A101" s="356" t="s">
        <v>532</v>
      </c>
      <c r="B101" s="356" t="s">
        <v>340</v>
      </c>
      <c r="C101" s="390">
        <v>1491.77</v>
      </c>
      <c r="D101" s="391">
        <v>0</v>
      </c>
      <c r="F101" s="377">
        <v>1515.8</v>
      </c>
      <c r="G101" s="391">
        <v>0</v>
      </c>
      <c r="I101" s="391">
        <f t="shared" si="48"/>
        <v>0</v>
      </c>
      <c r="J101" s="389">
        <f t="shared" si="49"/>
        <v>0</v>
      </c>
      <c r="K101" s="389">
        <f t="shared" si="50"/>
        <v>0</v>
      </c>
      <c r="M101" s="393"/>
      <c r="N101" s="393"/>
      <c r="O101" s="393">
        <f>J101*$B$313*$B$317*$B$325</f>
        <v>0</v>
      </c>
      <c r="Q101" s="391">
        <f t="shared" si="51"/>
        <v>0</v>
      </c>
      <c r="U101" s="389">
        <f t="shared" si="25"/>
        <v>0</v>
      </c>
      <c r="V101" s="391">
        <f t="shared" si="39"/>
        <v>0</v>
      </c>
      <c r="W101" s="391"/>
    </row>
    <row r="102" spans="1:23">
      <c r="A102" s="356" t="s">
        <v>533</v>
      </c>
      <c r="B102" s="356" t="s">
        <v>341</v>
      </c>
      <c r="C102" s="390">
        <v>1989.03</v>
      </c>
      <c r="D102" s="391">
        <v>0</v>
      </c>
      <c r="F102" s="377">
        <v>2021.07</v>
      </c>
      <c r="G102" s="391">
        <v>0</v>
      </c>
      <c r="I102" s="391">
        <f t="shared" si="48"/>
        <v>0</v>
      </c>
      <c r="J102" s="389">
        <f t="shared" si="49"/>
        <v>0</v>
      </c>
      <c r="K102" s="389">
        <f t="shared" si="50"/>
        <v>0</v>
      </c>
      <c r="M102" s="393"/>
      <c r="N102" s="393"/>
      <c r="Q102" s="391">
        <f t="shared" si="51"/>
        <v>0</v>
      </c>
      <c r="U102" s="389">
        <f t="shared" si="25"/>
        <v>0</v>
      </c>
      <c r="V102" s="391">
        <f t="shared" si="39"/>
        <v>0</v>
      </c>
      <c r="W102" s="391"/>
    </row>
    <row r="103" spans="1:23">
      <c r="A103" s="356" t="s">
        <v>534</v>
      </c>
      <c r="B103" s="356" t="s">
        <v>535</v>
      </c>
      <c r="C103" s="390">
        <v>26.26</v>
      </c>
      <c r="D103" s="391">
        <v>26.26</v>
      </c>
      <c r="F103" s="377">
        <v>26.65</v>
      </c>
      <c r="G103" s="391">
        <v>1163.8600000000001</v>
      </c>
      <c r="I103" s="391">
        <f t="shared" si="48"/>
        <v>1190.1200000000001</v>
      </c>
      <c r="J103" s="389">
        <f t="shared" si="49"/>
        <v>44.672045028142598</v>
      </c>
      <c r="K103" s="389">
        <f t="shared" si="50"/>
        <v>3.7226704190118833</v>
      </c>
      <c r="M103" s="393"/>
      <c r="N103" s="393"/>
      <c r="O103" s="393">
        <f>J103*$B$317*$B$320</f>
        <v>196.11027767354599</v>
      </c>
      <c r="Q103" s="391">
        <f t="shared" si="51"/>
        <v>994.00972232645415</v>
      </c>
      <c r="U103" s="389">
        <f t="shared" si="25"/>
        <v>1190.1200000000001</v>
      </c>
      <c r="V103" s="391">
        <f t="shared" si="39"/>
        <v>0</v>
      </c>
      <c r="W103" s="391"/>
    </row>
    <row r="104" spans="1:23">
      <c r="A104" s="356" t="s">
        <v>536</v>
      </c>
      <c r="B104" s="356" t="s">
        <v>537</v>
      </c>
      <c r="C104" s="390">
        <v>36.020000000000003</v>
      </c>
      <c r="D104" s="391">
        <v>0</v>
      </c>
      <c r="F104" s="377">
        <v>36.57</v>
      </c>
      <c r="G104" s="391">
        <v>0</v>
      </c>
      <c r="I104" s="391">
        <f t="shared" si="48"/>
        <v>0</v>
      </c>
      <c r="J104" s="389">
        <f t="shared" si="49"/>
        <v>0</v>
      </c>
      <c r="K104" s="389">
        <f t="shared" si="50"/>
        <v>0</v>
      </c>
      <c r="M104" s="393"/>
      <c r="N104" s="393"/>
      <c r="O104" s="393">
        <f>J104*$B$317*$B$321</f>
        <v>0</v>
      </c>
      <c r="Q104" s="391">
        <f t="shared" si="51"/>
        <v>0</v>
      </c>
      <c r="U104" s="389">
        <f t="shared" si="25"/>
        <v>0</v>
      </c>
      <c r="V104" s="391">
        <f t="shared" si="39"/>
        <v>0</v>
      </c>
      <c r="W104" s="391"/>
    </row>
    <row r="105" spans="1:23">
      <c r="A105" s="356" t="s">
        <v>538</v>
      </c>
      <c r="B105" s="356" t="s">
        <v>539</v>
      </c>
      <c r="C105" s="390">
        <v>44.87</v>
      </c>
      <c r="D105" s="391">
        <v>709.18999999999994</v>
      </c>
      <c r="F105" s="377">
        <v>45.58</v>
      </c>
      <c r="G105" s="391">
        <v>2550.66</v>
      </c>
      <c r="I105" s="391">
        <f t="shared" si="48"/>
        <v>3259.85</v>
      </c>
      <c r="J105" s="389">
        <f t="shared" si="49"/>
        <v>71.765508138033795</v>
      </c>
      <c r="K105" s="389">
        <f t="shared" si="50"/>
        <v>5.9804590115028162</v>
      </c>
      <c r="M105" s="393"/>
      <c r="N105" s="393"/>
      <c r="O105" s="393">
        <f>J105*$B$317*$B$322</f>
        <v>630.10116145193672</v>
      </c>
      <c r="Q105" s="391">
        <f t="shared" si="51"/>
        <v>2629.7488385480633</v>
      </c>
      <c r="U105" s="389">
        <f t="shared" si="25"/>
        <v>3259.85</v>
      </c>
      <c r="V105" s="391">
        <f t="shared" si="39"/>
        <v>0</v>
      </c>
      <c r="W105" s="391"/>
    </row>
    <row r="106" spans="1:23">
      <c r="A106" s="356"/>
      <c r="B106" s="356"/>
      <c r="C106" s="379"/>
      <c r="F106" s="379"/>
      <c r="M106" s="393"/>
      <c r="N106" s="393"/>
      <c r="Q106" s="391">
        <f t="shared" si="51"/>
        <v>0</v>
      </c>
      <c r="U106" s="389">
        <f t="shared" si="25"/>
        <v>0</v>
      </c>
      <c r="V106" s="391">
        <f t="shared" si="39"/>
        <v>0</v>
      </c>
      <c r="W106" s="391"/>
    </row>
    <row r="107" spans="1:23">
      <c r="A107" s="356" t="s">
        <v>540</v>
      </c>
      <c r="B107" s="356" t="s">
        <v>541</v>
      </c>
      <c r="C107" s="390">
        <v>26.26</v>
      </c>
      <c r="D107" s="391">
        <v>0</v>
      </c>
      <c r="F107" s="377">
        <v>26.65</v>
      </c>
      <c r="G107" s="391">
        <v>186.55</v>
      </c>
      <c r="I107" s="391">
        <f t="shared" ref="I107:I111" si="52">D107+G107</f>
        <v>186.55</v>
      </c>
      <c r="J107" s="389">
        <f t="shared" ref="J107:J111" si="53">D107/C107+G107/F107</f>
        <v>7.0000000000000009</v>
      </c>
      <c r="K107" s="389">
        <f t="shared" ref="K107:K111" si="54">J107/12</f>
        <v>0.58333333333333337</v>
      </c>
      <c r="M107" s="393"/>
      <c r="N107" s="393"/>
      <c r="O107" s="393">
        <f>J107*$B$317*$B$320</f>
        <v>30.73</v>
      </c>
      <c r="Q107" s="391">
        <f t="shared" si="51"/>
        <v>155.82000000000002</v>
      </c>
      <c r="U107" s="389">
        <f t="shared" si="25"/>
        <v>186.55</v>
      </c>
      <c r="V107" s="391">
        <f t="shared" si="39"/>
        <v>0</v>
      </c>
      <c r="W107" s="391"/>
    </row>
    <row r="108" spans="1:23">
      <c r="A108" s="356" t="s">
        <v>542</v>
      </c>
      <c r="B108" s="356" t="s">
        <v>543</v>
      </c>
      <c r="C108" s="390">
        <v>36.020000000000003</v>
      </c>
      <c r="D108" s="391">
        <v>0</v>
      </c>
      <c r="F108" s="377">
        <v>36.57</v>
      </c>
      <c r="G108" s="391">
        <v>0</v>
      </c>
      <c r="I108" s="391">
        <f t="shared" si="52"/>
        <v>0</v>
      </c>
      <c r="J108" s="389">
        <f t="shared" si="53"/>
        <v>0</v>
      </c>
      <c r="K108" s="389">
        <f t="shared" si="54"/>
        <v>0</v>
      </c>
      <c r="M108" s="393"/>
      <c r="N108" s="393"/>
      <c r="O108" s="393">
        <f>J108*$B$317*$B$321</f>
        <v>0</v>
      </c>
      <c r="Q108" s="391">
        <f t="shared" si="51"/>
        <v>0</v>
      </c>
      <c r="U108" s="389">
        <f t="shared" si="25"/>
        <v>0</v>
      </c>
      <c r="V108" s="391">
        <f t="shared" si="39"/>
        <v>0</v>
      </c>
      <c r="W108" s="391"/>
    </row>
    <row r="109" spans="1:23">
      <c r="A109" s="356" t="s">
        <v>544</v>
      </c>
      <c r="B109" s="356" t="s">
        <v>545</v>
      </c>
      <c r="C109" s="390">
        <v>44.87</v>
      </c>
      <c r="D109" s="391">
        <v>179.48000000000002</v>
      </c>
      <c r="F109" s="377">
        <v>45.58</v>
      </c>
      <c r="G109" s="391">
        <v>502.79999999999995</v>
      </c>
      <c r="I109" s="391">
        <f t="shared" si="52"/>
        <v>682.28</v>
      </c>
      <c r="J109" s="389">
        <f t="shared" si="53"/>
        <v>15.031154014918826</v>
      </c>
      <c r="K109" s="389">
        <f t="shared" si="54"/>
        <v>1.2525961679099022</v>
      </c>
      <c r="M109" s="393"/>
      <c r="N109" s="393"/>
      <c r="O109" s="393">
        <f>J109*$B$317*$B$322</f>
        <v>131.97353225098729</v>
      </c>
      <c r="Q109" s="391">
        <f t="shared" si="51"/>
        <v>550.30646774901265</v>
      </c>
      <c r="U109" s="389">
        <f t="shared" si="25"/>
        <v>682.28</v>
      </c>
      <c r="V109" s="391">
        <f t="shared" si="39"/>
        <v>0</v>
      </c>
      <c r="W109" s="391"/>
    </row>
    <row r="110" spans="1:23">
      <c r="A110" s="356" t="s">
        <v>546</v>
      </c>
      <c r="B110" s="356" t="s">
        <v>547</v>
      </c>
      <c r="C110" s="390">
        <v>83.54</v>
      </c>
      <c r="D110" s="391">
        <v>0</v>
      </c>
      <c r="F110" s="377">
        <v>84.89</v>
      </c>
      <c r="G110" s="391">
        <v>0</v>
      </c>
      <c r="I110" s="391">
        <f t="shared" si="52"/>
        <v>0</v>
      </c>
      <c r="J110" s="389">
        <f t="shared" si="53"/>
        <v>0</v>
      </c>
      <c r="K110" s="389">
        <f t="shared" si="54"/>
        <v>0</v>
      </c>
      <c r="M110" s="393"/>
      <c r="N110" s="393"/>
      <c r="O110" s="393">
        <f>J110*$B$317*$B$324</f>
        <v>0</v>
      </c>
      <c r="Q110" s="391">
        <f t="shared" si="51"/>
        <v>0</v>
      </c>
      <c r="U110" s="389">
        <f t="shared" si="25"/>
        <v>0</v>
      </c>
      <c r="V110" s="391">
        <f t="shared" si="39"/>
        <v>0</v>
      </c>
      <c r="W110" s="391"/>
    </row>
    <row r="111" spans="1:23">
      <c r="A111" s="356" t="s">
        <v>548</v>
      </c>
      <c r="B111" s="356" t="s">
        <v>549</v>
      </c>
      <c r="C111" s="390">
        <v>116.84</v>
      </c>
      <c r="D111" s="391">
        <v>0</v>
      </c>
      <c r="F111" s="377">
        <v>118.69</v>
      </c>
      <c r="G111" s="391">
        <v>0</v>
      </c>
      <c r="I111" s="391">
        <f t="shared" si="52"/>
        <v>0</v>
      </c>
      <c r="J111" s="389">
        <f t="shared" si="53"/>
        <v>0</v>
      </c>
      <c r="K111" s="389">
        <f t="shared" si="54"/>
        <v>0</v>
      </c>
      <c r="M111" s="393"/>
      <c r="N111" s="393"/>
      <c r="O111" s="393">
        <f>J111*$B$317*$B$325</f>
        <v>0</v>
      </c>
      <c r="Q111" s="391">
        <f t="shared" si="51"/>
        <v>0</v>
      </c>
      <c r="U111" s="389">
        <f t="shared" si="25"/>
        <v>0</v>
      </c>
      <c r="V111" s="391">
        <f t="shared" si="39"/>
        <v>0</v>
      </c>
      <c r="W111" s="391"/>
    </row>
    <row r="112" spans="1:23">
      <c r="A112" s="356"/>
      <c r="B112" s="356"/>
      <c r="C112" s="379"/>
      <c r="F112" s="379"/>
      <c r="Q112" s="391"/>
      <c r="U112" s="389">
        <f t="shared" si="25"/>
        <v>0</v>
      </c>
      <c r="V112" s="391">
        <f t="shared" si="39"/>
        <v>0</v>
      </c>
      <c r="W112" s="391"/>
    </row>
    <row r="113" spans="1:23">
      <c r="A113" s="354"/>
      <c r="B113" s="354"/>
      <c r="C113" s="379"/>
      <c r="F113" s="379"/>
      <c r="U113" s="389">
        <f t="shared" si="25"/>
        <v>0</v>
      </c>
      <c r="V113" s="391">
        <f t="shared" si="39"/>
        <v>0</v>
      </c>
      <c r="W113" s="391"/>
    </row>
    <row r="114" spans="1:23">
      <c r="A114" s="366" t="s">
        <v>15</v>
      </c>
      <c r="B114" s="366" t="s">
        <v>350</v>
      </c>
      <c r="C114" s="379"/>
      <c r="F114" s="379"/>
      <c r="U114" s="389">
        <f t="shared" si="25"/>
        <v>0</v>
      </c>
      <c r="V114" s="391">
        <f t="shared" si="39"/>
        <v>0</v>
      </c>
      <c r="W114" s="391"/>
    </row>
    <row r="115" spans="1:23">
      <c r="A115" s="356"/>
      <c r="B115" s="356"/>
      <c r="C115" s="379"/>
      <c r="F115" s="379"/>
      <c r="U115" s="389">
        <f t="shared" si="25"/>
        <v>0</v>
      </c>
      <c r="V115" s="391">
        <f t="shared" si="39"/>
        <v>0</v>
      </c>
      <c r="W115" s="391"/>
    </row>
    <row r="116" spans="1:23">
      <c r="A116" s="356" t="s">
        <v>550</v>
      </c>
      <c r="B116" s="356" t="s">
        <v>351</v>
      </c>
      <c r="C116" s="390">
        <v>4.07</v>
      </c>
      <c r="D116" s="391">
        <v>611.99</v>
      </c>
      <c r="F116" s="377">
        <v>4.13</v>
      </c>
      <c r="G116" s="391">
        <v>5851.8100000000013</v>
      </c>
      <c r="I116" s="391">
        <f t="shared" ref="I116" si="55">D116+G116</f>
        <v>6463.8000000000011</v>
      </c>
      <c r="J116" s="389">
        <f t="shared" ref="J116" si="56">D116/C116+G116/F116</f>
        <v>1567.2692410658515</v>
      </c>
      <c r="K116" s="389">
        <f t="shared" ref="K116" si="57">J116/12</f>
        <v>130.60577008882095</v>
      </c>
      <c r="Q116" s="391">
        <f>I116</f>
        <v>6463.8000000000011</v>
      </c>
      <c r="U116" s="389">
        <f t="shared" si="25"/>
        <v>6463.8000000000011</v>
      </c>
      <c r="V116" s="391">
        <f t="shared" si="39"/>
        <v>0</v>
      </c>
      <c r="W116" s="391"/>
    </row>
    <row r="117" spans="1:23">
      <c r="A117" s="356"/>
      <c r="B117" s="356"/>
      <c r="C117" s="379"/>
      <c r="F117" s="377"/>
      <c r="U117" s="389">
        <f t="shared" si="25"/>
        <v>0</v>
      </c>
      <c r="V117" s="391">
        <f t="shared" si="39"/>
        <v>0</v>
      </c>
      <c r="W117" s="391"/>
    </row>
    <row r="118" spans="1:23">
      <c r="A118" s="356" t="s">
        <v>551</v>
      </c>
      <c r="B118" s="356" t="s">
        <v>352</v>
      </c>
      <c r="C118" s="390">
        <v>22.21</v>
      </c>
      <c r="D118" s="391">
        <v>1443.65</v>
      </c>
      <c r="F118" s="377">
        <v>22.49</v>
      </c>
      <c r="G118" s="391">
        <v>12718.1</v>
      </c>
      <c r="I118" s="391">
        <f t="shared" ref="I118:I120" si="58">D118+G118</f>
        <v>14161.75</v>
      </c>
      <c r="J118" s="389">
        <f t="shared" ref="J118:J120" si="59">D118/C118+G118/F118</f>
        <v>630.50022232103163</v>
      </c>
      <c r="K118" s="389">
        <f t="shared" ref="K118:K120" si="60">J118/12</f>
        <v>52.541685193419305</v>
      </c>
      <c r="Q118" s="391">
        <f t="shared" ref="Q118:Q127" si="61">I118</f>
        <v>14161.75</v>
      </c>
      <c r="U118" s="389">
        <f t="shared" si="25"/>
        <v>14161.75</v>
      </c>
      <c r="V118" s="391">
        <f t="shared" si="39"/>
        <v>0</v>
      </c>
      <c r="W118" s="391"/>
    </row>
    <row r="119" spans="1:23">
      <c r="A119" s="356" t="s">
        <v>552</v>
      </c>
      <c r="B119" s="356" t="s">
        <v>353</v>
      </c>
      <c r="C119" s="390">
        <v>7.8</v>
      </c>
      <c r="D119" s="391">
        <v>374.16</v>
      </c>
      <c r="F119" s="377">
        <v>7.8</v>
      </c>
      <c r="G119" s="391">
        <v>1941.0499999999997</v>
      </c>
      <c r="I119" s="391">
        <f t="shared" si="58"/>
        <v>2315.2099999999996</v>
      </c>
      <c r="J119" s="389">
        <f t="shared" si="59"/>
        <v>296.82179487179485</v>
      </c>
      <c r="K119" s="389">
        <f t="shared" si="60"/>
        <v>24.735149572649572</v>
      </c>
      <c r="Q119" s="391">
        <f t="shared" si="61"/>
        <v>2315.2099999999996</v>
      </c>
      <c r="U119" s="389">
        <f t="shared" ref="U119:U182" si="62">SUM(M119:S119)</f>
        <v>2315.2099999999996</v>
      </c>
      <c r="V119" s="391">
        <f t="shared" si="39"/>
        <v>0</v>
      </c>
      <c r="W119" s="391"/>
    </row>
    <row r="120" spans="1:23">
      <c r="A120" s="356" t="s">
        <v>553</v>
      </c>
      <c r="B120" s="356" t="s">
        <v>354</v>
      </c>
      <c r="C120" s="390">
        <v>15.4</v>
      </c>
      <c r="D120" s="391">
        <v>148.1</v>
      </c>
      <c r="F120" s="377">
        <v>15.4</v>
      </c>
      <c r="G120" s="391">
        <v>441.90000000000003</v>
      </c>
      <c r="I120" s="391">
        <f t="shared" si="58"/>
        <v>590</v>
      </c>
      <c r="J120" s="389">
        <f t="shared" si="59"/>
        <v>38.311688311688314</v>
      </c>
      <c r="K120" s="389">
        <f t="shared" si="60"/>
        <v>3.1926406926406927</v>
      </c>
      <c r="Q120" s="391">
        <f t="shared" si="61"/>
        <v>590</v>
      </c>
      <c r="U120" s="389">
        <f t="shared" si="62"/>
        <v>590</v>
      </c>
      <c r="V120" s="391">
        <f t="shared" si="39"/>
        <v>0</v>
      </c>
      <c r="W120" s="391"/>
    </row>
    <row r="121" spans="1:23">
      <c r="A121" s="356"/>
      <c r="B121" s="356"/>
      <c r="C121" s="379"/>
      <c r="F121" s="377"/>
      <c r="Q121" s="391">
        <f t="shared" si="61"/>
        <v>0</v>
      </c>
      <c r="U121" s="389">
        <f t="shared" si="62"/>
        <v>0</v>
      </c>
      <c r="V121" s="391">
        <f t="shared" si="39"/>
        <v>0</v>
      </c>
      <c r="W121" s="391"/>
    </row>
    <row r="122" spans="1:23">
      <c r="A122" s="356" t="s">
        <v>554</v>
      </c>
      <c r="B122" s="356" t="s">
        <v>288</v>
      </c>
      <c r="C122" s="390">
        <v>4.62</v>
      </c>
      <c r="D122" s="391">
        <v>92.4</v>
      </c>
      <c r="F122" s="377">
        <v>4.62</v>
      </c>
      <c r="G122" s="391">
        <v>497.09</v>
      </c>
      <c r="I122" s="391">
        <f t="shared" ref="I122:I127" si="63">D122+G122</f>
        <v>589.49</v>
      </c>
      <c r="J122" s="389">
        <f t="shared" ref="J122:J127" si="64">D122/C122+G122/F122</f>
        <v>127.59523809523809</v>
      </c>
      <c r="K122" s="389">
        <f t="shared" ref="K122:K127" si="65">J122/12</f>
        <v>10.632936507936508</v>
      </c>
      <c r="Q122" s="391">
        <f t="shared" si="61"/>
        <v>589.49</v>
      </c>
      <c r="U122" s="389">
        <f t="shared" si="62"/>
        <v>589.49</v>
      </c>
      <c r="V122" s="391">
        <f t="shared" si="39"/>
        <v>0</v>
      </c>
      <c r="W122" s="391"/>
    </row>
    <row r="123" spans="1:23">
      <c r="A123" s="356" t="s">
        <v>555</v>
      </c>
      <c r="B123" s="356" t="s">
        <v>289</v>
      </c>
      <c r="C123" s="390">
        <v>2.06</v>
      </c>
      <c r="D123" s="391">
        <v>20.6</v>
      </c>
      <c r="F123" s="377">
        <v>2.06</v>
      </c>
      <c r="G123" s="391">
        <v>118.61999999999999</v>
      </c>
      <c r="I123" s="391">
        <f t="shared" si="63"/>
        <v>139.22</v>
      </c>
      <c r="J123" s="389">
        <f t="shared" si="64"/>
        <v>67.582524271844648</v>
      </c>
      <c r="K123" s="389">
        <f t="shared" si="65"/>
        <v>5.6318770226537209</v>
      </c>
      <c r="Q123" s="391">
        <f t="shared" si="61"/>
        <v>139.22</v>
      </c>
      <c r="U123" s="389">
        <f t="shared" si="62"/>
        <v>139.22</v>
      </c>
      <c r="V123" s="391">
        <f t="shared" si="39"/>
        <v>0</v>
      </c>
      <c r="W123" s="391"/>
    </row>
    <row r="124" spans="1:23">
      <c r="A124" s="356" t="s">
        <v>556</v>
      </c>
      <c r="B124" s="356" t="s">
        <v>291</v>
      </c>
      <c r="C124" s="390">
        <v>0.77</v>
      </c>
      <c r="D124" s="391">
        <v>0</v>
      </c>
      <c r="F124" s="377">
        <v>0.77</v>
      </c>
      <c r="G124" s="391">
        <v>0</v>
      </c>
      <c r="I124" s="391">
        <f t="shared" si="63"/>
        <v>0</v>
      </c>
      <c r="J124" s="389">
        <f t="shared" si="64"/>
        <v>0</v>
      </c>
      <c r="K124" s="389">
        <f t="shared" si="65"/>
        <v>0</v>
      </c>
      <c r="Q124" s="391">
        <f t="shared" si="61"/>
        <v>0</v>
      </c>
      <c r="U124" s="389">
        <f t="shared" si="62"/>
        <v>0</v>
      </c>
      <c r="V124" s="391">
        <f t="shared" si="39"/>
        <v>0</v>
      </c>
      <c r="W124" s="391"/>
    </row>
    <row r="125" spans="1:23">
      <c r="A125" s="356" t="s">
        <v>462</v>
      </c>
      <c r="B125" s="356" t="s">
        <v>355</v>
      </c>
      <c r="C125" s="390">
        <v>8.25</v>
      </c>
      <c r="D125" s="391">
        <v>0</v>
      </c>
      <c r="F125" s="377">
        <v>8.25</v>
      </c>
      <c r="G125" s="391">
        <v>0</v>
      </c>
      <c r="I125" s="391">
        <f t="shared" si="63"/>
        <v>0</v>
      </c>
      <c r="J125" s="389">
        <f t="shared" si="64"/>
        <v>0</v>
      </c>
      <c r="K125" s="389">
        <f t="shared" si="65"/>
        <v>0</v>
      </c>
      <c r="Q125" s="391">
        <f t="shared" si="61"/>
        <v>0</v>
      </c>
      <c r="U125" s="389">
        <f t="shared" si="62"/>
        <v>0</v>
      </c>
      <c r="V125" s="391">
        <f t="shared" si="39"/>
        <v>0</v>
      </c>
      <c r="W125" s="391"/>
    </row>
    <row r="126" spans="1:23">
      <c r="A126" s="356" t="s">
        <v>557</v>
      </c>
      <c r="B126" s="356" t="s">
        <v>356</v>
      </c>
      <c r="C126" s="390">
        <v>80</v>
      </c>
      <c r="D126" s="391">
        <v>0</v>
      </c>
      <c r="F126" s="377">
        <v>80</v>
      </c>
      <c r="G126" s="391">
        <v>23.25</v>
      </c>
      <c r="I126" s="391">
        <f t="shared" si="63"/>
        <v>23.25</v>
      </c>
      <c r="J126" s="389">
        <f t="shared" si="64"/>
        <v>0.29062500000000002</v>
      </c>
      <c r="K126" s="389">
        <f t="shared" si="65"/>
        <v>2.4218750000000001E-2</v>
      </c>
      <c r="Q126" s="391">
        <f t="shared" si="61"/>
        <v>23.25</v>
      </c>
      <c r="U126" s="389">
        <f t="shared" si="62"/>
        <v>23.25</v>
      </c>
      <c r="V126" s="391">
        <f t="shared" si="39"/>
        <v>0</v>
      </c>
      <c r="W126" s="391"/>
    </row>
    <row r="127" spans="1:23">
      <c r="A127" s="356" t="s">
        <v>460</v>
      </c>
      <c r="B127" s="356" t="s">
        <v>357</v>
      </c>
      <c r="C127" s="390">
        <v>10.3</v>
      </c>
      <c r="D127" s="391">
        <v>20.6</v>
      </c>
      <c r="F127" s="377">
        <v>10.3</v>
      </c>
      <c r="G127" s="391">
        <v>257.5</v>
      </c>
      <c r="I127" s="391">
        <f t="shared" si="63"/>
        <v>278.10000000000002</v>
      </c>
      <c r="J127" s="389">
        <f t="shared" si="64"/>
        <v>27</v>
      </c>
      <c r="K127" s="389">
        <f t="shared" si="65"/>
        <v>2.25</v>
      </c>
      <c r="Q127" s="391">
        <f t="shared" si="61"/>
        <v>278.10000000000002</v>
      </c>
      <c r="U127" s="389">
        <f t="shared" si="62"/>
        <v>278.10000000000002</v>
      </c>
      <c r="V127" s="391">
        <f t="shared" si="39"/>
        <v>0</v>
      </c>
      <c r="W127" s="391"/>
    </row>
    <row r="128" spans="1:23">
      <c r="A128" s="356"/>
      <c r="B128" s="356"/>
      <c r="C128" s="379"/>
      <c r="F128" s="377"/>
      <c r="U128" s="389">
        <f t="shared" si="62"/>
        <v>0</v>
      </c>
      <c r="V128" s="391">
        <f t="shared" si="39"/>
        <v>0</v>
      </c>
      <c r="W128" s="391"/>
    </row>
    <row r="129" spans="1:23">
      <c r="A129" s="356" t="s">
        <v>558</v>
      </c>
      <c r="B129" s="356" t="s">
        <v>294</v>
      </c>
      <c r="C129" s="390">
        <v>10.66</v>
      </c>
      <c r="D129" s="391">
        <v>0</v>
      </c>
      <c r="F129" s="377">
        <v>10.66</v>
      </c>
      <c r="G129" s="391">
        <v>0</v>
      </c>
      <c r="I129" s="391">
        <f t="shared" ref="I129" si="66">D129+G129</f>
        <v>0</v>
      </c>
      <c r="J129" s="389">
        <f t="shared" ref="J129" si="67">D129/C129+G129/F129</f>
        <v>0</v>
      </c>
      <c r="K129" s="389">
        <f t="shared" ref="K129" si="68">J129/12</f>
        <v>0</v>
      </c>
      <c r="Q129" s="391">
        <f>I129</f>
        <v>0</v>
      </c>
      <c r="U129" s="389">
        <f t="shared" si="62"/>
        <v>0</v>
      </c>
      <c r="V129" s="391">
        <f t="shared" si="39"/>
        <v>0</v>
      </c>
      <c r="W129" s="391"/>
    </row>
    <row r="130" spans="1:23">
      <c r="A130" s="356"/>
      <c r="B130" s="356"/>
      <c r="C130" s="379"/>
      <c r="F130" s="377"/>
      <c r="U130" s="389">
        <f t="shared" si="62"/>
        <v>0</v>
      </c>
      <c r="V130" s="391">
        <f t="shared" si="39"/>
        <v>0</v>
      </c>
      <c r="W130" s="391"/>
    </row>
    <row r="131" spans="1:23">
      <c r="A131" s="356" t="s">
        <v>559</v>
      </c>
      <c r="B131" s="356" t="s">
        <v>358</v>
      </c>
      <c r="C131" s="390">
        <v>17.190000000000001</v>
      </c>
      <c r="D131" s="391">
        <v>1830.73</v>
      </c>
      <c r="F131" s="377">
        <v>17.47</v>
      </c>
      <c r="G131" s="391">
        <v>9765.7599999999984</v>
      </c>
      <c r="I131" s="391">
        <f t="shared" ref="I131:I136" si="69">D131+G131</f>
        <v>11596.489999999998</v>
      </c>
      <c r="J131" s="389">
        <f t="shared" ref="J131:J136" si="70">D131/C131+G131/F131</f>
        <v>665.50142636275336</v>
      </c>
      <c r="K131" s="389">
        <f t="shared" ref="K131:K136" si="71">J131/12</f>
        <v>55.458452196896111</v>
      </c>
      <c r="Q131" s="391">
        <f t="shared" ref="Q131:Q136" si="72">I131</f>
        <v>11596.489999999998</v>
      </c>
      <c r="U131" s="389">
        <f t="shared" si="62"/>
        <v>11596.489999999998</v>
      </c>
      <c r="V131" s="391">
        <f t="shared" si="39"/>
        <v>0</v>
      </c>
      <c r="W131" s="391"/>
    </row>
    <row r="132" spans="1:23">
      <c r="A132" s="356" t="s">
        <v>560</v>
      </c>
      <c r="B132" s="356" t="s">
        <v>359</v>
      </c>
      <c r="C132" s="390">
        <v>33.340000000000003</v>
      </c>
      <c r="D132" s="391">
        <v>1408.62</v>
      </c>
      <c r="F132" s="377">
        <v>33.86</v>
      </c>
      <c r="G132" s="391">
        <v>7855.0100000000011</v>
      </c>
      <c r="I132" s="391">
        <f t="shared" si="69"/>
        <v>9263.630000000001</v>
      </c>
      <c r="J132" s="389">
        <f t="shared" si="70"/>
        <v>274.23508794992335</v>
      </c>
      <c r="K132" s="389">
        <f t="shared" si="71"/>
        <v>22.852923995826945</v>
      </c>
      <c r="Q132" s="391">
        <f t="shared" si="72"/>
        <v>9263.630000000001</v>
      </c>
      <c r="U132" s="389">
        <f t="shared" si="62"/>
        <v>9263.630000000001</v>
      </c>
      <c r="V132" s="391">
        <f t="shared" si="39"/>
        <v>0</v>
      </c>
      <c r="W132" s="391"/>
    </row>
    <row r="133" spans="1:23">
      <c r="A133" s="356" t="s">
        <v>561</v>
      </c>
      <c r="B133" s="356" t="s">
        <v>360</v>
      </c>
      <c r="C133" s="390">
        <v>50.01</v>
      </c>
      <c r="D133" s="391">
        <v>300.06</v>
      </c>
      <c r="F133" s="377">
        <v>50.79</v>
      </c>
      <c r="G133" s="391">
        <v>2145.88</v>
      </c>
      <c r="I133" s="391">
        <f t="shared" si="69"/>
        <v>2445.94</v>
      </c>
      <c r="J133" s="389">
        <f t="shared" si="70"/>
        <v>48.250049222287856</v>
      </c>
      <c r="K133" s="389">
        <f t="shared" si="71"/>
        <v>4.0208374351906544</v>
      </c>
      <c r="Q133" s="391">
        <f t="shared" si="72"/>
        <v>2445.94</v>
      </c>
      <c r="U133" s="389">
        <f t="shared" si="62"/>
        <v>2445.94</v>
      </c>
      <c r="V133" s="391">
        <f t="shared" si="39"/>
        <v>0</v>
      </c>
      <c r="W133" s="391"/>
    </row>
    <row r="134" spans="1:23">
      <c r="A134" s="356" t="s">
        <v>562</v>
      </c>
      <c r="B134" s="356" t="s">
        <v>361</v>
      </c>
      <c r="C134" s="390">
        <v>66.680000000000007</v>
      </c>
      <c r="D134" s="391">
        <v>133.36000000000001</v>
      </c>
      <c r="F134" s="377">
        <v>67.72</v>
      </c>
      <c r="G134" s="391">
        <v>677.20000000000016</v>
      </c>
      <c r="I134" s="391">
        <f t="shared" si="69"/>
        <v>810.56000000000017</v>
      </c>
      <c r="J134" s="389">
        <f t="shared" si="70"/>
        <v>12.000000000000002</v>
      </c>
      <c r="K134" s="389">
        <f t="shared" si="71"/>
        <v>1.0000000000000002</v>
      </c>
      <c r="Q134" s="391">
        <f t="shared" si="72"/>
        <v>810.56000000000017</v>
      </c>
      <c r="U134" s="389">
        <f t="shared" si="62"/>
        <v>810.56000000000017</v>
      </c>
      <c r="V134" s="391">
        <f t="shared" si="39"/>
        <v>0</v>
      </c>
      <c r="W134" s="391"/>
    </row>
    <row r="135" spans="1:23">
      <c r="A135" s="356" t="s">
        <v>563</v>
      </c>
      <c r="B135" s="356" t="s">
        <v>362</v>
      </c>
      <c r="C135" s="390">
        <v>83.35</v>
      </c>
      <c r="D135" s="391">
        <v>0</v>
      </c>
      <c r="F135" s="377">
        <v>84.65</v>
      </c>
      <c r="G135" s="391">
        <v>0</v>
      </c>
      <c r="I135" s="391">
        <f t="shared" si="69"/>
        <v>0</v>
      </c>
      <c r="J135" s="389">
        <f t="shared" si="70"/>
        <v>0</v>
      </c>
      <c r="K135" s="389">
        <f t="shared" si="71"/>
        <v>0</v>
      </c>
      <c r="Q135" s="391">
        <f t="shared" si="72"/>
        <v>0</v>
      </c>
      <c r="U135" s="389">
        <f t="shared" si="62"/>
        <v>0</v>
      </c>
      <c r="V135" s="391">
        <f t="shared" ref="V135:V198" si="73">I135-U135</f>
        <v>0</v>
      </c>
      <c r="W135" s="391"/>
    </row>
    <row r="136" spans="1:23">
      <c r="A136" s="356" t="s">
        <v>564</v>
      </c>
      <c r="B136" s="356" t="s">
        <v>363</v>
      </c>
      <c r="C136" s="390">
        <v>32.39</v>
      </c>
      <c r="D136" s="391">
        <v>0</v>
      </c>
      <c r="F136" s="377">
        <v>32.78</v>
      </c>
      <c r="G136" s="391">
        <v>65.56</v>
      </c>
      <c r="I136" s="391">
        <f t="shared" si="69"/>
        <v>65.56</v>
      </c>
      <c r="J136" s="389">
        <f t="shared" si="70"/>
        <v>2</v>
      </c>
      <c r="K136" s="389">
        <f t="shared" si="71"/>
        <v>0.16666666666666666</v>
      </c>
      <c r="Q136" s="391">
        <f t="shared" si="72"/>
        <v>65.56</v>
      </c>
      <c r="U136" s="389">
        <f t="shared" si="62"/>
        <v>65.56</v>
      </c>
      <c r="V136" s="391">
        <f t="shared" si="73"/>
        <v>0</v>
      </c>
      <c r="W136" s="391"/>
    </row>
    <row r="137" spans="1:23">
      <c r="A137" s="356"/>
      <c r="B137" s="356"/>
      <c r="C137" s="390"/>
      <c r="F137" s="377"/>
      <c r="U137" s="389">
        <f t="shared" si="62"/>
        <v>0</v>
      </c>
      <c r="V137" s="391">
        <f t="shared" si="73"/>
        <v>0</v>
      </c>
      <c r="W137" s="391"/>
    </row>
    <row r="138" spans="1:23">
      <c r="A138" s="356"/>
      <c r="B138" s="356"/>
      <c r="C138" s="379"/>
      <c r="F138" s="377"/>
      <c r="U138" s="389">
        <f t="shared" si="62"/>
        <v>0</v>
      </c>
      <c r="V138" s="391">
        <f t="shared" si="73"/>
        <v>0</v>
      </c>
      <c r="W138" s="391"/>
    </row>
    <row r="139" spans="1:23">
      <c r="A139" s="356" t="s">
        <v>565</v>
      </c>
      <c r="B139" s="356" t="s">
        <v>364</v>
      </c>
      <c r="C139" s="390">
        <v>86.12</v>
      </c>
      <c r="D139" s="391">
        <v>516.72</v>
      </c>
      <c r="F139" s="377">
        <v>87.81</v>
      </c>
      <c r="G139" s="391">
        <v>2634.2999999999997</v>
      </c>
      <c r="I139" s="391">
        <f t="shared" ref="I139:I171" si="74">D139+G139</f>
        <v>3151.0199999999995</v>
      </c>
      <c r="J139" s="389">
        <f t="shared" ref="J139:J170" si="75">D139/C139+G139/F139</f>
        <v>36</v>
      </c>
      <c r="K139" s="389">
        <f t="shared" ref="K139:K170" si="76">J139/12</f>
        <v>3</v>
      </c>
      <c r="Q139" s="391">
        <f t="shared" ref="Q139:Q171" si="77">I139</f>
        <v>3151.0199999999995</v>
      </c>
      <c r="U139" s="389">
        <f t="shared" si="62"/>
        <v>3151.0199999999995</v>
      </c>
      <c r="V139" s="391">
        <f t="shared" si="73"/>
        <v>0</v>
      </c>
      <c r="W139" s="391"/>
    </row>
    <row r="140" spans="1:23">
      <c r="A140" s="356" t="s">
        <v>566</v>
      </c>
      <c r="B140" s="356" t="s">
        <v>365</v>
      </c>
      <c r="C140" s="390">
        <v>118.86</v>
      </c>
      <c r="D140" s="391">
        <v>237.72</v>
      </c>
      <c r="F140" s="377">
        <v>121.24</v>
      </c>
      <c r="G140" s="391">
        <v>1212.3999999999999</v>
      </c>
      <c r="I140" s="391">
        <f t="shared" si="74"/>
        <v>1450.12</v>
      </c>
      <c r="J140" s="389">
        <f t="shared" si="75"/>
        <v>12</v>
      </c>
      <c r="K140" s="389">
        <f t="shared" si="76"/>
        <v>1</v>
      </c>
      <c r="Q140" s="391">
        <f t="shared" si="77"/>
        <v>1450.12</v>
      </c>
      <c r="U140" s="389">
        <f t="shared" si="62"/>
        <v>1450.12</v>
      </c>
      <c r="V140" s="391">
        <f t="shared" si="73"/>
        <v>0</v>
      </c>
      <c r="W140" s="391"/>
    </row>
    <row r="141" spans="1:23">
      <c r="A141" s="356" t="s">
        <v>567</v>
      </c>
      <c r="B141" s="356" t="s">
        <v>331</v>
      </c>
      <c r="C141" s="397">
        <v>356.58</v>
      </c>
      <c r="D141" s="391">
        <v>0</v>
      </c>
      <c r="F141" s="398">
        <v>363.72</v>
      </c>
      <c r="G141" s="391">
        <v>0</v>
      </c>
      <c r="I141" s="391">
        <f t="shared" si="74"/>
        <v>0</v>
      </c>
      <c r="J141" s="389">
        <f t="shared" si="75"/>
        <v>0</v>
      </c>
      <c r="K141" s="389">
        <f t="shared" si="76"/>
        <v>0</v>
      </c>
      <c r="Q141" s="391">
        <f t="shared" si="77"/>
        <v>0</v>
      </c>
      <c r="U141" s="389">
        <f t="shared" si="62"/>
        <v>0</v>
      </c>
      <c r="V141" s="391">
        <f t="shared" si="73"/>
        <v>0</v>
      </c>
      <c r="W141" s="391"/>
    </row>
    <row r="142" spans="1:23">
      <c r="A142" s="356" t="s">
        <v>568</v>
      </c>
      <c r="B142" s="356" t="s">
        <v>366</v>
      </c>
      <c r="C142" s="397">
        <v>147.83000000000001</v>
      </c>
      <c r="D142" s="391">
        <v>2956.6</v>
      </c>
      <c r="F142" s="398">
        <v>150.9</v>
      </c>
      <c r="G142" s="391">
        <v>13354.650000000001</v>
      </c>
      <c r="I142" s="391">
        <f t="shared" si="74"/>
        <v>16311.250000000002</v>
      </c>
      <c r="J142" s="389">
        <f t="shared" si="75"/>
        <v>108.5</v>
      </c>
      <c r="K142" s="389">
        <f t="shared" si="76"/>
        <v>9.0416666666666661</v>
      </c>
      <c r="Q142" s="391">
        <f t="shared" si="77"/>
        <v>16311.250000000002</v>
      </c>
      <c r="U142" s="389">
        <f t="shared" si="62"/>
        <v>16311.250000000002</v>
      </c>
      <c r="V142" s="391">
        <f t="shared" si="73"/>
        <v>0</v>
      </c>
      <c r="W142" s="391"/>
    </row>
    <row r="143" spans="1:23">
      <c r="A143" s="356" t="s">
        <v>569</v>
      </c>
      <c r="B143" s="356" t="s">
        <v>367</v>
      </c>
      <c r="C143" s="397">
        <v>295.64999999999998</v>
      </c>
      <c r="D143" s="391">
        <v>0</v>
      </c>
      <c r="F143" s="398">
        <v>301.8</v>
      </c>
      <c r="G143" s="391">
        <v>0</v>
      </c>
      <c r="I143" s="391">
        <f t="shared" si="74"/>
        <v>0</v>
      </c>
      <c r="J143" s="389">
        <f t="shared" si="75"/>
        <v>0</v>
      </c>
      <c r="K143" s="389">
        <f t="shared" si="76"/>
        <v>0</v>
      </c>
      <c r="Q143" s="391">
        <f t="shared" si="77"/>
        <v>0</v>
      </c>
      <c r="U143" s="389">
        <f t="shared" si="62"/>
        <v>0</v>
      </c>
      <c r="V143" s="391">
        <f t="shared" si="73"/>
        <v>0</v>
      </c>
      <c r="W143" s="391"/>
    </row>
    <row r="144" spans="1:23">
      <c r="A144" s="356" t="s">
        <v>570</v>
      </c>
      <c r="B144" s="356" t="s">
        <v>334</v>
      </c>
      <c r="C144" s="390">
        <v>443.48</v>
      </c>
      <c r="D144" s="391">
        <v>0</v>
      </c>
      <c r="F144" s="377">
        <v>452.7</v>
      </c>
      <c r="G144" s="391">
        <v>0</v>
      </c>
      <c r="I144" s="391">
        <f t="shared" si="74"/>
        <v>0</v>
      </c>
      <c r="J144" s="389">
        <f t="shared" si="75"/>
        <v>0</v>
      </c>
      <c r="K144" s="389">
        <f t="shared" si="76"/>
        <v>0</v>
      </c>
      <c r="Q144" s="391">
        <f t="shared" si="77"/>
        <v>0</v>
      </c>
      <c r="U144" s="389">
        <f t="shared" si="62"/>
        <v>0</v>
      </c>
      <c r="V144" s="391">
        <f t="shared" si="73"/>
        <v>0</v>
      </c>
      <c r="W144" s="391"/>
    </row>
    <row r="145" spans="1:23">
      <c r="A145" s="356" t="s">
        <v>571</v>
      </c>
      <c r="B145" s="356" t="s">
        <v>368</v>
      </c>
      <c r="C145" s="390">
        <v>277.42</v>
      </c>
      <c r="D145" s="391">
        <v>25106.510000000002</v>
      </c>
      <c r="F145" s="377">
        <v>283.27</v>
      </c>
      <c r="G145" s="391">
        <v>135469.5</v>
      </c>
      <c r="I145" s="391">
        <f t="shared" si="74"/>
        <v>160576.01</v>
      </c>
      <c r="J145" s="389">
        <f t="shared" si="75"/>
        <v>568.73454654569855</v>
      </c>
      <c r="K145" s="389">
        <f t="shared" si="76"/>
        <v>47.394545545474877</v>
      </c>
      <c r="Q145" s="391">
        <f t="shared" si="77"/>
        <v>160576.01</v>
      </c>
      <c r="U145" s="389">
        <f t="shared" si="62"/>
        <v>160576.01</v>
      </c>
      <c r="V145" s="391">
        <f t="shared" si="73"/>
        <v>0</v>
      </c>
      <c r="W145" s="391"/>
    </row>
    <row r="146" spans="1:23">
      <c r="A146" s="356" t="s">
        <v>572</v>
      </c>
      <c r="B146" s="356" t="s">
        <v>369</v>
      </c>
      <c r="C146" s="390">
        <v>554.85</v>
      </c>
      <c r="D146" s="391">
        <v>11097</v>
      </c>
      <c r="F146" s="377">
        <v>566.54</v>
      </c>
      <c r="G146" s="391">
        <v>62531.86</v>
      </c>
      <c r="I146" s="391">
        <f t="shared" si="74"/>
        <v>73628.86</v>
      </c>
      <c r="J146" s="389">
        <f t="shared" si="75"/>
        <v>130.37501323825325</v>
      </c>
      <c r="K146" s="389">
        <f t="shared" si="76"/>
        <v>10.864584436521104</v>
      </c>
      <c r="Q146" s="391">
        <f t="shared" si="77"/>
        <v>73628.86</v>
      </c>
      <c r="U146" s="389">
        <f t="shared" si="62"/>
        <v>73628.86</v>
      </c>
      <c r="V146" s="391">
        <f t="shared" si="73"/>
        <v>0</v>
      </c>
      <c r="W146" s="391"/>
    </row>
    <row r="147" spans="1:23">
      <c r="A147" s="356" t="s">
        <v>573</v>
      </c>
      <c r="B147" s="356" t="s">
        <v>337</v>
      </c>
      <c r="C147" s="390">
        <v>832.27</v>
      </c>
      <c r="D147" s="391">
        <v>0</v>
      </c>
      <c r="F147" s="377">
        <v>849.81</v>
      </c>
      <c r="G147" s="391">
        <v>0</v>
      </c>
      <c r="I147" s="391">
        <f t="shared" si="74"/>
        <v>0</v>
      </c>
      <c r="J147" s="389">
        <f t="shared" si="75"/>
        <v>0</v>
      </c>
      <c r="K147" s="389">
        <f t="shared" si="76"/>
        <v>0</v>
      </c>
      <c r="Q147" s="391">
        <f t="shared" si="77"/>
        <v>0</v>
      </c>
      <c r="U147" s="389">
        <f t="shared" si="62"/>
        <v>0</v>
      </c>
      <c r="V147" s="391">
        <f t="shared" si="73"/>
        <v>0</v>
      </c>
      <c r="W147" s="391"/>
    </row>
    <row r="148" spans="1:23">
      <c r="A148" s="356" t="s">
        <v>574</v>
      </c>
      <c r="B148" s="356" t="s">
        <v>575</v>
      </c>
      <c r="C148" s="377">
        <v>1109.69</v>
      </c>
      <c r="D148" s="391">
        <v>0</v>
      </c>
      <c r="F148" s="377">
        <v>1133.07</v>
      </c>
      <c r="G148" s="391">
        <v>0</v>
      </c>
      <c r="I148" s="391">
        <f t="shared" si="74"/>
        <v>0</v>
      </c>
      <c r="J148" s="389">
        <f t="shared" si="75"/>
        <v>0</v>
      </c>
      <c r="K148" s="389">
        <f t="shared" si="76"/>
        <v>0</v>
      </c>
      <c r="Q148" s="391">
        <f t="shared" si="77"/>
        <v>0</v>
      </c>
      <c r="U148" s="389">
        <f t="shared" si="62"/>
        <v>0</v>
      </c>
      <c r="V148" s="391">
        <f t="shared" si="73"/>
        <v>0</v>
      </c>
      <c r="W148" s="391"/>
    </row>
    <row r="149" spans="1:23">
      <c r="A149" s="356" t="s">
        <v>576</v>
      </c>
      <c r="B149" s="356" t="s">
        <v>371</v>
      </c>
      <c r="C149" s="390">
        <v>383.72</v>
      </c>
      <c r="D149" s="391">
        <v>32903.99</v>
      </c>
      <c r="F149" s="377">
        <v>391.74</v>
      </c>
      <c r="G149" s="391">
        <v>158687.36000000002</v>
      </c>
      <c r="I149" s="391">
        <f t="shared" si="74"/>
        <v>191591.35</v>
      </c>
      <c r="J149" s="389">
        <f t="shared" si="75"/>
        <v>490.83337162403637</v>
      </c>
      <c r="K149" s="389">
        <f t="shared" si="76"/>
        <v>40.902780968669695</v>
      </c>
      <c r="Q149" s="391">
        <f t="shared" si="77"/>
        <v>191591.35</v>
      </c>
      <c r="U149" s="389">
        <f t="shared" si="62"/>
        <v>191591.35</v>
      </c>
      <c r="V149" s="391">
        <f t="shared" si="73"/>
        <v>0</v>
      </c>
      <c r="W149" s="391"/>
    </row>
    <row r="150" spans="1:23">
      <c r="A150" s="356" t="s">
        <v>577</v>
      </c>
      <c r="B150" s="356" t="s">
        <v>372</v>
      </c>
      <c r="C150" s="390">
        <v>767.45</v>
      </c>
      <c r="D150" s="391">
        <v>49116.800000000003</v>
      </c>
      <c r="F150" s="377">
        <v>783.47</v>
      </c>
      <c r="G150" s="391">
        <v>264617.00999999995</v>
      </c>
      <c r="I150" s="391">
        <f t="shared" si="74"/>
        <v>313733.80999999994</v>
      </c>
      <c r="J150" s="389">
        <f t="shared" si="75"/>
        <v>401.75002233652845</v>
      </c>
      <c r="K150" s="389">
        <f t="shared" si="76"/>
        <v>33.479168528044035</v>
      </c>
      <c r="Q150" s="391">
        <f t="shared" si="77"/>
        <v>313733.80999999994</v>
      </c>
      <c r="U150" s="389">
        <f t="shared" si="62"/>
        <v>313733.80999999994</v>
      </c>
      <c r="V150" s="391">
        <f t="shared" si="73"/>
        <v>0</v>
      </c>
      <c r="W150" s="391"/>
    </row>
    <row r="151" spans="1:23">
      <c r="A151" s="356" t="s">
        <v>578</v>
      </c>
      <c r="B151" s="356" t="s">
        <v>340</v>
      </c>
      <c r="C151" s="390">
        <v>1151.17</v>
      </c>
      <c r="D151" s="391">
        <v>0</v>
      </c>
      <c r="F151" s="377">
        <v>1175.21</v>
      </c>
      <c r="G151" s="391">
        <v>0</v>
      </c>
      <c r="I151" s="391">
        <f t="shared" si="74"/>
        <v>0</v>
      </c>
      <c r="J151" s="389">
        <f t="shared" si="75"/>
        <v>0</v>
      </c>
      <c r="K151" s="389">
        <f t="shared" si="76"/>
        <v>0</v>
      </c>
      <c r="Q151" s="391">
        <f t="shared" si="77"/>
        <v>0</v>
      </c>
      <c r="U151" s="389">
        <f t="shared" si="62"/>
        <v>0</v>
      </c>
      <c r="V151" s="391">
        <f t="shared" si="73"/>
        <v>0</v>
      </c>
      <c r="W151" s="391"/>
    </row>
    <row r="152" spans="1:23">
      <c r="A152" s="356" t="s">
        <v>579</v>
      </c>
      <c r="B152" s="356" t="s">
        <v>341</v>
      </c>
      <c r="C152" s="390">
        <v>1534.9</v>
      </c>
      <c r="D152" s="391">
        <v>0</v>
      </c>
      <c r="F152" s="377">
        <v>1566.94</v>
      </c>
      <c r="G152" s="391">
        <v>0</v>
      </c>
      <c r="I152" s="391">
        <f t="shared" si="74"/>
        <v>0</v>
      </c>
      <c r="J152" s="389">
        <f t="shared" si="75"/>
        <v>0</v>
      </c>
      <c r="K152" s="389">
        <f t="shared" si="76"/>
        <v>0</v>
      </c>
      <c r="Q152" s="391">
        <f t="shared" si="77"/>
        <v>0</v>
      </c>
      <c r="U152" s="389">
        <f t="shared" si="62"/>
        <v>0</v>
      </c>
      <c r="V152" s="391">
        <f t="shared" si="73"/>
        <v>0</v>
      </c>
      <c r="W152" s="391"/>
    </row>
    <row r="153" spans="1:23">
      <c r="A153" s="356" t="s">
        <v>580</v>
      </c>
      <c r="B153" s="356" t="s">
        <v>373</v>
      </c>
      <c r="C153" s="390">
        <v>1918.62</v>
      </c>
      <c r="D153" s="391">
        <v>0</v>
      </c>
      <c r="F153" s="377">
        <v>1958.68</v>
      </c>
      <c r="G153" s="391">
        <v>0</v>
      </c>
      <c r="I153" s="391">
        <f t="shared" si="74"/>
        <v>0</v>
      </c>
      <c r="J153" s="389">
        <f t="shared" si="75"/>
        <v>0</v>
      </c>
      <c r="K153" s="389">
        <f t="shared" si="76"/>
        <v>0</v>
      </c>
      <c r="Q153" s="391">
        <f t="shared" si="77"/>
        <v>0</v>
      </c>
      <c r="U153" s="389">
        <f t="shared" si="62"/>
        <v>0</v>
      </c>
      <c r="V153" s="391">
        <f t="shared" si="73"/>
        <v>0</v>
      </c>
      <c r="W153" s="391"/>
    </row>
    <row r="154" spans="1:23">
      <c r="A154" s="356" t="s">
        <v>581</v>
      </c>
      <c r="B154" s="356" t="s">
        <v>374</v>
      </c>
      <c r="C154" s="377">
        <v>313.67</v>
      </c>
      <c r="D154" s="391">
        <v>0</v>
      </c>
      <c r="F154" s="377">
        <v>320.64</v>
      </c>
      <c r="G154" s="391">
        <v>0</v>
      </c>
      <c r="I154" s="391">
        <f t="shared" si="74"/>
        <v>0</v>
      </c>
      <c r="J154" s="389">
        <f t="shared" si="75"/>
        <v>0</v>
      </c>
      <c r="K154" s="389">
        <f t="shared" si="76"/>
        <v>0</v>
      </c>
      <c r="Q154" s="391">
        <f t="shared" si="77"/>
        <v>0</v>
      </c>
      <c r="U154" s="389">
        <f t="shared" si="62"/>
        <v>0</v>
      </c>
      <c r="V154" s="391">
        <f t="shared" si="73"/>
        <v>0</v>
      </c>
      <c r="W154" s="391"/>
    </row>
    <row r="155" spans="1:23">
      <c r="A155" s="356" t="s">
        <v>582</v>
      </c>
      <c r="B155" s="356" t="s">
        <v>375</v>
      </c>
      <c r="C155" s="377">
        <v>627.34</v>
      </c>
      <c r="D155" s="391">
        <v>0</v>
      </c>
      <c r="F155" s="398">
        <v>641.27</v>
      </c>
      <c r="G155" s="391">
        <v>0</v>
      </c>
      <c r="I155" s="391">
        <f t="shared" si="74"/>
        <v>0</v>
      </c>
      <c r="J155" s="389">
        <f t="shared" si="75"/>
        <v>0</v>
      </c>
      <c r="K155" s="389">
        <f t="shared" si="76"/>
        <v>0</v>
      </c>
      <c r="Q155" s="391">
        <f t="shared" si="77"/>
        <v>0</v>
      </c>
      <c r="U155" s="389">
        <f t="shared" si="62"/>
        <v>0</v>
      </c>
      <c r="V155" s="391">
        <f t="shared" si="73"/>
        <v>0</v>
      </c>
      <c r="W155" s="391"/>
    </row>
    <row r="156" spans="1:23">
      <c r="A156" s="356" t="s">
        <v>583</v>
      </c>
      <c r="B156" s="356" t="s">
        <v>376</v>
      </c>
      <c r="C156" s="377">
        <v>567.36</v>
      </c>
      <c r="D156" s="391">
        <v>0</v>
      </c>
      <c r="F156" s="377">
        <v>580.52</v>
      </c>
      <c r="G156" s="391">
        <v>0</v>
      </c>
      <c r="I156" s="391">
        <f t="shared" si="74"/>
        <v>0</v>
      </c>
      <c r="J156" s="389">
        <f t="shared" si="75"/>
        <v>0</v>
      </c>
      <c r="K156" s="389">
        <f t="shared" si="76"/>
        <v>0</v>
      </c>
      <c r="Q156" s="391">
        <f t="shared" si="77"/>
        <v>0</v>
      </c>
      <c r="U156" s="389">
        <f t="shared" si="62"/>
        <v>0</v>
      </c>
      <c r="V156" s="391">
        <f t="shared" si="73"/>
        <v>0</v>
      </c>
      <c r="W156" s="391"/>
    </row>
    <row r="157" spans="1:23">
      <c r="A157" s="356" t="s">
        <v>584</v>
      </c>
      <c r="B157" s="357" t="s">
        <v>377</v>
      </c>
      <c r="C157" s="377">
        <v>898.69</v>
      </c>
      <c r="D157" s="391">
        <v>0</v>
      </c>
      <c r="F157" s="377">
        <v>922.07</v>
      </c>
      <c r="G157" s="391">
        <v>0</v>
      </c>
      <c r="I157" s="391">
        <f t="shared" si="74"/>
        <v>0</v>
      </c>
      <c r="J157" s="389">
        <f t="shared" si="75"/>
        <v>0</v>
      </c>
      <c r="K157" s="389">
        <f t="shared" si="76"/>
        <v>0</v>
      </c>
      <c r="Q157" s="391">
        <f t="shared" si="77"/>
        <v>0</v>
      </c>
      <c r="U157" s="389">
        <f t="shared" si="62"/>
        <v>0</v>
      </c>
      <c r="V157" s="391">
        <f t="shared" si="73"/>
        <v>0</v>
      </c>
      <c r="W157" s="391"/>
    </row>
    <row r="158" spans="1:23">
      <c r="A158" s="356" t="s">
        <v>585</v>
      </c>
      <c r="B158" s="357" t="s">
        <v>378</v>
      </c>
      <c r="C158" s="377">
        <v>1003.35</v>
      </c>
      <c r="D158" s="391">
        <v>0</v>
      </c>
      <c r="F158" s="377">
        <v>1032.58</v>
      </c>
      <c r="G158" s="391">
        <v>0</v>
      </c>
      <c r="I158" s="391">
        <f t="shared" si="74"/>
        <v>0</v>
      </c>
      <c r="J158" s="389">
        <f t="shared" si="75"/>
        <v>0</v>
      </c>
      <c r="K158" s="389">
        <f t="shared" si="76"/>
        <v>0</v>
      </c>
      <c r="Q158" s="391">
        <f t="shared" si="77"/>
        <v>0</v>
      </c>
      <c r="U158" s="389">
        <f t="shared" si="62"/>
        <v>0</v>
      </c>
      <c r="V158" s="391">
        <f t="shared" si="73"/>
        <v>0</v>
      </c>
      <c r="W158" s="391"/>
    </row>
    <row r="159" spans="1:23">
      <c r="A159" s="356" t="s">
        <v>586</v>
      </c>
      <c r="B159" s="356" t="s">
        <v>379</v>
      </c>
      <c r="C159" s="377">
        <v>2006.7</v>
      </c>
      <c r="D159" s="391">
        <v>0</v>
      </c>
      <c r="F159" s="398">
        <v>2065.15</v>
      </c>
      <c r="G159" s="391">
        <v>0</v>
      </c>
      <c r="I159" s="391">
        <f t="shared" si="74"/>
        <v>0</v>
      </c>
      <c r="J159" s="389">
        <f t="shared" si="75"/>
        <v>0</v>
      </c>
      <c r="K159" s="389">
        <f t="shared" si="76"/>
        <v>0</v>
      </c>
      <c r="Q159" s="391">
        <f t="shared" si="77"/>
        <v>0</v>
      </c>
      <c r="U159" s="389">
        <f t="shared" si="62"/>
        <v>0</v>
      </c>
      <c r="V159" s="391">
        <f t="shared" si="73"/>
        <v>0</v>
      </c>
      <c r="W159" s="391"/>
    </row>
    <row r="160" spans="1:23">
      <c r="A160" s="356" t="s">
        <v>587</v>
      </c>
      <c r="B160" s="356" t="s">
        <v>380</v>
      </c>
      <c r="C160" s="377">
        <v>1702.08</v>
      </c>
      <c r="D160" s="391">
        <v>0</v>
      </c>
      <c r="F160" s="398">
        <v>1741.57</v>
      </c>
      <c r="G160" s="391">
        <v>0</v>
      </c>
      <c r="I160" s="391">
        <f t="shared" si="74"/>
        <v>0</v>
      </c>
      <c r="J160" s="389">
        <f t="shared" si="75"/>
        <v>0</v>
      </c>
      <c r="K160" s="389">
        <f t="shared" si="76"/>
        <v>0</v>
      </c>
      <c r="Q160" s="391">
        <f t="shared" si="77"/>
        <v>0</v>
      </c>
      <c r="U160" s="389">
        <f t="shared" si="62"/>
        <v>0</v>
      </c>
      <c r="V160" s="391">
        <f t="shared" si="73"/>
        <v>0</v>
      </c>
      <c r="W160" s="391"/>
    </row>
    <row r="161" spans="1:23">
      <c r="A161" s="368" t="s">
        <v>588</v>
      </c>
      <c r="B161" s="368" t="s">
        <v>381</v>
      </c>
      <c r="C161" s="398">
        <v>1999.68</v>
      </c>
      <c r="D161" s="391">
        <v>3999.36</v>
      </c>
      <c r="F161" s="398">
        <v>2047.74</v>
      </c>
      <c r="G161" s="391">
        <v>20477.400000000001</v>
      </c>
      <c r="I161" s="391">
        <f t="shared" si="74"/>
        <v>24476.760000000002</v>
      </c>
      <c r="J161" s="389">
        <f t="shared" si="75"/>
        <v>12</v>
      </c>
      <c r="K161" s="389">
        <f t="shared" si="76"/>
        <v>1</v>
      </c>
      <c r="Q161" s="391">
        <f t="shared" si="77"/>
        <v>24476.760000000002</v>
      </c>
      <c r="U161" s="389">
        <f t="shared" si="62"/>
        <v>24476.760000000002</v>
      </c>
      <c r="V161" s="391">
        <f t="shared" si="73"/>
        <v>0</v>
      </c>
      <c r="W161" s="391"/>
    </row>
    <row r="162" spans="1:23">
      <c r="A162" s="357" t="s">
        <v>589</v>
      </c>
      <c r="B162" s="357" t="s">
        <v>382</v>
      </c>
      <c r="C162" s="398">
        <v>1434.01</v>
      </c>
      <c r="D162" s="391">
        <v>0</v>
      </c>
      <c r="F162" s="398">
        <v>1474.11</v>
      </c>
      <c r="G162" s="391">
        <v>0</v>
      </c>
      <c r="I162" s="391">
        <f t="shared" si="74"/>
        <v>0</v>
      </c>
      <c r="J162" s="389">
        <f t="shared" si="75"/>
        <v>0</v>
      </c>
      <c r="K162" s="389">
        <f t="shared" si="76"/>
        <v>0</v>
      </c>
      <c r="Q162" s="391">
        <f t="shared" si="77"/>
        <v>0</v>
      </c>
      <c r="U162" s="389">
        <f t="shared" si="62"/>
        <v>0</v>
      </c>
      <c r="V162" s="391">
        <f t="shared" si="73"/>
        <v>0</v>
      </c>
      <c r="W162" s="391"/>
    </row>
    <row r="163" spans="1:23">
      <c r="A163" s="357" t="s">
        <v>590</v>
      </c>
      <c r="B163" s="357" t="s">
        <v>383</v>
      </c>
      <c r="C163" s="398">
        <v>2568.8200000000002</v>
      </c>
      <c r="D163" s="391">
        <v>0</v>
      </c>
      <c r="F163" s="398">
        <v>2632.9</v>
      </c>
      <c r="G163" s="391">
        <v>0</v>
      </c>
      <c r="I163" s="391">
        <f t="shared" si="74"/>
        <v>0</v>
      </c>
      <c r="J163" s="389">
        <f t="shared" si="75"/>
        <v>0</v>
      </c>
      <c r="K163" s="389">
        <f t="shared" si="76"/>
        <v>0</v>
      </c>
      <c r="Q163" s="391">
        <f t="shared" si="77"/>
        <v>0</v>
      </c>
      <c r="U163" s="389">
        <f t="shared" si="62"/>
        <v>0</v>
      </c>
      <c r="V163" s="391">
        <f t="shared" si="73"/>
        <v>0</v>
      </c>
      <c r="W163" s="391"/>
    </row>
    <row r="164" spans="1:23">
      <c r="A164" s="357" t="s">
        <v>591</v>
      </c>
      <c r="B164" s="357" t="s">
        <v>384</v>
      </c>
      <c r="C164" s="398">
        <v>2868.02</v>
      </c>
      <c r="D164" s="391">
        <v>0</v>
      </c>
      <c r="F164" s="398">
        <v>2948.21</v>
      </c>
      <c r="G164" s="391">
        <v>0</v>
      </c>
      <c r="I164" s="391">
        <f t="shared" si="74"/>
        <v>0</v>
      </c>
      <c r="J164" s="389">
        <f t="shared" si="75"/>
        <v>0</v>
      </c>
      <c r="K164" s="389">
        <f t="shared" si="76"/>
        <v>0</v>
      </c>
      <c r="Q164" s="391">
        <f t="shared" si="77"/>
        <v>0</v>
      </c>
      <c r="U164" s="389">
        <f t="shared" si="62"/>
        <v>0</v>
      </c>
      <c r="V164" s="391">
        <f t="shared" si="73"/>
        <v>0</v>
      </c>
      <c r="W164" s="391"/>
    </row>
    <row r="165" spans="1:23">
      <c r="A165" s="357" t="s">
        <v>592</v>
      </c>
      <c r="B165" s="357" t="s">
        <v>385</v>
      </c>
      <c r="C165" s="398">
        <v>6422.04</v>
      </c>
      <c r="D165" s="391">
        <v>0</v>
      </c>
      <c r="F165" s="398">
        <v>6582.25</v>
      </c>
      <c r="G165" s="391">
        <v>0</v>
      </c>
      <c r="I165" s="391">
        <f t="shared" si="74"/>
        <v>0</v>
      </c>
      <c r="J165" s="389">
        <f t="shared" si="75"/>
        <v>0</v>
      </c>
      <c r="K165" s="389">
        <f t="shared" si="76"/>
        <v>0</v>
      </c>
      <c r="Q165" s="391">
        <f t="shared" si="77"/>
        <v>0</v>
      </c>
      <c r="U165" s="389">
        <f t="shared" si="62"/>
        <v>0</v>
      </c>
      <c r="V165" s="391">
        <f t="shared" si="73"/>
        <v>0</v>
      </c>
      <c r="W165" s="391"/>
    </row>
    <row r="166" spans="1:23">
      <c r="A166" s="368" t="s">
        <v>593</v>
      </c>
      <c r="B166" s="368" t="s">
        <v>386</v>
      </c>
      <c r="C166" s="398">
        <v>539.99</v>
      </c>
      <c r="D166" s="391">
        <v>0</v>
      </c>
      <c r="F166" s="398">
        <v>553.54999999999995</v>
      </c>
      <c r="G166" s="391">
        <v>0</v>
      </c>
      <c r="I166" s="391">
        <f t="shared" si="74"/>
        <v>0</v>
      </c>
      <c r="J166" s="389">
        <f t="shared" si="75"/>
        <v>0</v>
      </c>
      <c r="K166" s="389">
        <f t="shared" si="76"/>
        <v>0</v>
      </c>
      <c r="Q166" s="391">
        <f t="shared" si="77"/>
        <v>0</v>
      </c>
      <c r="U166" s="389">
        <f t="shared" si="62"/>
        <v>0</v>
      </c>
      <c r="V166" s="391">
        <f t="shared" si="73"/>
        <v>0</v>
      </c>
      <c r="W166" s="391"/>
    </row>
    <row r="167" spans="1:23">
      <c r="A167" s="368" t="s">
        <v>594</v>
      </c>
      <c r="B167" s="368" t="s">
        <v>387</v>
      </c>
      <c r="C167" s="377">
        <v>1079.99</v>
      </c>
      <c r="D167" s="391">
        <v>2159.98</v>
      </c>
      <c r="F167" s="377">
        <v>1107.0899999999999</v>
      </c>
      <c r="G167" s="391">
        <v>11070.9</v>
      </c>
      <c r="I167" s="391">
        <f t="shared" si="74"/>
        <v>13230.88</v>
      </c>
      <c r="J167" s="389">
        <f t="shared" si="75"/>
        <v>12</v>
      </c>
      <c r="K167" s="389">
        <f t="shared" si="76"/>
        <v>1</v>
      </c>
      <c r="Q167" s="391">
        <f t="shared" si="77"/>
        <v>13230.88</v>
      </c>
      <c r="U167" s="389">
        <f t="shared" si="62"/>
        <v>13230.88</v>
      </c>
      <c r="V167" s="391">
        <f t="shared" si="73"/>
        <v>0</v>
      </c>
      <c r="W167" s="391"/>
    </row>
    <row r="168" spans="1:23">
      <c r="A168" s="368" t="s">
        <v>595</v>
      </c>
      <c r="B168" s="368" t="s">
        <v>388</v>
      </c>
      <c r="C168" s="398">
        <v>130.71</v>
      </c>
      <c r="D168" s="391">
        <v>0</v>
      </c>
      <c r="F168" s="398">
        <v>133.84</v>
      </c>
      <c r="G168" s="391">
        <v>0</v>
      </c>
      <c r="I168" s="391">
        <f t="shared" si="74"/>
        <v>0</v>
      </c>
      <c r="J168" s="389">
        <f t="shared" si="75"/>
        <v>0</v>
      </c>
      <c r="K168" s="389">
        <f t="shared" si="76"/>
        <v>0</v>
      </c>
      <c r="Q168" s="391">
        <f t="shared" si="77"/>
        <v>0</v>
      </c>
      <c r="U168" s="389">
        <f t="shared" si="62"/>
        <v>0</v>
      </c>
      <c r="V168" s="391">
        <f t="shared" si="73"/>
        <v>0</v>
      </c>
      <c r="W168" s="391"/>
    </row>
    <row r="169" spans="1:23">
      <c r="A169" s="356" t="s">
        <v>596</v>
      </c>
      <c r="B169" s="368" t="s">
        <v>389</v>
      </c>
      <c r="C169" s="390">
        <v>237.72</v>
      </c>
      <c r="D169" s="391">
        <v>0</v>
      </c>
      <c r="F169" s="390">
        <v>244.47</v>
      </c>
      <c r="G169" s="391">
        <v>0</v>
      </c>
      <c r="I169" s="391">
        <f t="shared" si="74"/>
        <v>0</v>
      </c>
      <c r="J169" s="389">
        <f t="shared" si="75"/>
        <v>0</v>
      </c>
      <c r="K169" s="389">
        <f t="shared" si="76"/>
        <v>0</v>
      </c>
      <c r="Q169" s="391">
        <f t="shared" si="77"/>
        <v>0</v>
      </c>
      <c r="U169" s="389">
        <f t="shared" si="62"/>
        <v>0</v>
      </c>
      <c r="V169" s="391">
        <f t="shared" si="73"/>
        <v>0</v>
      </c>
      <c r="W169" s="391"/>
    </row>
    <row r="170" spans="1:23">
      <c r="A170" s="368" t="s">
        <v>597</v>
      </c>
      <c r="B170" s="368" t="s">
        <v>390</v>
      </c>
      <c r="C170" s="377">
        <v>502.83</v>
      </c>
      <c r="D170" s="391">
        <v>1005.66</v>
      </c>
      <c r="F170" s="377">
        <v>517.48</v>
      </c>
      <c r="G170" s="391">
        <v>5174.7999999999993</v>
      </c>
      <c r="I170" s="391">
        <f t="shared" si="74"/>
        <v>6180.4599999999991</v>
      </c>
      <c r="J170" s="389">
        <f t="shared" si="75"/>
        <v>11.999999999999998</v>
      </c>
      <c r="K170" s="389">
        <f t="shared" si="76"/>
        <v>0.99999999999999989</v>
      </c>
      <c r="Q170" s="391">
        <f t="shared" si="77"/>
        <v>6180.4599999999991</v>
      </c>
      <c r="U170" s="389">
        <f t="shared" si="62"/>
        <v>6180.4599999999991</v>
      </c>
      <c r="V170" s="391">
        <f t="shared" si="73"/>
        <v>0</v>
      </c>
      <c r="W170" s="391"/>
    </row>
    <row r="171" spans="1:23">
      <c r="A171" s="368" t="s">
        <v>598</v>
      </c>
      <c r="B171" s="357" t="s">
        <v>391</v>
      </c>
      <c r="C171" s="377"/>
      <c r="F171" s="377"/>
      <c r="G171" s="391"/>
      <c r="I171" s="391">
        <f t="shared" si="74"/>
        <v>0</v>
      </c>
      <c r="J171" s="389"/>
      <c r="K171" s="389"/>
      <c r="Q171" s="391">
        <f t="shared" si="77"/>
        <v>0</v>
      </c>
      <c r="U171" s="389">
        <f t="shared" si="62"/>
        <v>0</v>
      </c>
      <c r="V171" s="391">
        <f t="shared" si="73"/>
        <v>0</v>
      </c>
      <c r="W171" s="391"/>
    </row>
    <row r="172" spans="1:23">
      <c r="A172" s="368"/>
      <c r="B172" s="356"/>
      <c r="C172" s="377"/>
      <c r="F172" s="377"/>
      <c r="U172" s="389">
        <f t="shared" si="62"/>
        <v>0</v>
      </c>
      <c r="V172" s="391">
        <f t="shared" si="73"/>
        <v>0</v>
      </c>
      <c r="W172" s="391"/>
    </row>
    <row r="173" spans="1:23">
      <c r="A173" s="357"/>
      <c r="B173" s="356"/>
      <c r="C173" s="379"/>
      <c r="F173" s="377"/>
      <c r="U173" s="389">
        <f t="shared" si="62"/>
        <v>0</v>
      </c>
      <c r="V173" s="391">
        <f t="shared" si="73"/>
        <v>0</v>
      </c>
      <c r="W173" s="391"/>
    </row>
    <row r="174" spans="1:23">
      <c r="A174" s="356" t="s">
        <v>599</v>
      </c>
      <c r="B174" s="356" t="s">
        <v>364</v>
      </c>
      <c r="C174" s="390">
        <v>86.12</v>
      </c>
      <c r="D174" s="391">
        <v>22426.57</v>
      </c>
      <c r="F174" s="377">
        <v>87.81</v>
      </c>
      <c r="G174" s="391">
        <v>110055.47</v>
      </c>
      <c r="I174" s="391">
        <f t="shared" ref="I174:I183" si="78">D174+G174</f>
        <v>132482.04</v>
      </c>
      <c r="J174" s="389">
        <f t="shared" ref="J174:J183" si="79">D174/C174+G174/F174</f>
        <v>1513.7471141456083</v>
      </c>
      <c r="K174" s="389">
        <f t="shared" ref="K174:K183" si="80">J174/12</f>
        <v>126.14559284546736</v>
      </c>
      <c r="Q174" s="391">
        <f t="shared" ref="Q174:Q187" si="81">I174</f>
        <v>132482.04</v>
      </c>
      <c r="U174" s="389">
        <f t="shared" si="62"/>
        <v>132482.04</v>
      </c>
      <c r="V174" s="391">
        <f t="shared" si="73"/>
        <v>0</v>
      </c>
      <c r="W174" s="391"/>
    </row>
    <row r="175" spans="1:23">
      <c r="A175" s="356" t="s">
        <v>600</v>
      </c>
      <c r="B175" s="356" t="s">
        <v>392</v>
      </c>
      <c r="C175" s="390">
        <v>172.25</v>
      </c>
      <c r="D175" s="391">
        <v>1378</v>
      </c>
      <c r="F175" s="377">
        <v>175.62</v>
      </c>
      <c r="G175" s="391">
        <v>8605.380000000001</v>
      </c>
      <c r="I175" s="391">
        <f t="shared" si="78"/>
        <v>9983.380000000001</v>
      </c>
      <c r="J175" s="389">
        <f t="shared" si="79"/>
        <v>57.000000000000007</v>
      </c>
      <c r="K175" s="389">
        <f t="shared" si="80"/>
        <v>4.7500000000000009</v>
      </c>
      <c r="Q175" s="391">
        <f t="shared" si="81"/>
        <v>9983.380000000001</v>
      </c>
      <c r="U175" s="389">
        <f t="shared" si="62"/>
        <v>9983.380000000001</v>
      </c>
      <c r="V175" s="391">
        <f t="shared" si="73"/>
        <v>0</v>
      </c>
      <c r="W175" s="391"/>
    </row>
    <row r="176" spans="1:23">
      <c r="A176" s="356" t="s">
        <v>601</v>
      </c>
      <c r="B176" s="356" t="s">
        <v>393</v>
      </c>
      <c r="C176" s="390">
        <v>258.37</v>
      </c>
      <c r="D176" s="391">
        <v>3100.44</v>
      </c>
      <c r="F176" s="377">
        <v>263.44</v>
      </c>
      <c r="G176" s="391">
        <v>15806.399999999998</v>
      </c>
      <c r="I176" s="391">
        <f t="shared" si="78"/>
        <v>18906.839999999997</v>
      </c>
      <c r="J176" s="389">
        <f t="shared" si="79"/>
        <v>72</v>
      </c>
      <c r="K176" s="389">
        <f t="shared" si="80"/>
        <v>6</v>
      </c>
      <c r="Q176" s="391">
        <f t="shared" si="81"/>
        <v>18906.839999999997</v>
      </c>
      <c r="U176" s="389">
        <f t="shared" si="62"/>
        <v>18906.839999999997</v>
      </c>
      <c r="V176" s="391">
        <f t="shared" si="73"/>
        <v>0</v>
      </c>
      <c r="W176" s="391"/>
    </row>
    <row r="177" spans="1:23">
      <c r="A177" s="356" t="s">
        <v>602</v>
      </c>
      <c r="B177" s="356" t="s">
        <v>365</v>
      </c>
      <c r="C177" s="390">
        <v>118.86</v>
      </c>
      <c r="D177" s="391">
        <v>4041.24</v>
      </c>
      <c r="F177" s="377">
        <v>121.24</v>
      </c>
      <c r="G177" s="391">
        <v>23065.910000000003</v>
      </c>
      <c r="I177" s="391">
        <f t="shared" si="78"/>
        <v>27107.15</v>
      </c>
      <c r="J177" s="389">
        <f t="shared" si="79"/>
        <v>224.25000000000003</v>
      </c>
      <c r="K177" s="389">
        <f t="shared" si="80"/>
        <v>18.687500000000004</v>
      </c>
      <c r="Q177" s="391">
        <f t="shared" si="81"/>
        <v>27107.15</v>
      </c>
      <c r="U177" s="389">
        <f t="shared" si="62"/>
        <v>27107.15</v>
      </c>
      <c r="V177" s="391">
        <f t="shared" si="73"/>
        <v>0</v>
      </c>
      <c r="W177" s="391"/>
    </row>
    <row r="178" spans="1:23">
      <c r="A178" s="356" t="s">
        <v>603</v>
      </c>
      <c r="B178" s="356" t="s">
        <v>394</v>
      </c>
      <c r="C178" s="390">
        <v>237.72</v>
      </c>
      <c r="D178" s="391">
        <v>1901.76</v>
      </c>
      <c r="F178" s="377">
        <v>242.48</v>
      </c>
      <c r="G178" s="391">
        <v>9699.1999999999989</v>
      </c>
      <c r="I178" s="391">
        <f t="shared" si="78"/>
        <v>11600.96</v>
      </c>
      <c r="J178" s="389">
        <f t="shared" si="79"/>
        <v>48</v>
      </c>
      <c r="K178" s="389">
        <f t="shared" si="80"/>
        <v>4</v>
      </c>
      <c r="Q178" s="391">
        <f t="shared" si="81"/>
        <v>11600.96</v>
      </c>
      <c r="U178" s="389">
        <f t="shared" si="62"/>
        <v>11600.96</v>
      </c>
      <c r="V178" s="391">
        <f t="shared" si="73"/>
        <v>0</v>
      </c>
      <c r="W178" s="391"/>
    </row>
    <row r="179" spans="1:23">
      <c r="A179" s="356" t="s">
        <v>604</v>
      </c>
      <c r="B179" s="356" t="s">
        <v>366</v>
      </c>
      <c r="C179" s="390">
        <v>147.83000000000001</v>
      </c>
      <c r="D179" s="391">
        <v>39840.179999999993</v>
      </c>
      <c r="F179" s="377">
        <v>150.9</v>
      </c>
      <c r="G179" s="391">
        <v>220500.01</v>
      </c>
      <c r="I179" s="391">
        <f t="shared" si="78"/>
        <v>260340.19</v>
      </c>
      <c r="J179" s="389">
        <f t="shared" si="79"/>
        <v>1730.7326368201757</v>
      </c>
      <c r="K179" s="389">
        <f t="shared" si="80"/>
        <v>144.22771973501463</v>
      </c>
      <c r="Q179" s="391">
        <f t="shared" si="81"/>
        <v>260340.19</v>
      </c>
      <c r="U179" s="389">
        <f t="shared" si="62"/>
        <v>260340.19</v>
      </c>
      <c r="V179" s="391">
        <f t="shared" si="73"/>
        <v>0</v>
      </c>
      <c r="W179" s="391"/>
    </row>
    <row r="180" spans="1:23">
      <c r="A180" s="356" t="s">
        <v>605</v>
      </c>
      <c r="B180" s="356" t="s">
        <v>367</v>
      </c>
      <c r="C180" s="390">
        <v>295.64999999999998</v>
      </c>
      <c r="D180" s="391">
        <v>26017.200000000001</v>
      </c>
      <c r="F180" s="377">
        <v>301.8</v>
      </c>
      <c r="G180" s="391">
        <v>141846.01</v>
      </c>
      <c r="I180" s="391">
        <f t="shared" si="78"/>
        <v>167863.21000000002</v>
      </c>
      <c r="J180" s="389">
        <f t="shared" si="79"/>
        <v>558.00003313452623</v>
      </c>
      <c r="K180" s="389">
        <f t="shared" si="80"/>
        <v>46.500002761210517</v>
      </c>
      <c r="Q180" s="391">
        <f t="shared" si="81"/>
        <v>167863.21000000002</v>
      </c>
      <c r="U180" s="389">
        <f t="shared" si="62"/>
        <v>167863.21000000002</v>
      </c>
      <c r="V180" s="391">
        <f t="shared" si="73"/>
        <v>0</v>
      </c>
      <c r="W180" s="391"/>
    </row>
    <row r="181" spans="1:23">
      <c r="A181" s="356" t="s">
        <v>606</v>
      </c>
      <c r="B181" s="356" t="s">
        <v>334</v>
      </c>
      <c r="C181" s="390">
        <v>443.48</v>
      </c>
      <c r="D181" s="391">
        <v>3547.84</v>
      </c>
      <c r="F181" s="377">
        <v>452.7</v>
      </c>
      <c r="G181" s="391">
        <v>18107.999999999996</v>
      </c>
      <c r="I181" s="391">
        <f t="shared" si="78"/>
        <v>21655.839999999997</v>
      </c>
      <c r="J181" s="389">
        <f t="shared" si="79"/>
        <v>47.999999999999993</v>
      </c>
      <c r="K181" s="389">
        <f t="shared" si="80"/>
        <v>3.9999999999999996</v>
      </c>
      <c r="Q181" s="391">
        <f t="shared" si="81"/>
        <v>21655.839999999997</v>
      </c>
      <c r="U181" s="389">
        <f t="shared" si="62"/>
        <v>21655.839999999997</v>
      </c>
      <c r="V181" s="391">
        <f t="shared" si="73"/>
        <v>0</v>
      </c>
      <c r="W181" s="391"/>
    </row>
    <row r="182" spans="1:23">
      <c r="A182" s="356" t="s">
        <v>607</v>
      </c>
      <c r="B182" s="356" t="s">
        <v>395</v>
      </c>
      <c r="C182" s="390">
        <v>591.29999999999995</v>
      </c>
      <c r="D182" s="391">
        <v>0</v>
      </c>
      <c r="F182" s="377">
        <v>603.6</v>
      </c>
      <c r="G182" s="391">
        <v>0</v>
      </c>
      <c r="I182" s="391">
        <f t="shared" si="78"/>
        <v>0</v>
      </c>
      <c r="J182" s="389">
        <f t="shared" si="79"/>
        <v>0</v>
      </c>
      <c r="K182" s="389">
        <f t="shared" si="80"/>
        <v>0</v>
      </c>
      <c r="Q182" s="391">
        <f t="shared" si="81"/>
        <v>0</v>
      </c>
      <c r="U182" s="389">
        <f t="shared" si="62"/>
        <v>0</v>
      </c>
      <c r="V182" s="391">
        <f t="shared" si="73"/>
        <v>0</v>
      </c>
      <c r="W182" s="391"/>
    </row>
    <row r="183" spans="1:23">
      <c r="A183" s="356" t="s">
        <v>608</v>
      </c>
      <c r="B183" s="356" t="s">
        <v>396</v>
      </c>
      <c r="C183" s="390">
        <v>739.13</v>
      </c>
      <c r="D183" s="391">
        <v>0</v>
      </c>
      <c r="F183" s="377">
        <v>754.5</v>
      </c>
      <c r="G183" s="391">
        <v>0</v>
      </c>
      <c r="I183" s="391">
        <f t="shared" si="78"/>
        <v>0</v>
      </c>
      <c r="J183" s="389">
        <f t="shared" si="79"/>
        <v>0</v>
      </c>
      <c r="K183" s="389">
        <f t="shared" si="80"/>
        <v>0</v>
      </c>
      <c r="Q183" s="391">
        <f t="shared" si="81"/>
        <v>0</v>
      </c>
      <c r="U183" s="389">
        <f t="shared" ref="U183:U195" si="82">SUM(M183:S183)</f>
        <v>0</v>
      </c>
      <c r="V183" s="391">
        <f t="shared" si="73"/>
        <v>0</v>
      </c>
      <c r="W183" s="391"/>
    </row>
    <row r="184" spans="1:23">
      <c r="A184" s="356"/>
      <c r="B184" s="356"/>
      <c r="C184" s="379"/>
      <c r="F184" s="377"/>
      <c r="Q184" s="391">
        <f t="shared" si="81"/>
        <v>0</v>
      </c>
      <c r="U184" s="389">
        <f t="shared" si="82"/>
        <v>0</v>
      </c>
      <c r="V184" s="391">
        <f t="shared" si="73"/>
        <v>0</v>
      </c>
      <c r="W184" s="391"/>
    </row>
    <row r="185" spans="1:23">
      <c r="A185" s="356" t="s">
        <v>609</v>
      </c>
      <c r="B185" s="356" t="s">
        <v>610</v>
      </c>
      <c r="C185" s="390">
        <v>21.89</v>
      </c>
      <c r="D185" s="391">
        <v>131.34</v>
      </c>
      <c r="F185" s="377">
        <v>22.28</v>
      </c>
      <c r="G185" s="391">
        <v>913.48</v>
      </c>
      <c r="I185" s="391">
        <f t="shared" ref="I185:I187" si="83">D185+G185</f>
        <v>1044.82</v>
      </c>
      <c r="J185" s="389">
        <f t="shared" ref="J185:J187" si="84">D185/C185+G185/F185</f>
        <v>47</v>
      </c>
      <c r="K185" s="389">
        <f t="shared" ref="K185:K187" si="85">J185/12</f>
        <v>3.9166666666666665</v>
      </c>
      <c r="Q185" s="391">
        <f t="shared" si="81"/>
        <v>1044.82</v>
      </c>
      <c r="U185" s="389">
        <f t="shared" si="82"/>
        <v>1044.82</v>
      </c>
      <c r="V185" s="391">
        <f t="shared" si="73"/>
        <v>0</v>
      </c>
      <c r="W185" s="391"/>
    </row>
    <row r="186" spans="1:23">
      <c r="A186" s="356" t="s">
        <v>611</v>
      </c>
      <c r="B186" s="356" t="s">
        <v>612</v>
      </c>
      <c r="C186" s="390">
        <v>29.45</v>
      </c>
      <c r="D186" s="391">
        <v>0</v>
      </c>
      <c r="F186" s="377">
        <v>30</v>
      </c>
      <c r="G186" s="391">
        <v>0</v>
      </c>
      <c r="I186" s="391">
        <f t="shared" si="83"/>
        <v>0</v>
      </c>
      <c r="J186" s="389">
        <f t="shared" si="84"/>
        <v>0</v>
      </c>
      <c r="K186" s="389">
        <f t="shared" si="85"/>
        <v>0</v>
      </c>
      <c r="Q186" s="391">
        <f t="shared" si="81"/>
        <v>0</v>
      </c>
      <c r="U186" s="389">
        <f t="shared" si="82"/>
        <v>0</v>
      </c>
      <c r="V186" s="391">
        <f t="shared" si="73"/>
        <v>0</v>
      </c>
      <c r="W186" s="391"/>
    </row>
    <row r="187" spans="1:23">
      <c r="A187" s="356" t="s">
        <v>613</v>
      </c>
      <c r="B187" s="356" t="s">
        <v>614</v>
      </c>
      <c r="C187" s="390">
        <v>36.14</v>
      </c>
      <c r="D187" s="391">
        <v>1554.02</v>
      </c>
      <c r="F187" s="377">
        <v>36.85</v>
      </c>
      <c r="G187" s="391">
        <v>4745.9600000000009</v>
      </c>
      <c r="I187" s="391">
        <f t="shared" si="83"/>
        <v>6299.9800000000014</v>
      </c>
      <c r="J187" s="389">
        <f t="shared" si="84"/>
        <v>171.79131614654005</v>
      </c>
      <c r="K187" s="389">
        <f t="shared" si="85"/>
        <v>14.315943012211671</v>
      </c>
      <c r="Q187" s="391">
        <f t="shared" si="81"/>
        <v>6299.9800000000014</v>
      </c>
      <c r="U187" s="389">
        <f t="shared" si="82"/>
        <v>6299.9800000000014</v>
      </c>
      <c r="V187" s="391">
        <f t="shared" si="73"/>
        <v>0</v>
      </c>
      <c r="W187" s="391"/>
    </row>
    <row r="188" spans="1:23">
      <c r="A188" s="356"/>
      <c r="B188" s="356"/>
      <c r="C188" s="379"/>
      <c r="F188" s="377"/>
      <c r="Q188" s="391"/>
      <c r="U188" s="389">
        <f t="shared" si="82"/>
        <v>0</v>
      </c>
      <c r="V188" s="391">
        <f t="shared" si="73"/>
        <v>0</v>
      </c>
      <c r="W188" s="391"/>
    </row>
    <row r="189" spans="1:23">
      <c r="A189" s="356" t="s">
        <v>615</v>
      </c>
      <c r="B189" s="356" t="s">
        <v>616</v>
      </c>
      <c r="C189" s="390">
        <v>21.89</v>
      </c>
      <c r="D189" s="391">
        <v>0</v>
      </c>
      <c r="F189" s="377">
        <v>22.28</v>
      </c>
      <c r="G189" s="391">
        <v>0</v>
      </c>
      <c r="I189" s="391">
        <f t="shared" ref="I189:I197" si="86">D189+G189</f>
        <v>0</v>
      </c>
      <c r="J189" s="389">
        <f t="shared" ref="J189:J195" si="87">D189/C189+G189/F189</f>
        <v>0</v>
      </c>
      <c r="K189" s="389">
        <f t="shared" ref="K189:K195" si="88">J189/12</f>
        <v>0</v>
      </c>
      <c r="Q189" s="391">
        <f t="shared" ref="Q189:Q195" si="89">I189</f>
        <v>0</v>
      </c>
      <c r="U189" s="389">
        <f t="shared" si="82"/>
        <v>0</v>
      </c>
      <c r="V189" s="391">
        <f t="shared" si="73"/>
        <v>0</v>
      </c>
      <c r="W189" s="391"/>
    </row>
    <row r="190" spans="1:23">
      <c r="A190" s="356" t="s">
        <v>617</v>
      </c>
      <c r="B190" s="356" t="s">
        <v>616</v>
      </c>
      <c r="C190" s="390">
        <v>21.89</v>
      </c>
      <c r="D190" s="391">
        <v>43.78</v>
      </c>
      <c r="F190" s="377">
        <v>22.28</v>
      </c>
      <c r="G190" s="391">
        <v>111.4</v>
      </c>
      <c r="I190" s="391">
        <f t="shared" si="86"/>
        <v>155.18</v>
      </c>
      <c r="J190" s="389">
        <f t="shared" si="87"/>
        <v>7</v>
      </c>
      <c r="K190" s="389">
        <f t="shared" si="88"/>
        <v>0.58333333333333337</v>
      </c>
      <c r="Q190" s="391">
        <f t="shared" si="89"/>
        <v>155.18</v>
      </c>
      <c r="U190" s="389">
        <f t="shared" si="82"/>
        <v>155.18</v>
      </c>
      <c r="V190" s="391">
        <f t="shared" si="73"/>
        <v>0</v>
      </c>
      <c r="W190" s="391"/>
    </row>
    <row r="191" spans="1:23">
      <c r="A191" s="356" t="s">
        <v>618</v>
      </c>
      <c r="B191" s="356" t="s">
        <v>619</v>
      </c>
      <c r="C191" s="390">
        <v>29.45</v>
      </c>
      <c r="D191" s="391">
        <v>0</v>
      </c>
      <c r="F191" s="377">
        <v>30</v>
      </c>
      <c r="G191" s="391">
        <v>0</v>
      </c>
      <c r="I191" s="391">
        <f t="shared" si="86"/>
        <v>0</v>
      </c>
      <c r="J191" s="389">
        <f t="shared" si="87"/>
        <v>0</v>
      </c>
      <c r="K191" s="389">
        <f t="shared" si="88"/>
        <v>0</v>
      </c>
      <c r="Q191" s="391">
        <f t="shared" si="89"/>
        <v>0</v>
      </c>
      <c r="U191" s="389">
        <f t="shared" si="82"/>
        <v>0</v>
      </c>
      <c r="V191" s="391">
        <f t="shared" si="73"/>
        <v>0</v>
      </c>
      <c r="W191" s="391"/>
    </row>
    <row r="192" spans="1:23">
      <c r="A192" s="356" t="s">
        <v>620</v>
      </c>
      <c r="B192" s="356" t="s">
        <v>621</v>
      </c>
      <c r="C192" s="390">
        <v>36.14</v>
      </c>
      <c r="D192" s="391">
        <v>216.83999999999997</v>
      </c>
      <c r="F192" s="377">
        <v>36.85</v>
      </c>
      <c r="G192" s="391">
        <v>73.7</v>
      </c>
      <c r="I192" s="391">
        <f t="shared" si="86"/>
        <v>290.53999999999996</v>
      </c>
      <c r="J192" s="389">
        <f t="shared" si="87"/>
        <v>7.9999999999999991</v>
      </c>
      <c r="K192" s="389">
        <f t="shared" si="88"/>
        <v>0.66666666666666663</v>
      </c>
      <c r="Q192" s="391">
        <f t="shared" si="89"/>
        <v>290.53999999999996</v>
      </c>
      <c r="U192" s="389">
        <f t="shared" si="82"/>
        <v>290.53999999999996</v>
      </c>
      <c r="V192" s="391">
        <f t="shared" si="73"/>
        <v>0</v>
      </c>
      <c r="W192" s="391"/>
    </row>
    <row r="193" spans="1:23">
      <c r="A193" s="356" t="s">
        <v>622</v>
      </c>
      <c r="B193" s="356" t="s">
        <v>621</v>
      </c>
      <c r="C193" s="390">
        <v>36.14</v>
      </c>
      <c r="D193" s="391">
        <v>0</v>
      </c>
      <c r="F193" s="377">
        <v>36.85</v>
      </c>
      <c r="G193" s="391">
        <v>884.39999999999986</v>
      </c>
      <c r="I193" s="391">
        <f t="shared" si="86"/>
        <v>884.39999999999986</v>
      </c>
      <c r="J193" s="389">
        <f t="shared" si="87"/>
        <v>23.999999999999996</v>
      </c>
      <c r="K193" s="389">
        <f t="shared" si="88"/>
        <v>1.9999999999999998</v>
      </c>
      <c r="Q193" s="391">
        <f t="shared" si="89"/>
        <v>884.39999999999986</v>
      </c>
      <c r="U193" s="389">
        <f t="shared" si="82"/>
        <v>884.39999999999986</v>
      </c>
      <c r="V193" s="391">
        <f t="shared" si="73"/>
        <v>0</v>
      </c>
      <c r="W193" s="391"/>
    </row>
    <row r="194" spans="1:23">
      <c r="A194" s="356" t="s">
        <v>623</v>
      </c>
      <c r="B194" s="356" t="s">
        <v>624</v>
      </c>
      <c r="C194" s="390">
        <v>66.069999999999993</v>
      </c>
      <c r="D194" s="391">
        <v>66.069999999999993</v>
      </c>
      <c r="F194" s="377">
        <v>67.42</v>
      </c>
      <c r="G194" s="391">
        <v>471.94</v>
      </c>
      <c r="I194" s="391">
        <f t="shared" si="86"/>
        <v>538.01</v>
      </c>
      <c r="J194" s="389">
        <f t="shared" si="87"/>
        <v>8</v>
      </c>
      <c r="K194" s="389">
        <f t="shared" si="88"/>
        <v>0.66666666666666663</v>
      </c>
      <c r="Q194" s="391">
        <f t="shared" si="89"/>
        <v>538.01</v>
      </c>
      <c r="U194" s="389">
        <f t="shared" si="82"/>
        <v>538.01</v>
      </c>
      <c r="V194" s="391">
        <f t="shared" si="73"/>
        <v>0</v>
      </c>
      <c r="W194" s="391"/>
    </row>
    <row r="195" spans="1:23">
      <c r="A195" s="356" t="s">
        <v>625</v>
      </c>
      <c r="B195" s="356" t="s">
        <v>626</v>
      </c>
      <c r="C195" s="390">
        <v>90.62</v>
      </c>
      <c r="D195" s="391">
        <v>0</v>
      </c>
      <c r="F195" s="377">
        <v>92.47</v>
      </c>
      <c r="G195" s="391">
        <v>462.35</v>
      </c>
      <c r="I195" s="391">
        <f t="shared" si="86"/>
        <v>462.35</v>
      </c>
      <c r="J195" s="389">
        <f t="shared" si="87"/>
        <v>5</v>
      </c>
      <c r="K195" s="389">
        <f t="shared" si="88"/>
        <v>0.41666666666666669</v>
      </c>
      <c r="Q195" s="391">
        <f t="shared" si="89"/>
        <v>462.35</v>
      </c>
      <c r="U195" s="389">
        <f t="shared" si="82"/>
        <v>462.35</v>
      </c>
      <c r="V195" s="391">
        <f t="shared" si="73"/>
        <v>0</v>
      </c>
      <c r="W195" s="391"/>
    </row>
    <row r="196" spans="1:23">
      <c r="A196" s="370" t="s">
        <v>17</v>
      </c>
      <c r="B196" s="356"/>
      <c r="C196" s="379"/>
      <c r="D196" s="386">
        <f>SUM(D54:D195)</f>
        <v>308555.12000000017</v>
      </c>
      <c r="F196" s="379"/>
      <c r="G196" s="386">
        <f>SUM(G54:G195)</f>
        <v>1636272.4399999992</v>
      </c>
      <c r="I196" s="386">
        <f>SUM(I53:I195)</f>
        <v>1944827.5599999996</v>
      </c>
      <c r="M196" s="386">
        <f t="shared" ref="M196:Q196" si="90">SUM(M53:M195)</f>
        <v>0</v>
      </c>
      <c r="N196" s="386">
        <f t="shared" si="90"/>
        <v>3489.0000000000005</v>
      </c>
      <c r="O196" s="386">
        <f t="shared" si="90"/>
        <v>90303.953794706918</v>
      </c>
      <c r="P196" s="386">
        <f t="shared" si="90"/>
        <v>0</v>
      </c>
      <c r="Q196" s="386">
        <f t="shared" si="90"/>
        <v>1861044.1862052926</v>
      </c>
      <c r="U196" s="380">
        <f t="shared" ref="U196" si="91">SUM(U53:U195)</f>
        <v>1954837.1399999997</v>
      </c>
      <c r="V196" s="391">
        <f t="shared" si="73"/>
        <v>-10009.580000000075</v>
      </c>
      <c r="W196" s="391"/>
    </row>
    <row r="197" spans="1:23">
      <c r="A197" s="370" t="s">
        <v>97</v>
      </c>
      <c r="B197" s="371"/>
      <c r="C197" s="379"/>
      <c r="D197" s="386">
        <f>'[13]American 1-15'!C196+'[13]American 2-15'!C196</f>
        <v>308555.12000000011</v>
      </c>
      <c r="F197" s="379"/>
      <c r="G197" s="386">
        <f>SUM('[13]American 12-15:American 3-15'!C196)</f>
        <v>1636272.44</v>
      </c>
      <c r="I197" s="386">
        <f t="shared" si="86"/>
        <v>1944827.56</v>
      </c>
      <c r="M197" s="391"/>
      <c r="V197" s="391">
        <f t="shared" si="73"/>
        <v>1944827.56</v>
      </c>
    </row>
    <row r="198" spans="1:23">
      <c r="A198" s="354"/>
      <c r="B198" s="371"/>
      <c r="C198" s="379"/>
      <c r="F198" s="379"/>
      <c r="I198" s="391"/>
      <c r="M198" s="391"/>
      <c r="Q198" s="391"/>
      <c r="V198" s="391">
        <f t="shared" si="73"/>
        <v>0</v>
      </c>
      <c r="W198" s="391"/>
    </row>
    <row r="199" spans="1:23">
      <c r="A199" s="372"/>
      <c r="B199" s="373"/>
      <c r="C199" s="379"/>
      <c r="F199" s="379"/>
      <c r="V199" s="391">
        <f t="shared" ref="V199:V262" si="92">I199-U199</f>
        <v>0</v>
      </c>
    </row>
    <row r="200" spans="1:23">
      <c r="A200" s="426" t="s">
        <v>627</v>
      </c>
      <c r="B200" s="426" t="s">
        <v>397</v>
      </c>
      <c r="C200" s="379"/>
      <c r="F200" s="379"/>
      <c r="V200" s="391">
        <f t="shared" si="92"/>
        <v>0</v>
      </c>
    </row>
    <row r="201" spans="1:23">
      <c r="A201" s="372" t="s">
        <v>398</v>
      </c>
      <c r="B201" s="372" t="s">
        <v>398</v>
      </c>
      <c r="C201" s="379"/>
      <c r="F201" s="379"/>
      <c r="V201" s="391">
        <f t="shared" si="92"/>
        <v>0</v>
      </c>
    </row>
    <row r="202" spans="1:23">
      <c r="A202" s="374" t="s">
        <v>399</v>
      </c>
      <c r="B202" s="374" t="s">
        <v>399</v>
      </c>
      <c r="C202" s="390">
        <v>83</v>
      </c>
      <c r="D202" s="391">
        <v>442.6</v>
      </c>
      <c r="F202" s="390">
        <v>83</v>
      </c>
      <c r="G202" s="391">
        <v>2913.42</v>
      </c>
      <c r="I202" s="391">
        <f t="shared" ref="I202:I206" si="93">D202+G202</f>
        <v>3356.02</v>
      </c>
      <c r="J202" s="389">
        <f t="shared" ref="J202:J206" si="94">D202/C202+G202/F202</f>
        <v>40.43397590361446</v>
      </c>
      <c r="K202" s="389">
        <f t="shared" ref="K202:K207" si="95">J202/12</f>
        <v>3.3694979919678718</v>
      </c>
      <c r="R202" s="391">
        <f>I202</f>
        <v>3356.02</v>
      </c>
      <c r="U202" s="389">
        <f t="shared" ref="U202:U265" si="96">SUM(M202:S202)</f>
        <v>3356.02</v>
      </c>
      <c r="V202" s="391">
        <f t="shared" si="92"/>
        <v>0</v>
      </c>
    </row>
    <row r="203" spans="1:23">
      <c r="A203" s="374" t="s">
        <v>400</v>
      </c>
      <c r="B203" s="374" t="s">
        <v>400</v>
      </c>
      <c r="C203" s="390">
        <v>93</v>
      </c>
      <c r="D203" s="391">
        <v>930</v>
      </c>
      <c r="F203" s="390">
        <v>93</v>
      </c>
      <c r="G203" s="391">
        <v>3608.9</v>
      </c>
      <c r="I203" s="391">
        <f t="shared" si="93"/>
        <v>4538.8999999999996</v>
      </c>
      <c r="J203" s="389">
        <f t="shared" si="94"/>
        <v>48.805376344086021</v>
      </c>
      <c r="K203" s="389">
        <f t="shared" si="95"/>
        <v>4.0671146953405017</v>
      </c>
      <c r="R203" s="391">
        <f t="shared" ref="R203:R206" si="97">I203</f>
        <v>4538.8999999999996</v>
      </c>
      <c r="U203" s="389">
        <f t="shared" si="96"/>
        <v>4538.8999999999996</v>
      </c>
      <c r="V203" s="391">
        <f t="shared" si="92"/>
        <v>0</v>
      </c>
    </row>
    <row r="204" spans="1:23">
      <c r="A204" s="374" t="s">
        <v>401</v>
      </c>
      <c r="B204" s="374" t="s">
        <v>401</v>
      </c>
      <c r="C204" s="390">
        <v>102</v>
      </c>
      <c r="D204" s="391">
        <v>924.57999999999993</v>
      </c>
      <c r="F204" s="390">
        <v>102</v>
      </c>
      <c r="G204" s="391">
        <v>6143.0399999999991</v>
      </c>
      <c r="I204" s="391">
        <f t="shared" si="93"/>
        <v>7067.619999999999</v>
      </c>
      <c r="J204" s="389">
        <f t="shared" si="94"/>
        <v>69.290392156862737</v>
      </c>
      <c r="K204" s="389">
        <f t="shared" si="95"/>
        <v>5.7741993464052284</v>
      </c>
      <c r="R204" s="391">
        <f t="shared" si="97"/>
        <v>7067.619999999999</v>
      </c>
      <c r="U204" s="389">
        <f t="shared" si="96"/>
        <v>7067.619999999999</v>
      </c>
      <c r="V204" s="391">
        <f t="shared" si="92"/>
        <v>0</v>
      </c>
    </row>
    <row r="205" spans="1:23">
      <c r="A205" s="374" t="s">
        <v>402</v>
      </c>
      <c r="B205" s="374" t="s">
        <v>402</v>
      </c>
      <c r="C205" s="390">
        <v>104</v>
      </c>
      <c r="D205" s="391">
        <v>0</v>
      </c>
      <c r="F205" s="390">
        <v>104</v>
      </c>
      <c r="G205" s="391">
        <v>0</v>
      </c>
      <c r="I205" s="391">
        <f t="shared" si="93"/>
        <v>0</v>
      </c>
      <c r="J205" s="389">
        <f t="shared" si="94"/>
        <v>0</v>
      </c>
      <c r="K205" s="389">
        <f t="shared" si="95"/>
        <v>0</v>
      </c>
      <c r="R205" s="391">
        <f t="shared" si="97"/>
        <v>0</v>
      </c>
      <c r="U205" s="389">
        <f t="shared" si="96"/>
        <v>0</v>
      </c>
      <c r="V205" s="391">
        <f t="shared" si="92"/>
        <v>0</v>
      </c>
    </row>
    <row r="206" spans="1:23">
      <c r="A206" s="374" t="s">
        <v>403</v>
      </c>
      <c r="B206" s="374" t="s">
        <v>403</v>
      </c>
      <c r="C206" s="390">
        <v>140</v>
      </c>
      <c r="D206" s="391">
        <v>0</v>
      </c>
      <c r="F206" s="390">
        <v>140</v>
      </c>
      <c r="G206" s="391">
        <v>0</v>
      </c>
      <c r="I206" s="391">
        <f t="shared" si="93"/>
        <v>0</v>
      </c>
      <c r="J206" s="389">
        <f t="shared" si="94"/>
        <v>0</v>
      </c>
      <c r="K206" s="389">
        <f t="shared" si="95"/>
        <v>0</v>
      </c>
      <c r="R206" s="391">
        <f t="shared" si="97"/>
        <v>0</v>
      </c>
      <c r="U206" s="389">
        <f t="shared" si="96"/>
        <v>0</v>
      </c>
      <c r="V206" s="391">
        <f t="shared" si="92"/>
        <v>0</v>
      </c>
    </row>
    <row r="207" spans="1:23">
      <c r="A207" s="374"/>
      <c r="B207" s="374"/>
      <c r="C207" s="379"/>
      <c r="F207" s="379"/>
      <c r="I207" s="391"/>
      <c r="J207" s="391"/>
      <c r="K207" s="378">
        <f t="shared" si="95"/>
        <v>0</v>
      </c>
      <c r="U207" s="389">
        <f t="shared" si="96"/>
        <v>0</v>
      </c>
      <c r="V207" s="391">
        <f t="shared" si="92"/>
        <v>0</v>
      </c>
    </row>
    <row r="208" spans="1:23">
      <c r="A208" s="372" t="s">
        <v>404</v>
      </c>
      <c r="B208" s="372" t="s">
        <v>404</v>
      </c>
      <c r="C208" s="379"/>
      <c r="F208" s="379"/>
      <c r="U208" s="389">
        <f t="shared" si="96"/>
        <v>0</v>
      </c>
      <c r="V208" s="391">
        <f t="shared" si="92"/>
        <v>0</v>
      </c>
    </row>
    <row r="209" spans="1:22">
      <c r="A209" s="374" t="s">
        <v>399</v>
      </c>
      <c r="B209" s="374" t="s">
        <v>399</v>
      </c>
      <c r="C209" s="390">
        <v>86.85</v>
      </c>
      <c r="D209" s="391">
        <v>1302.75</v>
      </c>
      <c r="F209" s="390">
        <v>86.85</v>
      </c>
      <c r="G209" s="391">
        <v>7729.65</v>
      </c>
      <c r="I209" s="391">
        <f t="shared" ref="I209:I213" si="98">D209+G209</f>
        <v>9032.4</v>
      </c>
      <c r="J209" s="389">
        <f t="shared" ref="J209:J213" si="99">D209/C209+G209/F209</f>
        <v>104</v>
      </c>
      <c r="K209" s="389">
        <f t="shared" ref="K209:K213" si="100">J209/12</f>
        <v>8.6666666666666661</v>
      </c>
      <c r="R209" s="391">
        <f t="shared" ref="R209:R213" si="101">I209</f>
        <v>9032.4</v>
      </c>
      <c r="U209" s="389">
        <f t="shared" si="96"/>
        <v>9032.4</v>
      </c>
      <c r="V209" s="391">
        <f t="shared" si="92"/>
        <v>0</v>
      </c>
    </row>
    <row r="210" spans="1:22">
      <c r="A210" s="374" t="s">
        <v>400</v>
      </c>
      <c r="B210" s="374" t="s">
        <v>400</v>
      </c>
      <c r="C210" s="390">
        <v>95.2</v>
      </c>
      <c r="D210" s="391">
        <v>1332.8</v>
      </c>
      <c r="F210" s="390">
        <v>95.2</v>
      </c>
      <c r="G210" s="391">
        <v>6949.5999999999995</v>
      </c>
      <c r="I210" s="391">
        <f t="shared" si="98"/>
        <v>8282.4</v>
      </c>
      <c r="J210" s="389">
        <f t="shared" si="99"/>
        <v>86.999999999999986</v>
      </c>
      <c r="K210" s="389">
        <f t="shared" si="100"/>
        <v>7.2499999999999991</v>
      </c>
      <c r="R210" s="391">
        <f t="shared" si="101"/>
        <v>8282.4</v>
      </c>
      <c r="U210" s="389">
        <f t="shared" si="96"/>
        <v>8282.4</v>
      </c>
      <c r="V210" s="391">
        <f t="shared" si="92"/>
        <v>0</v>
      </c>
    </row>
    <row r="211" spans="1:22">
      <c r="A211" s="374" t="s">
        <v>401</v>
      </c>
      <c r="B211" s="374" t="s">
        <v>401</v>
      </c>
      <c r="C211" s="390">
        <v>102.35</v>
      </c>
      <c r="D211" s="391">
        <v>1535.25</v>
      </c>
      <c r="F211" s="390">
        <v>102.35</v>
      </c>
      <c r="G211" s="391">
        <v>7369.2</v>
      </c>
      <c r="I211" s="391">
        <f t="shared" si="98"/>
        <v>8904.4500000000007</v>
      </c>
      <c r="J211" s="389">
        <f t="shared" si="99"/>
        <v>87</v>
      </c>
      <c r="K211" s="389">
        <f t="shared" si="100"/>
        <v>7.25</v>
      </c>
      <c r="R211" s="391">
        <f t="shared" si="101"/>
        <v>8904.4500000000007</v>
      </c>
      <c r="U211" s="389">
        <f t="shared" si="96"/>
        <v>8904.4500000000007</v>
      </c>
      <c r="V211" s="391">
        <f t="shared" si="92"/>
        <v>0</v>
      </c>
    </row>
    <row r="212" spans="1:22">
      <c r="A212" s="374" t="s">
        <v>402</v>
      </c>
      <c r="B212" s="374" t="s">
        <v>402</v>
      </c>
      <c r="C212" s="390">
        <v>123.75</v>
      </c>
      <c r="D212" s="391">
        <v>0</v>
      </c>
      <c r="F212" s="390">
        <v>123.75</v>
      </c>
      <c r="G212" s="391">
        <v>0</v>
      </c>
      <c r="I212" s="391">
        <f t="shared" si="98"/>
        <v>0</v>
      </c>
      <c r="J212" s="389">
        <f t="shared" si="99"/>
        <v>0</v>
      </c>
      <c r="K212" s="389">
        <f t="shared" si="100"/>
        <v>0</v>
      </c>
      <c r="R212" s="391">
        <f t="shared" si="101"/>
        <v>0</v>
      </c>
      <c r="U212" s="389">
        <f t="shared" si="96"/>
        <v>0</v>
      </c>
      <c r="V212" s="391">
        <f t="shared" si="92"/>
        <v>0</v>
      </c>
    </row>
    <row r="213" spans="1:22">
      <c r="A213" s="374" t="s">
        <v>403</v>
      </c>
      <c r="B213" s="374" t="s">
        <v>403</v>
      </c>
      <c r="C213" s="390">
        <v>146.4</v>
      </c>
      <c r="D213" s="391">
        <v>0</v>
      </c>
      <c r="F213" s="390">
        <v>146.4</v>
      </c>
      <c r="G213" s="391">
        <v>0</v>
      </c>
      <c r="I213" s="391">
        <f t="shared" si="98"/>
        <v>0</v>
      </c>
      <c r="J213" s="389">
        <f t="shared" si="99"/>
        <v>0</v>
      </c>
      <c r="K213" s="389">
        <f t="shared" si="100"/>
        <v>0</v>
      </c>
      <c r="R213" s="391">
        <f t="shared" si="101"/>
        <v>0</v>
      </c>
      <c r="U213" s="389">
        <f t="shared" si="96"/>
        <v>0</v>
      </c>
      <c r="V213" s="391">
        <f t="shared" si="92"/>
        <v>0</v>
      </c>
    </row>
    <row r="214" spans="1:22">
      <c r="A214" s="374"/>
      <c r="B214" s="374"/>
      <c r="C214" s="379"/>
      <c r="F214" s="379"/>
      <c r="U214" s="389">
        <f t="shared" si="96"/>
        <v>0</v>
      </c>
      <c r="V214" s="391">
        <f t="shared" si="92"/>
        <v>0</v>
      </c>
    </row>
    <row r="215" spans="1:22">
      <c r="A215" s="371" t="s">
        <v>405</v>
      </c>
      <c r="B215" s="371" t="s">
        <v>405</v>
      </c>
      <c r="C215" s="379"/>
      <c r="F215" s="379"/>
      <c r="U215" s="389">
        <f t="shared" si="96"/>
        <v>0</v>
      </c>
      <c r="V215" s="391">
        <f t="shared" si="92"/>
        <v>0</v>
      </c>
    </row>
    <row r="216" spans="1:22">
      <c r="A216" s="373" t="s">
        <v>399</v>
      </c>
      <c r="B216" s="373" t="s">
        <v>399</v>
      </c>
      <c r="C216" s="390">
        <v>4.7</v>
      </c>
      <c r="D216" s="391">
        <v>1295.8800000000001</v>
      </c>
      <c r="F216" s="390">
        <v>4.7</v>
      </c>
      <c r="G216" s="391">
        <v>10791.91</v>
      </c>
      <c r="I216" s="391">
        <f t="shared" ref="I216:I219" si="102">D216+G216</f>
        <v>12087.79</v>
      </c>
      <c r="J216" s="389">
        <f t="shared" ref="J216:J219" si="103">D216/C216+G216/F216</f>
        <v>2571.8702127659576</v>
      </c>
      <c r="K216" s="389">
        <f t="shared" ref="K216:K219" si="104">J216/12</f>
        <v>214.32251773049646</v>
      </c>
      <c r="R216" s="391">
        <f t="shared" ref="R216:R219" si="105">I216</f>
        <v>12087.79</v>
      </c>
      <c r="U216" s="389">
        <f t="shared" si="96"/>
        <v>12087.79</v>
      </c>
      <c r="V216" s="391">
        <f t="shared" si="92"/>
        <v>0</v>
      </c>
    </row>
    <row r="217" spans="1:22">
      <c r="A217" s="373" t="s">
        <v>400</v>
      </c>
      <c r="B217" s="373" t="s">
        <v>400</v>
      </c>
      <c r="C217" s="390">
        <v>4.9000000000000004</v>
      </c>
      <c r="D217" s="391">
        <v>215.60000000000002</v>
      </c>
      <c r="F217" s="390">
        <v>4.9000000000000004</v>
      </c>
      <c r="G217" s="391">
        <v>3718.71</v>
      </c>
      <c r="I217" s="391">
        <f t="shared" si="102"/>
        <v>3934.31</v>
      </c>
      <c r="J217" s="389">
        <f t="shared" si="103"/>
        <v>802.92040816326528</v>
      </c>
      <c r="K217" s="389">
        <f t="shared" si="104"/>
        <v>66.91003401360544</v>
      </c>
      <c r="R217" s="391">
        <f t="shared" si="105"/>
        <v>3934.31</v>
      </c>
      <c r="U217" s="389">
        <f t="shared" si="96"/>
        <v>3934.31</v>
      </c>
      <c r="V217" s="391">
        <f t="shared" si="92"/>
        <v>0</v>
      </c>
    </row>
    <row r="218" spans="1:22">
      <c r="A218" s="373" t="s">
        <v>401</v>
      </c>
      <c r="B218" s="373" t="s">
        <v>401</v>
      </c>
      <c r="C218" s="390">
        <v>5.12</v>
      </c>
      <c r="D218" s="391">
        <v>1696.91</v>
      </c>
      <c r="F218" s="390">
        <v>5.12</v>
      </c>
      <c r="G218" s="391">
        <v>11917.060000000001</v>
      </c>
      <c r="I218" s="391">
        <f t="shared" si="102"/>
        <v>13613.970000000001</v>
      </c>
      <c r="J218" s="389">
        <f t="shared" si="103"/>
        <v>2658.978515625</v>
      </c>
      <c r="K218" s="389">
        <f t="shared" si="104"/>
        <v>221.58154296875</v>
      </c>
      <c r="R218" s="391">
        <f t="shared" si="105"/>
        <v>13613.970000000001</v>
      </c>
      <c r="U218" s="389">
        <f t="shared" si="96"/>
        <v>13613.970000000001</v>
      </c>
      <c r="V218" s="391">
        <f t="shared" si="92"/>
        <v>0</v>
      </c>
    </row>
    <row r="219" spans="1:22">
      <c r="A219" s="373" t="s">
        <v>402</v>
      </c>
      <c r="B219" s="373" t="s">
        <v>402</v>
      </c>
      <c r="C219" s="390">
        <v>6.2</v>
      </c>
      <c r="D219" s="391">
        <v>0</v>
      </c>
      <c r="F219" s="390">
        <v>6.2</v>
      </c>
      <c r="G219" s="391">
        <v>0</v>
      </c>
      <c r="I219" s="391">
        <f t="shared" si="102"/>
        <v>0</v>
      </c>
      <c r="J219" s="389">
        <f t="shared" si="103"/>
        <v>0</v>
      </c>
      <c r="K219" s="389">
        <f t="shared" si="104"/>
        <v>0</v>
      </c>
      <c r="R219" s="391">
        <f t="shared" si="105"/>
        <v>0</v>
      </c>
      <c r="U219" s="389">
        <f t="shared" si="96"/>
        <v>0</v>
      </c>
      <c r="V219" s="391">
        <f t="shared" si="92"/>
        <v>0</v>
      </c>
    </row>
    <row r="220" spans="1:22">
      <c r="A220" s="374"/>
      <c r="B220" s="374"/>
      <c r="C220" s="379"/>
      <c r="F220" s="379"/>
      <c r="U220" s="389">
        <f t="shared" si="96"/>
        <v>0</v>
      </c>
      <c r="V220" s="391">
        <f t="shared" si="92"/>
        <v>0</v>
      </c>
    </row>
    <row r="221" spans="1:22">
      <c r="A221" s="372" t="s">
        <v>406</v>
      </c>
      <c r="B221" s="372" t="s">
        <v>406</v>
      </c>
      <c r="C221" s="379"/>
      <c r="F221" s="379"/>
      <c r="U221" s="389">
        <f t="shared" si="96"/>
        <v>0</v>
      </c>
      <c r="V221" s="391">
        <f t="shared" si="92"/>
        <v>0</v>
      </c>
    </row>
    <row r="222" spans="1:22">
      <c r="A222" s="374" t="s">
        <v>399</v>
      </c>
      <c r="B222" s="374" t="s">
        <v>399</v>
      </c>
      <c r="C222" s="390">
        <v>103.65</v>
      </c>
      <c r="D222" s="391">
        <v>1243.8</v>
      </c>
      <c r="F222" s="390">
        <v>103.65</v>
      </c>
      <c r="G222" s="391">
        <v>13267.2</v>
      </c>
      <c r="I222" s="391">
        <f t="shared" ref="I222:I225" si="106">D222+G222</f>
        <v>14511</v>
      </c>
      <c r="J222" s="389">
        <f t="shared" ref="J222:J225" si="107">D222/C222+G222/F222</f>
        <v>140</v>
      </c>
      <c r="K222" s="389">
        <f t="shared" ref="K222:K225" si="108">J222/12</f>
        <v>11.666666666666666</v>
      </c>
      <c r="R222" s="391">
        <f t="shared" ref="R222:R225" si="109">I222</f>
        <v>14511</v>
      </c>
      <c r="U222" s="389">
        <f t="shared" si="96"/>
        <v>14511</v>
      </c>
      <c r="V222" s="391">
        <f t="shared" si="92"/>
        <v>0</v>
      </c>
    </row>
    <row r="223" spans="1:22">
      <c r="A223" s="374" t="s">
        <v>400</v>
      </c>
      <c r="B223" s="374" t="s">
        <v>400</v>
      </c>
      <c r="C223" s="390">
        <v>110.65</v>
      </c>
      <c r="D223" s="391">
        <v>442.6</v>
      </c>
      <c r="F223" s="390">
        <v>110.65</v>
      </c>
      <c r="G223" s="391">
        <v>5200.55</v>
      </c>
      <c r="I223" s="391">
        <f t="shared" si="106"/>
        <v>5643.1500000000005</v>
      </c>
      <c r="J223" s="389">
        <f t="shared" si="107"/>
        <v>51</v>
      </c>
      <c r="K223" s="389">
        <f t="shared" si="108"/>
        <v>4.25</v>
      </c>
      <c r="R223" s="391">
        <f t="shared" si="109"/>
        <v>5643.1500000000005</v>
      </c>
      <c r="U223" s="389">
        <f t="shared" si="96"/>
        <v>5643.1500000000005</v>
      </c>
      <c r="V223" s="391">
        <f t="shared" si="92"/>
        <v>0</v>
      </c>
    </row>
    <row r="224" spans="1:22">
      <c r="A224" s="374" t="s">
        <v>401</v>
      </c>
      <c r="B224" s="374" t="s">
        <v>401</v>
      </c>
      <c r="C224" s="390">
        <v>116.6</v>
      </c>
      <c r="D224" s="391">
        <v>3964.4</v>
      </c>
      <c r="F224" s="390">
        <v>116.6</v>
      </c>
      <c r="G224" s="391">
        <v>17260.3</v>
      </c>
      <c r="I224" s="391">
        <f t="shared" si="106"/>
        <v>21224.7</v>
      </c>
      <c r="J224" s="389">
        <f t="shared" si="107"/>
        <v>182.03001715265867</v>
      </c>
      <c r="K224" s="389">
        <f t="shared" si="108"/>
        <v>15.169168096054889</v>
      </c>
      <c r="R224" s="391">
        <f t="shared" si="109"/>
        <v>21224.7</v>
      </c>
      <c r="U224" s="389">
        <f t="shared" si="96"/>
        <v>21224.7</v>
      </c>
      <c r="V224" s="391">
        <f t="shared" si="92"/>
        <v>0</v>
      </c>
    </row>
    <row r="225" spans="1:22">
      <c r="A225" s="374" t="s">
        <v>402</v>
      </c>
      <c r="B225" s="374" t="s">
        <v>402</v>
      </c>
      <c r="C225" s="390">
        <v>134.44999999999999</v>
      </c>
      <c r="D225" s="391">
        <v>0</v>
      </c>
      <c r="F225" s="390">
        <v>134.44999999999999</v>
      </c>
      <c r="G225" s="391">
        <v>0</v>
      </c>
      <c r="I225" s="391">
        <f t="shared" si="106"/>
        <v>0</v>
      </c>
      <c r="J225" s="389">
        <f t="shared" si="107"/>
        <v>0</v>
      </c>
      <c r="K225" s="389">
        <f t="shared" si="108"/>
        <v>0</v>
      </c>
      <c r="R225" s="391">
        <f t="shared" si="109"/>
        <v>0</v>
      </c>
      <c r="U225" s="389">
        <f t="shared" si="96"/>
        <v>0</v>
      </c>
      <c r="V225" s="391">
        <f t="shared" si="92"/>
        <v>0</v>
      </c>
    </row>
    <row r="226" spans="1:22">
      <c r="A226" s="374"/>
      <c r="B226" s="374"/>
      <c r="C226" s="379"/>
      <c r="F226" s="379"/>
      <c r="U226" s="389">
        <f t="shared" si="96"/>
        <v>0</v>
      </c>
      <c r="V226" s="391">
        <f t="shared" si="92"/>
        <v>0</v>
      </c>
    </row>
    <row r="227" spans="1:22">
      <c r="A227" s="372" t="s">
        <v>407</v>
      </c>
      <c r="B227" s="372" t="s">
        <v>407</v>
      </c>
      <c r="C227" s="379"/>
      <c r="F227" s="379"/>
      <c r="U227" s="389">
        <f t="shared" si="96"/>
        <v>0</v>
      </c>
      <c r="V227" s="391">
        <f t="shared" si="92"/>
        <v>0</v>
      </c>
    </row>
    <row r="228" spans="1:22">
      <c r="A228" s="374" t="s">
        <v>408</v>
      </c>
      <c r="B228" s="374" t="s">
        <v>408</v>
      </c>
      <c r="C228" s="390">
        <v>80</v>
      </c>
      <c r="D228" s="391">
        <v>0</v>
      </c>
      <c r="F228" s="390">
        <v>80</v>
      </c>
      <c r="G228" s="391">
        <v>0</v>
      </c>
      <c r="I228" s="391">
        <f t="shared" ref="I228:I232" si="110">D228+G228</f>
        <v>0</v>
      </c>
      <c r="J228" s="389">
        <f t="shared" ref="J228:J232" si="111">D228/C228+G228/F228</f>
        <v>0</v>
      </c>
      <c r="K228" s="389">
        <f t="shared" ref="K228:K232" si="112">J228/12</f>
        <v>0</v>
      </c>
      <c r="R228" s="391">
        <f t="shared" ref="R228:R232" si="113">I228</f>
        <v>0</v>
      </c>
      <c r="U228" s="389">
        <f t="shared" si="96"/>
        <v>0</v>
      </c>
      <c r="V228" s="391">
        <f t="shared" si="92"/>
        <v>0</v>
      </c>
    </row>
    <row r="229" spans="1:22">
      <c r="A229" s="374" t="s">
        <v>399</v>
      </c>
      <c r="B229" s="374" t="s">
        <v>399</v>
      </c>
      <c r="C229" s="390">
        <v>86.85</v>
      </c>
      <c r="D229" s="391">
        <v>0</v>
      </c>
      <c r="F229" s="390">
        <v>86.85</v>
      </c>
      <c r="G229" s="391">
        <v>0</v>
      </c>
      <c r="I229" s="391">
        <f t="shared" si="110"/>
        <v>0</v>
      </c>
      <c r="J229" s="389">
        <f t="shared" si="111"/>
        <v>0</v>
      </c>
      <c r="K229" s="389">
        <f t="shared" si="112"/>
        <v>0</v>
      </c>
      <c r="R229" s="391">
        <f t="shared" si="113"/>
        <v>0</v>
      </c>
      <c r="U229" s="389">
        <f t="shared" si="96"/>
        <v>0</v>
      </c>
      <c r="V229" s="391">
        <f t="shared" si="92"/>
        <v>0</v>
      </c>
    </row>
    <row r="230" spans="1:22">
      <c r="A230" s="374" t="s">
        <v>400</v>
      </c>
      <c r="B230" s="374" t="s">
        <v>400</v>
      </c>
      <c r="C230" s="390">
        <v>95.2</v>
      </c>
      <c r="D230" s="391">
        <v>0</v>
      </c>
      <c r="F230" s="390">
        <v>95.2</v>
      </c>
      <c r="G230" s="391">
        <v>0</v>
      </c>
      <c r="I230" s="391">
        <f t="shared" si="110"/>
        <v>0</v>
      </c>
      <c r="J230" s="389">
        <f t="shared" si="111"/>
        <v>0</v>
      </c>
      <c r="K230" s="389">
        <f t="shared" si="112"/>
        <v>0</v>
      </c>
      <c r="R230" s="391">
        <f t="shared" si="113"/>
        <v>0</v>
      </c>
      <c r="U230" s="389">
        <f t="shared" si="96"/>
        <v>0</v>
      </c>
      <c r="V230" s="391">
        <f t="shared" si="92"/>
        <v>0</v>
      </c>
    </row>
    <row r="231" spans="1:22">
      <c r="A231" s="374" t="s">
        <v>401</v>
      </c>
      <c r="B231" s="374" t="s">
        <v>401</v>
      </c>
      <c r="C231" s="390">
        <v>102.35</v>
      </c>
      <c r="D231" s="391">
        <v>0</v>
      </c>
      <c r="F231" s="390">
        <v>102.35</v>
      </c>
      <c r="G231" s="391">
        <v>0</v>
      </c>
      <c r="I231" s="391">
        <f t="shared" si="110"/>
        <v>0</v>
      </c>
      <c r="J231" s="389">
        <f t="shared" si="111"/>
        <v>0</v>
      </c>
      <c r="K231" s="389">
        <f t="shared" si="112"/>
        <v>0</v>
      </c>
      <c r="R231" s="391">
        <f t="shared" si="113"/>
        <v>0</v>
      </c>
      <c r="U231" s="389">
        <f t="shared" si="96"/>
        <v>0</v>
      </c>
      <c r="V231" s="391">
        <f t="shared" si="92"/>
        <v>0</v>
      </c>
    </row>
    <row r="232" spans="1:22">
      <c r="A232" s="374" t="s">
        <v>402</v>
      </c>
      <c r="B232" s="374" t="s">
        <v>402</v>
      </c>
      <c r="C232" s="390">
        <v>121.4</v>
      </c>
      <c r="D232" s="391">
        <v>0</v>
      </c>
      <c r="F232" s="390">
        <v>121.4</v>
      </c>
      <c r="G232" s="391">
        <v>0</v>
      </c>
      <c r="I232" s="391">
        <f t="shared" si="110"/>
        <v>0</v>
      </c>
      <c r="J232" s="389">
        <f t="shared" si="111"/>
        <v>0</v>
      </c>
      <c r="K232" s="389">
        <f t="shared" si="112"/>
        <v>0</v>
      </c>
      <c r="R232" s="391">
        <f t="shared" si="113"/>
        <v>0</v>
      </c>
      <c r="U232" s="389">
        <f t="shared" si="96"/>
        <v>0</v>
      </c>
      <c r="V232" s="391">
        <f t="shared" si="92"/>
        <v>0</v>
      </c>
    </row>
    <row r="233" spans="1:22">
      <c r="A233" s="374"/>
      <c r="B233" s="374"/>
      <c r="C233" s="379"/>
      <c r="F233" s="379"/>
      <c r="U233" s="389">
        <f t="shared" si="96"/>
        <v>0</v>
      </c>
      <c r="V233" s="391">
        <f t="shared" si="92"/>
        <v>0</v>
      </c>
    </row>
    <row r="234" spans="1:22">
      <c r="A234" s="372" t="s">
        <v>409</v>
      </c>
      <c r="B234" s="372" t="s">
        <v>409</v>
      </c>
      <c r="C234" s="379"/>
      <c r="F234" s="379"/>
      <c r="U234" s="389">
        <f t="shared" si="96"/>
        <v>0</v>
      </c>
      <c r="V234" s="391">
        <f t="shared" si="92"/>
        <v>0</v>
      </c>
    </row>
    <row r="235" spans="1:22">
      <c r="A235" s="374" t="s">
        <v>408</v>
      </c>
      <c r="B235" s="374" t="s">
        <v>408</v>
      </c>
      <c r="C235" s="390">
        <v>124.95</v>
      </c>
      <c r="D235" s="391">
        <v>2623.95</v>
      </c>
      <c r="F235" s="390">
        <v>124.95</v>
      </c>
      <c r="G235" s="391">
        <v>13494.6</v>
      </c>
      <c r="I235" s="391">
        <f t="shared" ref="I235:I241" si="114">D235+G235</f>
        <v>16118.55</v>
      </c>
      <c r="J235" s="389">
        <f t="shared" ref="J235:J241" si="115">D235/C235+G235/F235</f>
        <v>129</v>
      </c>
      <c r="K235" s="389">
        <f t="shared" ref="K235:K241" si="116">J235/12</f>
        <v>10.75</v>
      </c>
      <c r="R235" s="391">
        <f t="shared" ref="R235:R241" si="117">I235</f>
        <v>16118.55</v>
      </c>
      <c r="U235" s="389">
        <f t="shared" si="96"/>
        <v>16118.55</v>
      </c>
      <c r="V235" s="391">
        <f t="shared" si="92"/>
        <v>0</v>
      </c>
    </row>
    <row r="236" spans="1:22">
      <c r="A236" s="374" t="s">
        <v>410</v>
      </c>
      <c r="B236" s="374" t="s">
        <v>410</v>
      </c>
      <c r="C236" s="390">
        <v>129.1</v>
      </c>
      <c r="D236" s="391">
        <v>387.29999999999995</v>
      </c>
      <c r="F236" s="390">
        <v>129.1</v>
      </c>
      <c r="G236" s="391">
        <v>1290.9999999999998</v>
      </c>
      <c r="I236" s="391">
        <f t="shared" si="114"/>
        <v>1678.2999999999997</v>
      </c>
      <c r="J236" s="389">
        <f t="shared" si="115"/>
        <v>12.999999999999998</v>
      </c>
      <c r="K236" s="389">
        <f t="shared" si="116"/>
        <v>1.0833333333333333</v>
      </c>
      <c r="R236" s="391">
        <f t="shared" si="117"/>
        <v>1678.2999999999997</v>
      </c>
      <c r="U236" s="389">
        <f t="shared" si="96"/>
        <v>1678.2999999999997</v>
      </c>
      <c r="V236" s="391">
        <f t="shared" si="92"/>
        <v>0</v>
      </c>
    </row>
    <row r="237" spans="1:22">
      <c r="A237" s="374" t="s">
        <v>399</v>
      </c>
      <c r="B237" s="374" t="s">
        <v>399</v>
      </c>
      <c r="C237" s="390">
        <v>129.1</v>
      </c>
      <c r="D237" s="391">
        <v>1291</v>
      </c>
      <c r="F237" s="390">
        <v>129.1</v>
      </c>
      <c r="G237" s="391">
        <v>7358.7</v>
      </c>
      <c r="I237" s="391">
        <f t="shared" si="114"/>
        <v>8649.7000000000007</v>
      </c>
      <c r="J237" s="389">
        <f t="shared" si="115"/>
        <v>67</v>
      </c>
      <c r="K237" s="389">
        <f t="shared" si="116"/>
        <v>5.583333333333333</v>
      </c>
      <c r="R237" s="391">
        <f t="shared" si="117"/>
        <v>8649.7000000000007</v>
      </c>
      <c r="U237" s="389">
        <f t="shared" si="96"/>
        <v>8649.7000000000007</v>
      </c>
      <c r="V237" s="391">
        <f t="shared" si="92"/>
        <v>0</v>
      </c>
    </row>
    <row r="238" spans="1:22">
      <c r="A238" s="374" t="s">
        <v>400</v>
      </c>
      <c r="B238" s="374" t="s">
        <v>400</v>
      </c>
      <c r="C238" s="390">
        <v>133.9</v>
      </c>
      <c r="D238" s="391">
        <v>2008.5</v>
      </c>
      <c r="F238" s="390">
        <v>133.9</v>
      </c>
      <c r="G238" s="391">
        <v>11381.499999999998</v>
      </c>
      <c r="I238" s="391">
        <f t="shared" si="114"/>
        <v>13389.999999999998</v>
      </c>
      <c r="J238" s="389">
        <f t="shared" si="115"/>
        <v>99.999999999999986</v>
      </c>
      <c r="K238" s="389">
        <f t="shared" si="116"/>
        <v>8.3333333333333321</v>
      </c>
      <c r="R238" s="391">
        <f t="shared" si="117"/>
        <v>13389.999999999998</v>
      </c>
      <c r="U238" s="389">
        <f t="shared" si="96"/>
        <v>13389.999999999998</v>
      </c>
      <c r="V238" s="391">
        <f t="shared" si="92"/>
        <v>0</v>
      </c>
    </row>
    <row r="239" spans="1:22">
      <c r="A239" s="374" t="s">
        <v>401</v>
      </c>
      <c r="B239" s="374" t="s">
        <v>401</v>
      </c>
      <c r="C239" s="390">
        <v>142.19999999999999</v>
      </c>
      <c r="D239" s="391">
        <v>5119.2000000000007</v>
      </c>
      <c r="F239" s="390">
        <v>142.19999999999999</v>
      </c>
      <c r="G239" s="391">
        <v>26591.399999999998</v>
      </c>
      <c r="I239" s="391">
        <f t="shared" si="114"/>
        <v>31710.6</v>
      </c>
      <c r="J239" s="389">
        <f t="shared" si="115"/>
        <v>223</v>
      </c>
      <c r="K239" s="389">
        <f t="shared" si="116"/>
        <v>18.583333333333332</v>
      </c>
      <c r="R239" s="391">
        <f t="shared" si="117"/>
        <v>31710.6</v>
      </c>
      <c r="U239" s="389">
        <f t="shared" si="96"/>
        <v>31710.6</v>
      </c>
      <c r="V239" s="391">
        <f t="shared" si="92"/>
        <v>0</v>
      </c>
    </row>
    <row r="240" spans="1:22">
      <c r="A240" s="374" t="s">
        <v>411</v>
      </c>
      <c r="B240" s="374" t="s">
        <v>411</v>
      </c>
      <c r="C240" s="390">
        <v>147</v>
      </c>
      <c r="D240" s="391">
        <v>0</v>
      </c>
      <c r="F240" s="390">
        <v>147</v>
      </c>
      <c r="G240" s="391">
        <v>0</v>
      </c>
      <c r="I240" s="391">
        <f t="shared" si="114"/>
        <v>0</v>
      </c>
      <c r="J240" s="389">
        <f t="shared" si="115"/>
        <v>0</v>
      </c>
      <c r="K240" s="389">
        <f t="shared" si="116"/>
        <v>0</v>
      </c>
      <c r="R240" s="391">
        <f t="shared" si="117"/>
        <v>0</v>
      </c>
      <c r="U240" s="389">
        <f t="shared" si="96"/>
        <v>0</v>
      </c>
      <c r="V240" s="391">
        <f t="shared" si="92"/>
        <v>0</v>
      </c>
    </row>
    <row r="241" spans="1:23">
      <c r="A241" s="374" t="s">
        <v>402</v>
      </c>
      <c r="B241" s="374" t="s">
        <v>402</v>
      </c>
      <c r="C241" s="390">
        <v>152.9</v>
      </c>
      <c r="D241" s="391">
        <v>611.6</v>
      </c>
      <c r="F241" s="390">
        <v>152.9</v>
      </c>
      <c r="G241" s="391">
        <v>3669.6000000000004</v>
      </c>
      <c r="I241" s="391">
        <f t="shared" si="114"/>
        <v>4281.2000000000007</v>
      </c>
      <c r="J241" s="389">
        <f t="shared" si="115"/>
        <v>28</v>
      </c>
      <c r="K241" s="389">
        <f t="shared" si="116"/>
        <v>2.3333333333333335</v>
      </c>
      <c r="R241" s="391">
        <f t="shared" si="117"/>
        <v>4281.2000000000007</v>
      </c>
      <c r="U241" s="389">
        <f t="shared" si="96"/>
        <v>4281.2000000000007</v>
      </c>
      <c r="V241" s="391">
        <f t="shared" si="92"/>
        <v>0</v>
      </c>
    </row>
    <row r="242" spans="1:23">
      <c r="A242" s="374"/>
      <c r="B242" s="374"/>
      <c r="C242" s="379"/>
      <c r="F242" s="379"/>
      <c r="U242" s="389">
        <f t="shared" si="96"/>
        <v>0</v>
      </c>
      <c r="V242" s="391">
        <f t="shared" si="92"/>
        <v>0</v>
      </c>
    </row>
    <row r="243" spans="1:23">
      <c r="A243" s="426" t="s">
        <v>412</v>
      </c>
      <c r="B243" s="426" t="s">
        <v>412</v>
      </c>
      <c r="C243" s="379"/>
      <c r="F243" s="379"/>
      <c r="U243" s="389">
        <f t="shared" si="96"/>
        <v>0</v>
      </c>
      <c r="V243" s="391">
        <f t="shared" si="92"/>
        <v>0</v>
      </c>
    </row>
    <row r="244" spans="1:23">
      <c r="A244" s="374" t="s">
        <v>413</v>
      </c>
      <c r="B244" s="374" t="s">
        <v>413</v>
      </c>
      <c r="C244" s="390">
        <v>89</v>
      </c>
      <c r="D244" s="391">
        <v>2136</v>
      </c>
      <c r="F244" s="390">
        <v>89</v>
      </c>
      <c r="G244" s="391">
        <v>17355</v>
      </c>
      <c r="I244" s="391">
        <f t="shared" ref="I244:I256" si="118">D244+G244</f>
        <v>19491</v>
      </c>
      <c r="J244" s="389">
        <f t="shared" ref="J244:J255" si="119">D244/C244+G244/F244</f>
        <v>219</v>
      </c>
      <c r="K244" s="389">
        <f t="shared" ref="K244:K256" si="120">J244/12</f>
        <v>18.25</v>
      </c>
      <c r="R244" s="391">
        <f t="shared" ref="R244:R255" si="121">I244</f>
        <v>19491</v>
      </c>
      <c r="U244" s="389">
        <f t="shared" si="96"/>
        <v>19491</v>
      </c>
      <c r="V244" s="391">
        <f t="shared" si="92"/>
        <v>0</v>
      </c>
    </row>
    <row r="245" spans="1:23">
      <c r="A245" s="374" t="s">
        <v>414</v>
      </c>
      <c r="B245" s="374" t="s">
        <v>414</v>
      </c>
      <c r="C245" s="390">
        <v>3.5</v>
      </c>
      <c r="D245" s="391">
        <v>1515.5</v>
      </c>
      <c r="F245" s="390">
        <v>3.5</v>
      </c>
      <c r="G245" s="391">
        <v>7689.5</v>
      </c>
      <c r="I245" s="391">
        <f t="shared" si="118"/>
        <v>9205</v>
      </c>
      <c r="J245" s="389">
        <f t="shared" si="119"/>
        <v>2630</v>
      </c>
      <c r="K245" s="389">
        <f t="shared" si="120"/>
        <v>219.16666666666666</v>
      </c>
      <c r="R245" s="391">
        <f t="shared" si="121"/>
        <v>9205</v>
      </c>
      <c r="U245" s="389">
        <f t="shared" si="96"/>
        <v>9205</v>
      </c>
      <c r="V245" s="391">
        <f t="shared" si="92"/>
        <v>0</v>
      </c>
    </row>
    <row r="246" spans="1:23">
      <c r="A246" s="374" t="s">
        <v>415</v>
      </c>
      <c r="B246" s="374" t="s">
        <v>415</v>
      </c>
      <c r="C246" s="390">
        <v>6.55</v>
      </c>
      <c r="D246" s="391">
        <v>582.95000000000005</v>
      </c>
      <c r="F246" s="390">
        <v>6.55</v>
      </c>
      <c r="G246" s="391">
        <v>2921.39</v>
      </c>
      <c r="I246" s="391">
        <f t="shared" si="118"/>
        <v>3504.34</v>
      </c>
      <c r="J246" s="389">
        <f t="shared" si="119"/>
        <v>535.01374045801526</v>
      </c>
      <c r="K246" s="389">
        <f t="shared" si="120"/>
        <v>44.58447837150127</v>
      </c>
      <c r="R246" s="391">
        <f t="shared" si="121"/>
        <v>3504.34</v>
      </c>
      <c r="U246" s="389">
        <f t="shared" si="96"/>
        <v>3504.34</v>
      </c>
      <c r="V246" s="391">
        <f t="shared" si="92"/>
        <v>0</v>
      </c>
    </row>
    <row r="247" spans="1:23">
      <c r="A247" s="374" t="s">
        <v>416</v>
      </c>
      <c r="B247" s="374" t="s">
        <v>416</v>
      </c>
      <c r="C247" s="390">
        <v>20</v>
      </c>
      <c r="D247" s="391">
        <v>1360</v>
      </c>
      <c r="F247" s="390">
        <v>20</v>
      </c>
      <c r="G247" s="391">
        <v>7080</v>
      </c>
      <c r="I247" s="391">
        <f t="shared" si="118"/>
        <v>8440</v>
      </c>
      <c r="J247" s="389">
        <f t="shared" si="119"/>
        <v>422</v>
      </c>
      <c r="K247" s="389">
        <f t="shared" si="120"/>
        <v>35.166666666666664</v>
      </c>
      <c r="R247" s="391">
        <f t="shared" si="121"/>
        <v>8440</v>
      </c>
      <c r="U247" s="389">
        <f t="shared" si="96"/>
        <v>8440</v>
      </c>
      <c r="V247" s="391">
        <f t="shared" si="92"/>
        <v>0</v>
      </c>
    </row>
    <row r="248" spans="1:23">
      <c r="A248" s="374" t="s">
        <v>417</v>
      </c>
      <c r="B248" s="374" t="s">
        <v>417</v>
      </c>
      <c r="C248" s="390">
        <v>43</v>
      </c>
      <c r="D248" s="391">
        <v>142.5</v>
      </c>
      <c r="F248" s="390">
        <v>95</v>
      </c>
      <c r="G248" s="391">
        <v>880.25</v>
      </c>
      <c r="I248" s="391">
        <f t="shared" si="118"/>
        <v>1022.75</v>
      </c>
      <c r="J248" s="389">
        <f t="shared" si="119"/>
        <v>12.579742962056303</v>
      </c>
      <c r="K248" s="389">
        <f t="shared" si="120"/>
        <v>1.0483119135046919</v>
      </c>
      <c r="R248" s="391">
        <f t="shared" si="121"/>
        <v>1022.75</v>
      </c>
      <c r="U248" s="389">
        <f t="shared" si="96"/>
        <v>1022.75</v>
      </c>
      <c r="V248" s="391">
        <f t="shared" si="92"/>
        <v>0</v>
      </c>
    </row>
    <row r="249" spans="1:23">
      <c r="A249" s="374" t="s">
        <v>418</v>
      </c>
      <c r="B249" s="374" t="s">
        <v>418</v>
      </c>
      <c r="C249" s="390">
        <v>86</v>
      </c>
      <c r="D249" s="391">
        <v>193.5</v>
      </c>
      <c r="F249" s="390">
        <v>86</v>
      </c>
      <c r="G249" s="391">
        <v>1046.5</v>
      </c>
      <c r="I249" s="391">
        <f t="shared" si="118"/>
        <v>1240</v>
      </c>
      <c r="J249" s="389">
        <f t="shared" si="119"/>
        <v>14.418604651162791</v>
      </c>
      <c r="K249" s="389">
        <f t="shared" si="120"/>
        <v>1.2015503875968994</v>
      </c>
      <c r="R249" s="391">
        <f t="shared" si="121"/>
        <v>1240</v>
      </c>
      <c r="U249" s="389">
        <f t="shared" si="96"/>
        <v>1240</v>
      </c>
      <c r="V249" s="391">
        <f t="shared" si="92"/>
        <v>0</v>
      </c>
    </row>
    <row r="250" spans="1:23">
      <c r="A250" s="374" t="s">
        <v>419</v>
      </c>
      <c r="B250" s="374" t="s">
        <v>419</v>
      </c>
      <c r="C250" s="390">
        <v>89</v>
      </c>
      <c r="D250" s="391">
        <v>89</v>
      </c>
      <c r="F250" s="390">
        <v>89</v>
      </c>
      <c r="G250" s="391">
        <v>267</v>
      </c>
      <c r="I250" s="391">
        <f t="shared" si="118"/>
        <v>356</v>
      </c>
      <c r="J250" s="389">
        <f t="shared" si="119"/>
        <v>4</v>
      </c>
      <c r="K250" s="389">
        <f t="shared" si="120"/>
        <v>0.33333333333333331</v>
      </c>
      <c r="R250" s="391">
        <f t="shared" si="121"/>
        <v>356</v>
      </c>
      <c r="U250" s="389">
        <f t="shared" si="96"/>
        <v>356</v>
      </c>
      <c r="V250" s="391">
        <f t="shared" si="92"/>
        <v>0</v>
      </c>
    </row>
    <row r="251" spans="1:23">
      <c r="A251" s="374" t="s">
        <v>420</v>
      </c>
      <c r="B251" s="374" t="s">
        <v>420</v>
      </c>
      <c r="C251" s="390">
        <v>6.9</v>
      </c>
      <c r="D251" s="391">
        <v>213</v>
      </c>
      <c r="F251" s="390">
        <v>6.9</v>
      </c>
      <c r="G251" s="391">
        <v>0</v>
      </c>
      <c r="I251" s="391">
        <f t="shared" si="118"/>
        <v>213</v>
      </c>
      <c r="J251" s="389">
        <f t="shared" si="119"/>
        <v>30.869565217391301</v>
      </c>
      <c r="K251" s="389">
        <f t="shared" si="120"/>
        <v>2.5724637681159419</v>
      </c>
      <c r="R251" s="391">
        <f t="shared" si="121"/>
        <v>213</v>
      </c>
      <c r="U251" s="389">
        <f t="shared" si="96"/>
        <v>213</v>
      </c>
      <c r="V251" s="391">
        <f t="shared" si="92"/>
        <v>0</v>
      </c>
    </row>
    <row r="252" spans="1:23">
      <c r="A252" s="374" t="s">
        <v>421</v>
      </c>
      <c r="B252" s="374" t="s">
        <v>421</v>
      </c>
      <c r="C252" s="390">
        <v>139.38</v>
      </c>
      <c r="D252" s="391">
        <v>91388.36</v>
      </c>
      <c r="F252" s="390">
        <v>144.97</v>
      </c>
      <c r="G252" s="391">
        <v>534161.84000000008</v>
      </c>
      <c r="I252" s="391">
        <f t="shared" si="118"/>
        <v>625550.20000000007</v>
      </c>
      <c r="J252" s="389">
        <f t="shared" si="119"/>
        <v>4340.3148129281299</v>
      </c>
      <c r="K252" s="389">
        <f t="shared" si="120"/>
        <v>361.69290107734417</v>
      </c>
      <c r="R252" s="391"/>
      <c r="S252" s="391">
        <f>I252</f>
        <v>625550.20000000007</v>
      </c>
      <c r="U252" s="389">
        <f t="shared" si="96"/>
        <v>625550.20000000007</v>
      </c>
      <c r="V252" s="391">
        <f t="shared" si="92"/>
        <v>0</v>
      </c>
      <c r="W252" s="391"/>
    </row>
    <row r="253" spans="1:23">
      <c r="A253" s="374" t="s">
        <v>628</v>
      </c>
      <c r="B253" s="375" t="s">
        <v>422</v>
      </c>
      <c r="C253" s="379"/>
      <c r="F253" s="379"/>
      <c r="G253" s="391"/>
      <c r="I253" s="391">
        <f t="shared" si="118"/>
        <v>0</v>
      </c>
      <c r="J253" s="389"/>
      <c r="K253" s="389">
        <f t="shared" si="120"/>
        <v>0</v>
      </c>
      <c r="R253" s="391">
        <f t="shared" si="121"/>
        <v>0</v>
      </c>
      <c r="U253" s="389">
        <f t="shared" si="96"/>
        <v>0</v>
      </c>
      <c r="V253" s="391">
        <f t="shared" si="92"/>
        <v>0</v>
      </c>
      <c r="W253" s="391"/>
    </row>
    <row r="254" spans="1:23">
      <c r="A254" s="374" t="s">
        <v>423</v>
      </c>
      <c r="B254" s="374" t="s">
        <v>423</v>
      </c>
      <c r="C254" s="390">
        <v>86</v>
      </c>
      <c r="D254" s="391">
        <v>0</v>
      </c>
      <c r="F254" s="390">
        <v>86</v>
      </c>
      <c r="G254" s="391">
        <v>0</v>
      </c>
      <c r="I254" s="391">
        <f t="shared" si="118"/>
        <v>0</v>
      </c>
      <c r="J254" s="389">
        <f t="shared" si="119"/>
        <v>0</v>
      </c>
      <c r="K254" s="389">
        <f t="shared" si="120"/>
        <v>0</v>
      </c>
      <c r="R254" s="391">
        <f t="shared" si="121"/>
        <v>0</v>
      </c>
      <c r="U254" s="389">
        <f t="shared" si="96"/>
        <v>0</v>
      </c>
      <c r="V254" s="391">
        <f t="shared" si="92"/>
        <v>0</v>
      </c>
      <c r="W254" s="391"/>
    </row>
    <row r="255" spans="1:23">
      <c r="A255" s="374" t="s">
        <v>424</v>
      </c>
      <c r="B255" s="374" t="s">
        <v>424</v>
      </c>
      <c r="C255" s="390">
        <v>139.38</v>
      </c>
      <c r="D255" s="391">
        <v>0</v>
      </c>
      <c r="F255" s="390">
        <v>144.97</v>
      </c>
      <c r="G255" s="391">
        <v>0</v>
      </c>
      <c r="I255" s="391">
        <f t="shared" si="118"/>
        <v>0</v>
      </c>
      <c r="J255" s="389">
        <f t="shared" si="119"/>
        <v>0</v>
      </c>
      <c r="K255" s="389">
        <f t="shared" si="120"/>
        <v>0</v>
      </c>
      <c r="R255" s="391">
        <f t="shared" si="121"/>
        <v>0</v>
      </c>
      <c r="U255" s="389">
        <f t="shared" si="96"/>
        <v>0</v>
      </c>
      <c r="V255" s="391">
        <f t="shared" si="92"/>
        <v>0</v>
      </c>
    </row>
    <row r="256" spans="1:23">
      <c r="A256" s="373" t="s">
        <v>425</v>
      </c>
      <c r="B256" s="373" t="s">
        <v>425</v>
      </c>
      <c r="C256" s="379"/>
      <c r="F256" s="379"/>
      <c r="G256" s="391"/>
      <c r="I256" s="391">
        <f t="shared" si="118"/>
        <v>0</v>
      </c>
      <c r="J256" s="389"/>
      <c r="K256" s="389">
        <f t="shared" si="120"/>
        <v>0</v>
      </c>
      <c r="U256" s="389">
        <f t="shared" si="96"/>
        <v>0</v>
      </c>
      <c r="V256" s="391">
        <f t="shared" si="92"/>
        <v>0</v>
      </c>
    </row>
    <row r="257" spans="1:22">
      <c r="A257" s="374"/>
      <c r="B257" s="373"/>
      <c r="C257" s="379"/>
      <c r="F257" s="379"/>
      <c r="U257" s="389">
        <f t="shared" si="96"/>
        <v>0</v>
      </c>
      <c r="V257" s="391">
        <f t="shared" si="92"/>
        <v>0</v>
      </c>
    </row>
    <row r="258" spans="1:22">
      <c r="A258" s="374" t="s">
        <v>629</v>
      </c>
      <c r="B258" s="374" t="s">
        <v>426</v>
      </c>
      <c r="C258" s="390">
        <v>10.91</v>
      </c>
      <c r="D258" s="391">
        <v>2945.7</v>
      </c>
      <c r="F258" s="377">
        <v>10.98</v>
      </c>
      <c r="G258" s="391">
        <v>14932.799999999997</v>
      </c>
      <c r="I258" s="391">
        <f t="shared" ref="I258:I260" si="122">D258+G258</f>
        <v>17878.499999999996</v>
      </c>
      <c r="J258" s="389">
        <f t="shared" ref="J258:J260" si="123">D258/C258+G258/F258</f>
        <v>1629.9999999999998</v>
      </c>
      <c r="K258" s="389">
        <f t="shared" ref="K258:K260" si="124">J258/12</f>
        <v>135.83333333333331</v>
      </c>
      <c r="O258" s="391">
        <f>J258*$B$308</f>
        <v>11670.8</v>
      </c>
      <c r="Q258" s="391">
        <f>I258-O258</f>
        <v>6207.6999999999971</v>
      </c>
      <c r="R258" s="391"/>
      <c r="U258" s="389">
        <f t="shared" si="96"/>
        <v>17878.499999999996</v>
      </c>
      <c r="V258" s="391">
        <f t="shared" si="92"/>
        <v>0</v>
      </c>
    </row>
    <row r="259" spans="1:22">
      <c r="A259" s="374" t="s">
        <v>630</v>
      </c>
      <c r="B259" s="374" t="s">
        <v>427</v>
      </c>
      <c r="C259" s="390">
        <v>3.75</v>
      </c>
      <c r="D259" s="391">
        <v>3056.25</v>
      </c>
      <c r="F259" s="377">
        <v>3.82</v>
      </c>
      <c r="G259" s="391">
        <v>15623.800000000003</v>
      </c>
      <c r="I259" s="391">
        <f t="shared" si="122"/>
        <v>18680.050000000003</v>
      </c>
      <c r="J259" s="389">
        <f t="shared" si="123"/>
        <v>4905.0000000000009</v>
      </c>
      <c r="K259" s="389">
        <f t="shared" si="124"/>
        <v>408.75000000000006</v>
      </c>
      <c r="Q259" s="391">
        <f>I259-O259</f>
        <v>18680.050000000003</v>
      </c>
      <c r="R259" s="391"/>
      <c r="U259" s="389">
        <f t="shared" si="96"/>
        <v>18680.050000000003</v>
      </c>
      <c r="V259" s="391">
        <f t="shared" si="92"/>
        <v>0</v>
      </c>
    </row>
    <row r="260" spans="1:22">
      <c r="A260" s="374" t="s">
        <v>631</v>
      </c>
      <c r="B260" s="374" t="s">
        <v>319</v>
      </c>
      <c r="C260" s="390">
        <v>-2.0499999999999998</v>
      </c>
      <c r="D260" s="391">
        <v>-553.5</v>
      </c>
      <c r="F260" s="377">
        <v>-0.49</v>
      </c>
      <c r="G260" s="391">
        <v>-666.39999999999986</v>
      </c>
      <c r="I260" s="392">
        <f t="shared" si="122"/>
        <v>-1219.8999999999999</v>
      </c>
      <c r="J260" s="389">
        <f t="shared" si="123"/>
        <v>1629.9999999999998</v>
      </c>
      <c r="K260" s="389">
        <f t="shared" si="124"/>
        <v>135.83333333333331</v>
      </c>
      <c r="R260" s="391"/>
      <c r="U260" s="389">
        <f t="shared" si="96"/>
        <v>0</v>
      </c>
      <c r="V260" s="391">
        <f t="shared" si="92"/>
        <v>-1219.8999999999999</v>
      </c>
    </row>
    <row r="261" spans="1:22">
      <c r="A261" s="374"/>
      <c r="B261" s="374"/>
      <c r="C261" s="379"/>
      <c r="F261" s="379"/>
      <c r="U261" s="389">
        <f t="shared" si="96"/>
        <v>0</v>
      </c>
      <c r="V261" s="391">
        <f t="shared" si="92"/>
        <v>0</v>
      </c>
    </row>
    <row r="262" spans="1:22">
      <c r="A262" s="374" t="s">
        <v>632</v>
      </c>
      <c r="B262" s="374" t="s">
        <v>288</v>
      </c>
      <c r="C262" s="390">
        <v>4.62</v>
      </c>
      <c r="D262" s="391">
        <v>0</v>
      </c>
      <c r="F262" s="390">
        <v>4.62</v>
      </c>
      <c r="G262" s="391">
        <v>0</v>
      </c>
      <c r="I262" s="391">
        <f t="shared" ref="I262:I263" si="125">D262+G262</f>
        <v>0</v>
      </c>
      <c r="J262" s="389">
        <f t="shared" ref="J262:J263" si="126">D262/C262+G262/F262</f>
        <v>0</v>
      </c>
      <c r="K262" s="389">
        <f t="shared" ref="K262:K263" si="127">J262/12</f>
        <v>0</v>
      </c>
      <c r="R262" s="391">
        <f t="shared" ref="R262:R263" si="128">I262</f>
        <v>0</v>
      </c>
      <c r="U262" s="389">
        <f t="shared" si="96"/>
        <v>0</v>
      </c>
      <c r="V262" s="391">
        <f t="shared" si="92"/>
        <v>0</v>
      </c>
    </row>
    <row r="263" spans="1:22">
      <c r="A263" s="374" t="s">
        <v>633</v>
      </c>
      <c r="B263" s="374" t="s">
        <v>289</v>
      </c>
      <c r="C263" s="390">
        <v>2.06</v>
      </c>
      <c r="D263" s="391">
        <v>0</v>
      </c>
      <c r="F263" s="390">
        <v>2.06</v>
      </c>
      <c r="G263" s="391">
        <v>0</v>
      </c>
      <c r="I263" s="391">
        <f t="shared" si="125"/>
        <v>0</v>
      </c>
      <c r="J263" s="389">
        <f t="shared" si="126"/>
        <v>0</v>
      </c>
      <c r="K263" s="389">
        <f t="shared" si="127"/>
        <v>0</v>
      </c>
      <c r="R263" s="391">
        <f t="shared" si="128"/>
        <v>0</v>
      </c>
      <c r="U263" s="389">
        <f t="shared" si="96"/>
        <v>0</v>
      </c>
      <c r="V263" s="391">
        <f t="shared" ref="V263:V281" si="129">I263-U263</f>
        <v>0</v>
      </c>
    </row>
    <row r="264" spans="1:22">
      <c r="A264" s="374"/>
      <c r="B264" s="374"/>
      <c r="C264" s="395"/>
      <c r="F264" s="379"/>
      <c r="G264" s="391"/>
      <c r="I264" s="391"/>
      <c r="U264" s="389">
        <f t="shared" si="96"/>
        <v>0</v>
      </c>
      <c r="V264" s="391">
        <f t="shared" si="129"/>
        <v>0</v>
      </c>
    </row>
    <row r="265" spans="1:22">
      <c r="A265" s="374"/>
      <c r="B265" s="374"/>
      <c r="C265" s="379"/>
      <c r="F265" s="379"/>
      <c r="U265" s="389">
        <f t="shared" si="96"/>
        <v>0</v>
      </c>
      <c r="V265" s="391">
        <f t="shared" si="129"/>
        <v>0</v>
      </c>
    </row>
    <row r="266" spans="1:22">
      <c r="A266" s="426" t="s">
        <v>428</v>
      </c>
      <c r="B266" s="426" t="s">
        <v>428</v>
      </c>
      <c r="C266" s="379"/>
      <c r="F266" s="379"/>
      <c r="U266" s="389">
        <f t="shared" ref="U266:U279" si="130">SUM(M266:S266)</f>
        <v>0</v>
      </c>
      <c r="V266" s="391">
        <f t="shared" si="129"/>
        <v>0</v>
      </c>
    </row>
    <row r="267" spans="1:22">
      <c r="A267" s="374" t="s">
        <v>634</v>
      </c>
      <c r="B267" s="374" t="s">
        <v>429</v>
      </c>
      <c r="C267" s="390">
        <v>13.02</v>
      </c>
      <c r="D267" s="391">
        <v>225.5</v>
      </c>
      <c r="F267" s="390">
        <v>13.02</v>
      </c>
      <c r="G267" s="391">
        <v>1127.5</v>
      </c>
      <c r="I267" s="391">
        <f t="shared" ref="I267:I274" si="131">D267+G267</f>
        <v>1353</v>
      </c>
      <c r="J267" s="389">
        <f t="shared" ref="J267:J274" si="132">D267/C267+G267/F267</f>
        <v>103.91705069124424</v>
      </c>
      <c r="K267" s="389">
        <f t="shared" ref="K267:K274" si="133">J267/12</f>
        <v>8.6597542242703529</v>
      </c>
      <c r="O267" s="391">
        <f>I267</f>
        <v>1353</v>
      </c>
      <c r="U267" s="389">
        <f t="shared" si="130"/>
        <v>1353</v>
      </c>
      <c r="V267" s="391">
        <f t="shared" si="129"/>
        <v>0</v>
      </c>
    </row>
    <row r="268" spans="1:22">
      <c r="A268" s="374" t="s">
        <v>635</v>
      </c>
      <c r="B268" s="374" t="s">
        <v>430</v>
      </c>
      <c r="C268" s="390">
        <v>12.43</v>
      </c>
      <c r="D268" s="391">
        <v>24.86</v>
      </c>
      <c r="F268" s="390">
        <v>12.43</v>
      </c>
      <c r="G268" s="391">
        <v>124.30000000000001</v>
      </c>
      <c r="I268" s="391">
        <f t="shared" si="131"/>
        <v>149.16000000000003</v>
      </c>
      <c r="J268" s="389">
        <f t="shared" si="132"/>
        <v>12.000000000000002</v>
      </c>
      <c r="K268" s="389">
        <f t="shared" si="133"/>
        <v>1.0000000000000002</v>
      </c>
      <c r="O268" s="391">
        <f t="shared" ref="O268:O274" si="134">I268</f>
        <v>149.16000000000003</v>
      </c>
      <c r="U268" s="389">
        <f t="shared" si="130"/>
        <v>149.16000000000003</v>
      </c>
      <c r="V268" s="391">
        <f t="shared" si="129"/>
        <v>0</v>
      </c>
    </row>
    <row r="269" spans="1:22">
      <c r="A269" s="374" t="s">
        <v>636</v>
      </c>
      <c r="B269" s="374" t="s">
        <v>431</v>
      </c>
      <c r="C269" s="390">
        <v>40.590000000000003</v>
      </c>
      <c r="D269" s="391">
        <v>2812.06</v>
      </c>
      <c r="F269" s="390">
        <v>40.590000000000003</v>
      </c>
      <c r="G269" s="391">
        <v>14060.300000000003</v>
      </c>
      <c r="I269" s="391">
        <f t="shared" si="131"/>
        <v>16872.360000000004</v>
      </c>
      <c r="J269" s="389">
        <f t="shared" si="132"/>
        <v>415.67775314116778</v>
      </c>
      <c r="K269" s="389">
        <f t="shared" si="133"/>
        <v>34.639812761763984</v>
      </c>
      <c r="O269" s="391">
        <f t="shared" si="134"/>
        <v>16872.360000000004</v>
      </c>
      <c r="U269" s="389">
        <f t="shared" si="130"/>
        <v>16872.360000000004</v>
      </c>
      <c r="V269" s="391">
        <f t="shared" si="129"/>
        <v>0</v>
      </c>
    </row>
    <row r="270" spans="1:22">
      <c r="A270" s="374" t="s">
        <v>637</v>
      </c>
      <c r="B270" s="374" t="s">
        <v>432</v>
      </c>
      <c r="C270" s="390">
        <v>18.350000000000001</v>
      </c>
      <c r="D270" s="391">
        <v>183.5</v>
      </c>
      <c r="F270" s="390">
        <v>18.350000000000001</v>
      </c>
      <c r="G270" s="391">
        <v>917.5</v>
      </c>
      <c r="I270" s="391">
        <f t="shared" si="131"/>
        <v>1101</v>
      </c>
      <c r="J270" s="389">
        <f t="shared" si="132"/>
        <v>59.999999999999993</v>
      </c>
      <c r="K270" s="389">
        <f t="shared" si="133"/>
        <v>4.9999999999999991</v>
      </c>
      <c r="O270" s="391">
        <f t="shared" si="134"/>
        <v>1101</v>
      </c>
      <c r="U270" s="389">
        <f t="shared" si="130"/>
        <v>1101</v>
      </c>
      <c r="V270" s="391">
        <f t="shared" si="129"/>
        <v>0</v>
      </c>
    </row>
    <row r="271" spans="1:22">
      <c r="A271" s="374" t="s">
        <v>638</v>
      </c>
      <c r="B271" s="374" t="s">
        <v>433</v>
      </c>
      <c r="C271" s="390">
        <v>6.28</v>
      </c>
      <c r="D271" s="391">
        <v>1794.54</v>
      </c>
      <c r="F271" s="390">
        <v>6.28</v>
      </c>
      <c r="G271" s="391">
        <v>9244.5999999999985</v>
      </c>
      <c r="I271" s="391">
        <f t="shared" si="131"/>
        <v>11039.14</v>
      </c>
      <c r="J271" s="389">
        <f t="shared" si="132"/>
        <v>1757.8248407643309</v>
      </c>
      <c r="K271" s="389">
        <f t="shared" si="133"/>
        <v>146.48540339702757</v>
      </c>
      <c r="O271" s="391">
        <f t="shared" si="134"/>
        <v>11039.14</v>
      </c>
      <c r="U271" s="389">
        <f t="shared" si="130"/>
        <v>11039.14</v>
      </c>
      <c r="V271" s="391">
        <f t="shared" si="129"/>
        <v>0</v>
      </c>
    </row>
    <row r="272" spans="1:22">
      <c r="A272" s="374" t="s">
        <v>639</v>
      </c>
      <c r="B272" s="374" t="s">
        <v>434</v>
      </c>
      <c r="C272" s="390">
        <v>4.74</v>
      </c>
      <c r="D272" s="391">
        <v>312.83999999999997</v>
      </c>
      <c r="F272" s="390">
        <v>4.74</v>
      </c>
      <c r="G272" s="391">
        <v>1611.6000000000001</v>
      </c>
      <c r="I272" s="391">
        <f t="shared" si="131"/>
        <v>1924.44</v>
      </c>
      <c r="J272" s="389">
        <f t="shared" si="132"/>
        <v>406</v>
      </c>
      <c r="K272" s="389">
        <f t="shared" si="133"/>
        <v>33.833333333333336</v>
      </c>
      <c r="O272" s="391">
        <f t="shared" si="134"/>
        <v>1924.44</v>
      </c>
      <c r="U272" s="389">
        <f t="shared" si="130"/>
        <v>1924.44</v>
      </c>
      <c r="V272" s="391">
        <f t="shared" si="129"/>
        <v>0</v>
      </c>
    </row>
    <row r="273" spans="1:23">
      <c r="A273" s="374" t="s">
        <v>458</v>
      </c>
      <c r="B273" s="374" t="s">
        <v>319</v>
      </c>
      <c r="C273" s="390">
        <v>-0.82</v>
      </c>
      <c r="D273" s="391">
        <v>-471.82</v>
      </c>
      <c r="F273" s="390">
        <v>-0.44</v>
      </c>
      <c r="G273" s="391">
        <v>-1278.5</v>
      </c>
      <c r="I273" s="392">
        <f t="shared" si="131"/>
        <v>-1750.32</v>
      </c>
      <c r="J273" s="389">
        <f t="shared" si="132"/>
        <v>3481.0720620842571</v>
      </c>
      <c r="K273" s="389">
        <f t="shared" si="133"/>
        <v>290.08933850702141</v>
      </c>
      <c r="U273" s="389">
        <f t="shared" si="130"/>
        <v>0</v>
      </c>
      <c r="V273" s="391">
        <f t="shared" si="129"/>
        <v>-1750.32</v>
      </c>
    </row>
    <row r="274" spans="1:23">
      <c r="A274" s="374" t="s">
        <v>640</v>
      </c>
      <c r="B274" s="374" t="s">
        <v>323</v>
      </c>
      <c r="C274" s="390">
        <v>0.75</v>
      </c>
      <c r="D274" s="391">
        <v>798</v>
      </c>
      <c r="F274" s="390">
        <v>2.85</v>
      </c>
      <c r="G274" s="391">
        <v>3990</v>
      </c>
      <c r="I274" s="396">
        <f t="shared" si="131"/>
        <v>4788</v>
      </c>
      <c r="J274" s="389">
        <f t="shared" si="132"/>
        <v>2464</v>
      </c>
      <c r="K274" s="389">
        <f t="shared" si="133"/>
        <v>205.33333333333334</v>
      </c>
      <c r="O274" s="396">
        <f t="shared" si="134"/>
        <v>4788</v>
      </c>
      <c r="U274" s="389">
        <f t="shared" si="130"/>
        <v>4788</v>
      </c>
      <c r="V274" s="391">
        <f t="shared" si="129"/>
        <v>0</v>
      </c>
    </row>
    <row r="275" spans="1:23">
      <c r="A275" s="374"/>
      <c r="B275" s="374"/>
      <c r="C275" s="379"/>
      <c r="F275" s="379"/>
      <c r="U275" s="389">
        <f t="shared" si="130"/>
        <v>0</v>
      </c>
      <c r="V275" s="391">
        <f t="shared" si="129"/>
        <v>0</v>
      </c>
    </row>
    <row r="276" spans="1:23">
      <c r="A276" s="374" t="s">
        <v>507</v>
      </c>
      <c r="B276" s="374" t="s">
        <v>299</v>
      </c>
      <c r="C276" s="390">
        <v>6.53</v>
      </c>
      <c r="D276" s="391">
        <v>555.54</v>
      </c>
      <c r="F276" s="390">
        <v>6.53</v>
      </c>
      <c r="G276" s="391">
        <v>2777.7</v>
      </c>
      <c r="I276" s="391">
        <f t="shared" ref="I276" si="135">D276+G276</f>
        <v>3333.24</v>
      </c>
      <c r="J276" s="389">
        <f t="shared" ref="J276" si="136">D276/C276+G276/F276</f>
        <v>510.45022970903517</v>
      </c>
      <c r="K276" s="389">
        <f t="shared" ref="K276" si="137">J276/12</f>
        <v>42.537519142419598</v>
      </c>
      <c r="N276" s="391">
        <f>I276</f>
        <v>3333.24</v>
      </c>
      <c r="U276" s="389">
        <f t="shared" si="130"/>
        <v>3333.24</v>
      </c>
      <c r="V276" s="391">
        <f t="shared" si="129"/>
        <v>0</v>
      </c>
    </row>
    <row r="277" spans="1:23">
      <c r="A277" s="374"/>
      <c r="B277" s="374"/>
      <c r="C277" s="379"/>
      <c r="F277" s="379"/>
      <c r="U277" s="389">
        <f t="shared" si="130"/>
        <v>0</v>
      </c>
      <c r="V277" s="391">
        <f t="shared" si="129"/>
        <v>0</v>
      </c>
    </row>
    <row r="278" spans="1:23">
      <c r="A278" s="374" t="s">
        <v>435</v>
      </c>
      <c r="B278" s="374" t="s">
        <v>435</v>
      </c>
      <c r="C278" s="379"/>
      <c r="D278" s="391">
        <v>0</v>
      </c>
      <c r="F278" s="379"/>
      <c r="U278" s="389">
        <f t="shared" si="130"/>
        <v>0</v>
      </c>
      <c r="V278" s="391">
        <f t="shared" si="129"/>
        <v>0</v>
      </c>
    </row>
    <row r="279" spans="1:23">
      <c r="A279" s="374"/>
      <c r="B279" s="372"/>
      <c r="C279" s="379"/>
      <c r="D279" s="386"/>
      <c r="F279" s="379"/>
      <c r="G279" s="386">
        <f>SUM(G202:G278)</f>
        <v>794523.02000000014</v>
      </c>
      <c r="I279" s="386">
        <f>SUM(I202:I278)</f>
        <v>931196.02000000014</v>
      </c>
      <c r="U279" s="389">
        <f t="shared" si="130"/>
        <v>0</v>
      </c>
      <c r="V279" s="391"/>
    </row>
    <row r="280" spans="1:23">
      <c r="A280" s="374"/>
      <c r="B280" s="372" t="s">
        <v>436</v>
      </c>
      <c r="C280" s="399"/>
      <c r="D280" s="386">
        <f>SUM(D202:D278)</f>
        <v>136673</v>
      </c>
      <c r="E280" s="383"/>
      <c r="F280" s="399"/>
      <c r="G280" s="386">
        <f>SUM(G202:G278)</f>
        <v>794523.02000000014</v>
      </c>
      <c r="H280" s="383"/>
      <c r="I280" s="386">
        <f>SUM(I202:I278)</f>
        <v>931196.02000000014</v>
      </c>
      <c r="J280" s="383"/>
      <c r="K280" s="383"/>
      <c r="L280" s="383"/>
      <c r="M280" s="386">
        <f t="shared" ref="M280:T280" si="138">SUM(M202:M278)</f>
        <v>0</v>
      </c>
      <c r="N280" s="386">
        <f t="shared" si="138"/>
        <v>3333.24</v>
      </c>
      <c r="O280" s="386">
        <f t="shared" si="138"/>
        <v>48897.900000000009</v>
      </c>
      <c r="P280" s="386">
        <f t="shared" si="138"/>
        <v>0</v>
      </c>
      <c r="Q280" s="386">
        <f t="shared" si="138"/>
        <v>24887.75</v>
      </c>
      <c r="R280" s="386">
        <f t="shared" si="138"/>
        <v>231497.15</v>
      </c>
      <c r="S280" s="386">
        <f t="shared" si="138"/>
        <v>625550.20000000007</v>
      </c>
      <c r="T280" s="386">
        <f t="shared" si="138"/>
        <v>0</v>
      </c>
      <c r="U280" s="380">
        <f>SUM(U202:U278)</f>
        <v>934166.24000000011</v>
      </c>
      <c r="V280" s="407">
        <f>V6+V54+V63+V260+V273</f>
        <v>-171756.03499999997</v>
      </c>
      <c r="W280" s="391"/>
    </row>
    <row r="281" spans="1:23">
      <c r="A281" s="374"/>
      <c r="B281" s="372"/>
      <c r="C281" s="379"/>
      <c r="D281" s="391"/>
      <c r="F281" s="379"/>
      <c r="V281" s="391">
        <f t="shared" si="129"/>
        <v>0</v>
      </c>
    </row>
    <row r="282" spans="1:23">
      <c r="A282" s="374" t="s">
        <v>17</v>
      </c>
      <c r="B282" s="374"/>
      <c r="C282" s="379"/>
      <c r="D282" s="386">
        <f>D49+D196+D280</f>
        <v>1615660.9549999998</v>
      </c>
      <c r="F282" s="379"/>
      <c r="G282" s="386">
        <f>G49+G196+G280</f>
        <v>7460973.959999999</v>
      </c>
      <c r="I282" s="400">
        <f>I49+I196+I280</f>
        <v>9076634.9149999991</v>
      </c>
      <c r="M282" s="391">
        <f>M49+M196+M280</f>
        <v>1539240.881913604</v>
      </c>
      <c r="N282" s="391">
        <f t="shared" ref="N282:T282" si="139">N49+N196+N280</f>
        <v>667538.87</v>
      </c>
      <c r="O282" s="391">
        <f t="shared" si="139"/>
        <v>139201.85379470693</v>
      </c>
      <c r="P282" s="391">
        <f t="shared" si="139"/>
        <v>4159430.0580863962</v>
      </c>
      <c r="Q282" s="391">
        <f t="shared" si="139"/>
        <v>1885931.9362052926</v>
      </c>
      <c r="R282" s="391">
        <f t="shared" si="139"/>
        <v>231497.15</v>
      </c>
      <c r="S282" s="391">
        <f t="shared" si="139"/>
        <v>625550.20000000007</v>
      </c>
      <c r="T282" s="391">
        <f t="shared" si="139"/>
        <v>0</v>
      </c>
      <c r="U282" s="389">
        <f>SUM(M282:T282)</f>
        <v>9248390.9499999993</v>
      </c>
      <c r="V282" s="378" t="s">
        <v>641</v>
      </c>
    </row>
    <row r="283" spans="1:23">
      <c r="B283" s="374"/>
      <c r="G283" s="386"/>
      <c r="I283" s="386"/>
      <c r="M283" s="386"/>
      <c r="N283" s="386"/>
      <c r="O283" s="386"/>
      <c r="P283" s="386"/>
      <c r="Q283" s="386"/>
      <c r="R283" s="386"/>
      <c r="S283" s="386"/>
      <c r="T283" s="386"/>
      <c r="U283" s="403">
        <f>I6+I54+I63+I260+I273</f>
        <v>-171756.03499999997</v>
      </c>
      <c r="V283" s="391"/>
    </row>
    <row r="284" spans="1:23">
      <c r="A284" s="378" t="s">
        <v>642</v>
      </c>
      <c r="B284" s="374"/>
      <c r="C284" s="390"/>
      <c r="D284" s="391">
        <v>1885.8700000000001</v>
      </c>
      <c r="F284" s="379"/>
      <c r="G284" s="391">
        <v>10013</v>
      </c>
      <c r="I284" s="427">
        <f>SUM(D284:G284)</f>
        <v>11898.87</v>
      </c>
      <c r="M284" s="386"/>
      <c r="N284" s="386"/>
      <c r="O284" s="386"/>
      <c r="P284" s="386"/>
      <c r="Q284" s="386"/>
      <c r="R284" s="386"/>
      <c r="S284" s="386"/>
      <c r="T284" s="386"/>
      <c r="U284" s="405">
        <f>SUM(U282:U283)</f>
        <v>9076634.9149999991</v>
      </c>
      <c r="V284" s="378" t="s">
        <v>641</v>
      </c>
    </row>
    <row r="285" spans="1:23">
      <c r="A285" s="378" t="s">
        <v>643</v>
      </c>
      <c r="B285" s="374"/>
      <c r="C285" s="379"/>
      <c r="D285" s="391">
        <v>0</v>
      </c>
      <c r="F285" s="379"/>
      <c r="G285" s="391">
        <v>320</v>
      </c>
      <c r="I285" s="427">
        <f>SUM(D285:G285)</f>
        <v>320</v>
      </c>
      <c r="M285" s="402"/>
    </row>
    <row r="286" spans="1:23">
      <c r="B286" s="374"/>
      <c r="D286" s="391"/>
      <c r="I286" s="391"/>
      <c r="M286" s="404" t="s">
        <v>644</v>
      </c>
      <c r="P286" s="382"/>
      <c r="Q286" s="382">
        <f>SUM(Q53:Q112)+Q280</f>
        <v>373243.52620529308</v>
      </c>
      <c r="R286" s="382"/>
      <c r="S286" s="383"/>
      <c r="T286" s="383"/>
      <c r="U286" s="380">
        <f>I282-U284</f>
        <v>0</v>
      </c>
    </row>
    <row r="287" spans="1:23">
      <c r="B287" s="374"/>
      <c r="C287" s="377"/>
      <c r="D287" s="391"/>
      <c r="F287" s="377"/>
      <c r="M287" s="389">
        <f>SUM(M33:M46)</f>
        <v>4068.2819136039611</v>
      </c>
      <c r="N287" s="378" t="s">
        <v>14</v>
      </c>
      <c r="P287" s="382"/>
      <c r="Q287" s="382"/>
      <c r="R287" s="382"/>
      <c r="S287" s="384"/>
      <c r="T287" s="384"/>
      <c r="U287" s="382"/>
    </row>
    <row r="288" spans="1:23">
      <c r="B288" s="374"/>
      <c r="C288" s="377"/>
      <c r="D288" s="391"/>
      <c r="F288" s="377"/>
      <c r="M288" s="389">
        <f>SUM(O77:O83)</f>
        <v>0</v>
      </c>
      <c r="N288" s="378" t="s">
        <v>645</v>
      </c>
    </row>
    <row r="289" spans="1:21">
      <c r="B289" s="374"/>
      <c r="C289" s="377"/>
      <c r="D289" s="391"/>
      <c r="F289" s="377"/>
      <c r="M289" s="389">
        <f>I64</f>
        <v>1266</v>
      </c>
      <c r="N289" s="378" t="s">
        <v>646</v>
      </c>
    </row>
    <row r="290" spans="1:21">
      <c r="B290" s="374"/>
      <c r="C290" s="377"/>
      <c r="F290" s="377"/>
      <c r="M290" s="389">
        <f>O274</f>
        <v>4788</v>
      </c>
      <c r="N290" s="378" t="s">
        <v>647</v>
      </c>
    </row>
    <row r="291" spans="1:21">
      <c r="B291" s="374"/>
      <c r="C291" s="377"/>
      <c r="F291" s="377"/>
      <c r="M291" s="380">
        <f>SUM(M287:M290)</f>
        <v>10122.281913603962</v>
      </c>
    </row>
    <row r="292" spans="1:21">
      <c r="B292" s="374"/>
      <c r="D292" s="391"/>
      <c r="M292" s="391"/>
    </row>
    <row r="293" spans="1:21">
      <c r="B293" s="374"/>
      <c r="D293" s="391"/>
      <c r="G293" s="391"/>
      <c r="I293" s="391">
        <f>D292+G293</f>
        <v>0</v>
      </c>
      <c r="M293" s="391"/>
      <c r="N293" s="402" t="s">
        <v>14</v>
      </c>
      <c r="O293" s="402"/>
      <c r="P293" s="402"/>
      <c r="Q293" s="402" t="s">
        <v>648</v>
      </c>
      <c r="R293" s="402" t="s">
        <v>453</v>
      </c>
      <c r="S293" s="402" t="s">
        <v>649</v>
      </c>
      <c r="T293" s="378" t="s">
        <v>650</v>
      </c>
    </row>
    <row r="294" spans="1:21">
      <c r="B294" s="374"/>
      <c r="C294" s="406"/>
      <c r="D294" s="386"/>
      <c r="F294" s="406"/>
      <c r="G294" s="391"/>
      <c r="I294" s="391">
        <f>D293+G294</f>
        <v>0</v>
      </c>
      <c r="M294" s="393" t="s">
        <v>144</v>
      </c>
      <c r="N294" s="389">
        <f>P282</f>
        <v>4159430.0580863962</v>
      </c>
      <c r="O294" s="389"/>
      <c r="P294" s="378" t="s">
        <v>144</v>
      </c>
      <c r="Q294" s="407">
        <f>Q282</f>
        <v>1885931.9362052926</v>
      </c>
      <c r="R294" s="408">
        <f>R282</f>
        <v>231497.15</v>
      </c>
      <c r="S294" s="407">
        <f>S282</f>
        <v>625550.20000000007</v>
      </c>
      <c r="U294" s="389">
        <f>SUM(N294:T294)</f>
        <v>6902409.3442916898</v>
      </c>
    </row>
    <row r="295" spans="1:21">
      <c r="B295" s="371"/>
      <c r="D295" s="386"/>
      <c r="G295" s="386"/>
      <c r="I295" s="386">
        <f>SUM(I293:I294)</f>
        <v>0</v>
      </c>
      <c r="M295" s="409" t="s">
        <v>284</v>
      </c>
      <c r="N295" s="389">
        <f>M282</f>
        <v>1539240.881913604</v>
      </c>
      <c r="O295" s="389"/>
      <c r="P295" s="378" t="s">
        <v>651</v>
      </c>
      <c r="Q295" s="407">
        <f>O282</f>
        <v>139201.85379470693</v>
      </c>
      <c r="U295" s="389">
        <f t="shared" ref="U295:U296" si="140">SUM(N295:T295)</f>
        <v>1678442.735708311</v>
      </c>
    </row>
    <row r="296" spans="1:21">
      <c r="B296" s="371"/>
      <c r="D296" s="386"/>
      <c r="G296" s="386"/>
      <c r="I296" s="386"/>
      <c r="M296" s="389" t="s">
        <v>447</v>
      </c>
      <c r="N296" s="389">
        <f>N282</f>
        <v>667538.87</v>
      </c>
      <c r="O296" s="389"/>
      <c r="P296" s="389"/>
      <c r="Q296" s="407"/>
      <c r="R296" s="389"/>
      <c r="S296" s="389"/>
      <c r="T296" s="389"/>
      <c r="U296" s="389">
        <f t="shared" si="140"/>
        <v>667538.87</v>
      </c>
    </row>
    <row r="297" spans="1:21" ht="13.5" thickBot="1">
      <c r="A297" s="410"/>
      <c r="B297" s="376"/>
      <c r="D297" s="415"/>
      <c r="G297" s="386"/>
      <c r="I297" s="386"/>
      <c r="M297" s="389"/>
      <c r="N297" s="380">
        <f>SUM(N294:N296)</f>
        <v>6366209.8100000005</v>
      </c>
      <c r="O297" s="389"/>
      <c r="P297" s="389"/>
      <c r="Q297" s="411">
        <f>SUM(Q294:Q296)</f>
        <v>2025133.7899999996</v>
      </c>
      <c r="R297" s="407">
        <f>SUM(R294:R296)</f>
        <v>231497.15</v>
      </c>
      <c r="S297" s="407">
        <f>SUM(S294:S296)</f>
        <v>625550.20000000007</v>
      </c>
      <c r="T297" s="389"/>
      <c r="U297" s="389">
        <f>SUM(U294:U296)</f>
        <v>9248390.9499999993</v>
      </c>
    </row>
    <row r="298" spans="1:21">
      <c r="A298" s="412"/>
      <c r="B298" s="413"/>
      <c r="C298" s="414"/>
      <c r="D298" s="415"/>
      <c r="N298" s="389"/>
      <c r="O298" s="389"/>
      <c r="Q298" s="407"/>
      <c r="R298" s="389"/>
      <c r="S298" s="389"/>
      <c r="T298" s="408">
        <f>I6+I54+I63+I260+I273</f>
        <v>-171756.03499999997</v>
      </c>
      <c r="U298" s="403">
        <f>T298</f>
        <v>-171756.03499999997</v>
      </c>
    </row>
    <row r="299" spans="1:21">
      <c r="A299" s="416" t="s">
        <v>652</v>
      </c>
      <c r="C299" s="417"/>
      <c r="D299" s="415"/>
      <c r="N299" s="389"/>
      <c r="O299" s="389"/>
      <c r="Q299" s="407"/>
    </row>
    <row r="300" spans="1:21">
      <c r="A300" s="418" t="s">
        <v>56</v>
      </c>
      <c r="B300" s="378">
        <v>1</v>
      </c>
      <c r="C300" s="417">
        <v>300</v>
      </c>
      <c r="D300" s="415"/>
      <c r="M300" s="383" t="s">
        <v>696</v>
      </c>
      <c r="N300" s="389"/>
      <c r="O300" s="389"/>
      <c r="Q300" s="389"/>
      <c r="R300" s="389"/>
      <c r="S300" s="389"/>
      <c r="U300" s="405">
        <f>U297+U298</f>
        <v>9076634.9149999991</v>
      </c>
    </row>
    <row r="301" spans="1:21">
      <c r="A301" s="418" t="s">
        <v>653</v>
      </c>
      <c r="B301" s="378">
        <v>2</v>
      </c>
      <c r="C301" s="417">
        <f>C300+1</f>
        <v>301</v>
      </c>
      <c r="D301" s="415"/>
      <c r="M301" s="378" t="s">
        <v>692</v>
      </c>
      <c r="N301" s="403">
        <f>I6</f>
        <v>-158776.23499999999</v>
      </c>
    </row>
    <row r="302" spans="1:21">
      <c r="A302" s="418" t="s">
        <v>654</v>
      </c>
      <c r="B302" s="420">
        <v>3</v>
      </c>
      <c r="C302" s="417">
        <f t="shared" ref="C302:C325" si="141">C301+1</f>
        <v>302</v>
      </c>
      <c r="D302" s="415"/>
      <c r="M302" s="378" t="s">
        <v>693</v>
      </c>
      <c r="N302" s="403">
        <f>I54+I260</f>
        <v>-2157.2599999999998</v>
      </c>
    </row>
    <row r="303" spans="1:21">
      <c r="A303" s="418" t="s">
        <v>655</v>
      </c>
      <c r="B303" s="378">
        <v>4</v>
      </c>
      <c r="C303" s="417">
        <f t="shared" si="141"/>
        <v>303</v>
      </c>
      <c r="D303" s="415"/>
      <c r="M303" s="378" t="s">
        <v>694</v>
      </c>
      <c r="N303" s="403">
        <f>I63</f>
        <v>-9072.2199999999993</v>
      </c>
    </row>
    <row r="304" spans="1:21">
      <c r="A304" s="418" t="s">
        <v>656</v>
      </c>
      <c r="B304" s="383">
        <v>5</v>
      </c>
      <c r="C304" s="417">
        <f t="shared" si="141"/>
        <v>304</v>
      </c>
      <c r="D304" s="415"/>
      <c r="M304" s="378" t="s">
        <v>695</v>
      </c>
      <c r="N304" s="403">
        <f>I273</f>
        <v>-1750.32</v>
      </c>
    </row>
    <row r="305" spans="1:14">
      <c r="A305" s="418" t="s">
        <v>657</v>
      </c>
      <c r="B305" s="383">
        <v>6</v>
      </c>
      <c r="C305" s="417">
        <f t="shared" si="141"/>
        <v>305</v>
      </c>
      <c r="D305" s="415"/>
      <c r="M305" s="383" t="s">
        <v>699</v>
      </c>
      <c r="N305" s="428">
        <f>SUM(N301:N304)</f>
        <v>-171756.035</v>
      </c>
    </row>
    <row r="306" spans="1:14">
      <c r="A306" s="418"/>
      <c r="B306" s="383"/>
      <c r="C306" s="417">
        <f t="shared" si="141"/>
        <v>306</v>
      </c>
      <c r="D306" s="415"/>
      <c r="M306" s="393"/>
    </row>
    <row r="307" spans="1:14">
      <c r="A307" s="416" t="s">
        <v>658</v>
      </c>
      <c r="B307" s="383"/>
      <c r="C307" s="417">
        <f t="shared" si="141"/>
        <v>307</v>
      </c>
      <c r="D307" s="415"/>
      <c r="M307" s="393"/>
    </row>
    <row r="308" spans="1:14">
      <c r="A308" s="418" t="s">
        <v>284</v>
      </c>
      <c r="B308" s="378">
        <v>7.16</v>
      </c>
      <c r="C308" s="417">
        <f t="shared" si="141"/>
        <v>308</v>
      </c>
      <c r="D308" s="415"/>
      <c r="M308" s="391"/>
    </row>
    <row r="309" spans="1:14">
      <c r="A309" s="418"/>
      <c r="C309" s="417">
        <f t="shared" si="141"/>
        <v>309</v>
      </c>
      <c r="D309" s="415"/>
      <c r="M309" s="391"/>
    </row>
    <row r="310" spans="1:14">
      <c r="A310" s="416" t="s">
        <v>659</v>
      </c>
      <c r="C310" s="417">
        <f t="shared" si="141"/>
        <v>310</v>
      </c>
      <c r="D310" s="415"/>
      <c r="M310" s="429"/>
    </row>
    <row r="311" spans="1:14">
      <c r="A311" s="418" t="s">
        <v>660</v>
      </c>
      <c r="B311" s="378">
        <v>4.33</v>
      </c>
      <c r="C311" s="417">
        <f t="shared" si="141"/>
        <v>311</v>
      </c>
      <c r="D311" s="415"/>
    </row>
    <row r="312" spans="1:14">
      <c r="A312" s="418" t="s">
        <v>661</v>
      </c>
      <c r="B312" s="378">
        <f>B311+B311</f>
        <v>8.66</v>
      </c>
      <c r="C312" s="417">
        <f t="shared" si="141"/>
        <v>312</v>
      </c>
      <c r="D312" s="415"/>
    </row>
    <row r="313" spans="1:14">
      <c r="A313" s="418" t="s">
        <v>662</v>
      </c>
      <c r="B313" s="378">
        <f>B312+B311</f>
        <v>12.99</v>
      </c>
      <c r="C313" s="417">
        <f t="shared" si="141"/>
        <v>313</v>
      </c>
      <c r="D313" s="415"/>
    </row>
    <row r="314" spans="1:14">
      <c r="A314" s="418" t="s">
        <v>663</v>
      </c>
      <c r="B314" s="378">
        <v>1</v>
      </c>
      <c r="C314" s="417">
        <f t="shared" si="141"/>
        <v>314</v>
      </c>
      <c r="D314" s="415"/>
    </row>
    <row r="315" spans="1:14">
      <c r="A315" s="418"/>
      <c r="B315" s="383"/>
      <c r="C315" s="417">
        <f t="shared" si="141"/>
        <v>315</v>
      </c>
      <c r="D315" s="415"/>
    </row>
    <row r="316" spans="1:14">
      <c r="A316" s="416" t="s">
        <v>664</v>
      </c>
      <c r="C316" s="417">
        <f t="shared" si="141"/>
        <v>316</v>
      </c>
      <c r="D316" s="415"/>
    </row>
    <row r="317" spans="1:14">
      <c r="A317" s="418" t="s">
        <v>665</v>
      </c>
      <c r="B317" s="378">
        <v>4.3899999999999997</v>
      </c>
      <c r="C317" s="417">
        <f t="shared" si="141"/>
        <v>317</v>
      </c>
      <c r="D317" s="415"/>
    </row>
    <row r="318" spans="1:14">
      <c r="A318" s="418"/>
      <c r="C318" s="417">
        <f t="shared" si="141"/>
        <v>318</v>
      </c>
      <c r="D318" s="415"/>
    </row>
    <row r="319" spans="1:14">
      <c r="A319" s="416" t="s">
        <v>666</v>
      </c>
      <c r="C319" s="417">
        <f t="shared" si="141"/>
        <v>319</v>
      </c>
      <c r="D319" s="415"/>
    </row>
    <row r="320" spans="1:14">
      <c r="A320" s="418" t="s">
        <v>128</v>
      </c>
      <c r="B320" s="378">
        <v>1</v>
      </c>
      <c r="C320" s="417">
        <f t="shared" si="141"/>
        <v>320</v>
      </c>
      <c r="D320" s="415"/>
    </row>
    <row r="321" spans="1:4">
      <c r="A321" s="418" t="s">
        <v>129</v>
      </c>
      <c r="B321" s="378">
        <v>1.5</v>
      </c>
      <c r="C321" s="417">
        <f t="shared" si="141"/>
        <v>321</v>
      </c>
      <c r="D321" s="415"/>
    </row>
    <row r="322" spans="1:4">
      <c r="A322" s="418" t="s">
        <v>130</v>
      </c>
      <c r="B322" s="378">
        <v>2</v>
      </c>
      <c r="C322" s="417">
        <f t="shared" si="141"/>
        <v>322</v>
      </c>
      <c r="D322" s="415"/>
    </row>
    <row r="323" spans="1:4">
      <c r="A323" s="418" t="s">
        <v>155</v>
      </c>
      <c r="B323" s="378">
        <v>3</v>
      </c>
      <c r="C323" s="417">
        <f t="shared" si="141"/>
        <v>323</v>
      </c>
      <c r="D323" s="415"/>
    </row>
    <row r="324" spans="1:4">
      <c r="A324" s="418" t="s">
        <v>131</v>
      </c>
      <c r="B324" s="378">
        <v>4</v>
      </c>
      <c r="C324" s="417">
        <f t="shared" si="141"/>
        <v>324</v>
      </c>
      <c r="D324" s="415"/>
    </row>
    <row r="325" spans="1:4">
      <c r="A325" s="418" t="s">
        <v>132</v>
      </c>
      <c r="B325" s="378">
        <v>6</v>
      </c>
      <c r="C325" s="417">
        <f t="shared" si="141"/>
        <v>325</v>
      </c>
      <c r="D325" s="415"/>
    </row>
    <row r="326" spans="1:4" ht="13.5" thickBot="1">
      <c r="A326" s="422"/>
      <c r="B326" s="423"/>
      <c r="C326" s="424"/>
    </row>
    <row r="327" spans="1:4">
      <c r="A327" s="425"/>
      <c r="B327" s="425"/>
      <c r="C327" s="425"/>
    </row>
  </sheetData>
  <pageMargins left="0.7" right="0.7" top="0.75" bottom="0.75" header="0.3" footer="0.3"/>
  <pageSetup scale="52" fitToWidth="2" fitToHeight="5" pageOrder="overThenDown" orientation="portrait" r:id="rId1"/>
  <rowBreaks count="5" manualBreakCount="5">
    <brk id="51" max="20" man="1"/>
    <brk id="112" max="20" man="1"/>
    <brk id="172" max="20" man="1"/>
    <brk id="233" max="20" man="1"/>
    <brk id="285" max="20" man="1"/>
  </rowBreaks>
  <colBreaks count="1" manualBreakCount="1">
    <brk id="11" max="326" man="1"/>
  </colBreaks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537"/>
  <sheetViews>
    <sheetView showGridLines="0" zoomScale="85" zoomScaleNormal="85" workbookViewId="0">
      <selection activeCell="D6" sqref="D6"/>
    </sheetView>
  </sheetViews>
  <sheetFormatPr defaultColWidth="13.81640625" defaultRowHeight="12.5" outlineLevelRow="1"/>
  <cols>
    <col min="1" max="1" width="7.81640625" style="250" customWidth="1"/>
    <col min="2" max="3" width="2.26953125" style="250" customWidth="1"/>
    <col min="4" max="4" width="31.453125" style="250" customWidth="1"/>
    <col min="5" max="5" width="2.26953125" style="250" customWidth="1"/>
    <col min="6" max="6" width="2.1796875" style="250" customWidth="1"/>
    <col min="7" max="7" width="12.26953125" style="280" customWidth="1"/>
    <col min="8" max="8" width="1.54296875" style="250" customWidth="1"/>
    <col min="9" max="9" width="12.26953125" style="280" customWidth="1"/>
    <col min="10" max="10" width="1.54296875" style="250" customWidth="1"/>
    <col min="11" max="11" width="12.26953125" style="280" customWidth="1"/>
    <col min="12" max="12" width="1.54296875" style="250" customWidth="1"/>
    <col min="13" max="13" width="13.54296875" style="280" customWidth="1"/>
    <col min="14" max="14" width="0.81640625" style="250" customWidth="1"/>
    <col min="15" max="15" width="12.26953125" style="280" customWidth="1"/>
    <col min="16" max="16" width="1.54296875" style="250" customWidth="1"/>
    <col min="17" max="17" width="12.26953125" style="280" customWidth="1"/>
    <col min="18" max="18" width="1.54296875" style="250" customWidth="1"/>
    <col min="19" max="19" width="12.26953125" style="280" customWidth="1"/>
    <col min="20" max="20" width="0.81640625" style="250" customWidth="1"/>
    <col min="21" max="21" width="12.26953125" style="280" customWidth="1"/>
    <col min="22" max="22" width="1.54296875" style="250" customWidth="1"/>
    <col min="23" max="23" width="12.26953125" style="280" customWidth="1"/>
    <col min="24" max="24" width="1.54296875" style="250" customWidth="1"/>
    <col min="25" max="25" width="12.26953125" style="280" customWidth="1"/>
    <col min="26" max="26" width="0.81640625" style="250" customWidth="1"/>
    <col min="27" max="27" width="12.26953125" style="280" customWidth="1"/>
    <col min="28" max="28" width="1.54296875" style="250" customWidth="1"/>
    <col min="29" max="29" width="12.26953125" style="280" customWidth="1"/>
    <col min="30" max="30" width="1.54296875" style="250" customWidth="1"/>
    <col min="31" max="31" width="12.26953125" style="280" customWidth="1"/>
    <col min="32" max="32" width="4.54296875" style="250" customWidth="1"/>
    <col min="33" max="33" width="1.453125" style="250" customWidth="1"/>
    <col min="34" max="16384" width="13.81640625" style="250"/>
  </cols>
  <sheetData>
    <row r="1" spans="1:33" s="222" customFormat="1" ht="15.5">
      <c r="A1" s="221" t="s">
        <v>708</v>
      </c>
      <c r="K1" s="223"/>
      <c r="L1" s="224"/>
      <c r="O1" s="223"/>
      <c r="P1" s="225"/>
      <c r="Q1" s="223"/>
      <c r="R1" s="224"/>
      <c r="W1" s="223"/>
      <c r="X1" s="224"/>
      <c r="AC1" s="223"/>
      <c r="AD1" s="224"/>
      <c r="AF1" s="226"/>
    </row>
    <row r="2" spans="1:33" s="222" customFormat="1" ht="15.5">
      <c r="A2" s="221" t="s">
        <v>709</v>
      </c>
      <c r="L2" s="227"/>
      <c r="O2" s="223"/>
      <c r="P2" s="227"/>
      <c r="R2" s="227" t="s">
        <v>710</v>
      </c>
      <c r="X2" s="227" t="s">
        <v>710</v>
      </c>
      <c r="AD2" s="227" t="s">
        <v>710</v>
      </c>
    </row>
    <row r="3" spans="1:33" s="222" customFormat="1" ht="15.5">
      <c r="A3" s="228" t="s">
        <v>711</v>
      </c>
    </row>
    <row r="4" spans="1:33" s="222" customFormat="1" ht="15.5">
      <c r="A4" s="229"/>
    </row>
    <row r="5" spans="1:33" s="222" customFormat="1" ht="15.5">
      <c r="A5" s="230"/>
    </row>
    <row r="6" spans="1:33" s="222" customFormat="1" ht="15.5">
      <c r="A6" s="231"/>
      <c r="B6" s="231"/>
      <c r="C6" s="231"/>
      <c r="D6" s="231"/>
      <c r="E6" s="231"/>
      <c r="F6" s="231"/>
      <c r="G6" s="232"/>
      <c r="H6" s="233"/>
      <c r="I6" s="232"/>
      <c r="J6" s="233"/>
      <c r="K6" s="234"/>
      <c r="L6" s="233"/>
      <c r="M6" s="232"/>
      <c r="N6" s="233"/>
      <c r="O6" s="232"/>
      <c r="P6" s="233"/>
      <c r="Q6" s="234"/>
      <c r="R6" s="233"/>
      <c r="S6" s="232"/>
      <c r="T6" s="233"/>
      <c r="U6" s="232"/>
      <c r="V6" s="233"/>
      <c r="W6" s="234"/>
      <c r="X6" s="233"/>
      <c r="Y6" s="232"/>
      <c r="Z6" s="233"/>
      <c r="AA6" s="232"/>
      <c r="AB6" s="233"/>
      <c r="AC6" s="234"/>
      <c r="AD6" s="233"/>
      <c r="AE6" s="232"/>
      <c r="AF6" s="232"/>
    </row>
    <row r="7" spans="1:33" s="222" customFormat="1" ht="16" thickBot="1">
      <c r="A7" s="231"/>
      <c r="B7" s="231"/>
      <c r="C7" s="231"/>
      <c r="D7" s="231"/>
      <c r="E7" s="231"/>
      <c r="F7" s="231"/>
      <c r="G7" s="235">
        <v>42005</v>
      </c>
      <c r="H7" s="236"/>
      <c r="I7" s="235">
        <v>42037</v>
      </c>
      <c r="J7" s="236"/>
      <c r="K7" s="235">
        <v>42066</v>
      </c>
      <c r="L7" s="237"/>
      <c r="M7" s="235">
        <v>42098</v>
      </c>
      <c r="N7" s="236"/>
      <c r="O7" s="235">
        <v>42129</v>
      </c>
      <c r="P7" s="236"/>
      <c r="Q7" s="235">
        <v>42161</v>
      </c>
      <c r="R7" s="237"/>
      <c r="S7" s="235">
        <v>42192</v>
      </c>
      <c r="T7" s="236"/>
      <c r="U7" s="235">
        <v>42224</v>
      </c>
      <c r="V7" s="236"/>
      <c r="W7" s="235">
        <v>42256</v>
      </c>
      <c r="X7" s="237"/>
      <c r="Y7" s="235">
        <v>42287</v>
      </c>
      <c r="Z7" s="236"/>
      <c r="AA7" s="235">
        <v>42319</v>
      </c>
      <c r="AB7" s="236"/>
      <c r="AC7" s="235">
        <v>42350</v>
      </c>
      <c r="AD7" s="237"/>
      <c r="AE7" s="238" t="s">
        <v>17</v>
      </c>
      <c r="AF7" s="239"/>
    </row>
    <row r="8" spans="1:33" customFormat="1" ht="14.5"/>
    <row r="9" spans="1:33" s="240" customFormat="1" ht="4.5" customHeight="1">
      <c r="G9" s="241"/>
      <c r="H9" s="222"/>
      <c r="I9" s="241"/>
      <c r="J9" s="222"/>
      <c r="K9" s="241"/>
      <c r="L9" s="222"/>
      <c r="M9" s="241"/>
      <c r="N9" s="222"/>
      <c r="O9" s="241"/>
      <c r="P9" s="222"/>
      <c r="Q9" s="241"/>
      <c r="R9" s="222"/>
      <c r="S9" s="241"/>
      <c r="T9" s="222"/>
      <c r="U9" s="241"/>
      <c r="V9" s="222"/>
      <c r="W9" s="241"/>
      <c r="X9" s="222"/>
      <c r="Y9" s="241"/>
      <c r="Z9" s="222"/>
      <c r="AA9" s="241"/>
      <c r="AB9" s="222"/>
      <c r="AC9" s="241"/>
      <c r="AD9" s="222"/>
      <c r="AE9" s="241"/>
      <c r="AF9" s="242"/>
      <c r="AG9" s="222"/>
    </row>
    <row r="10" spans="1:33" s="240" customFormat="1" ht="15.5" outlineLevel="1">
      <c r="G10" s="241"/>
      <c r="H10" s="222"/>
      <c r="I10" s="241"/>
      <c r="J10" s="222"/>
      <c r="K10" s="241"/>
      <c r="L10" s="222"/>
      <c r="M10" s="241"/>
      <c r="N10" s="222"/>
      <c r="O10" s="241"/>
      <c r="P10" s="222"/>
      <c r="Q10" s="241"/>
      <c r="R10" s="222"/>
      <c r="S10" s="241"/>
      <c r="T10" s="222"/>
      <c r="U10" s="241"/>
      <c r="V10" s="222"/>
      <c r="W10" s="241"/>
      <c r="X10" s="222"/>
      <c r="Y10" s="241"/>
      <c r="Z10" s="222"/>
      <c r="AA10" s="241"/>
      <c r="AB10" s="222"/>
      <c r="AC10" s="241"/>
      <c r="AD10" s="222"/>
      <c r="AE10" s="241"/>
      <c r="AF10" s="243"/>
      <c r="AG10" s="222"/>
    </row>
    <row r="11" spans="1:33" outlineLevel="1">
      <c r="A11" s="244">
        <v>31000</v>
      </c>
      <c r="B11" s="244" t="s">
        <v>712</v>
      </c>
      <c r="C11" s="245"/>
      <c r="D11" s="246"/>
      <c r="E11" s="240"/>
      <c r="F11" s="241"/>
      <c r="G11" s="247">
        <v>97776.44</v>
      </c>
      <c r="H11" s="241"/>
      <c r="I11" s="247">
        <v>90822.51</v>
      </c>
      <c r="J11" s="241"/>
      <c r="K11" s="247">
        <v>96856.9</v>
      </c>
      <c r="L11" s="241"/>
      <c r="M11" s="247">
        <v>95019.65</v>
      </c>
      <c r="N11" s="241"/>
      <c r="O11" s="247">
        <v>87647.77</v>
      </c>
      <c r="P11" s="241"/>
      <c r="Q11" s="247">
        <v>98395.62</v>
      </c>
      <c r="R11" s="241"/>
      <c r="S11" s="247">
        <v>102256.85</v>
      </c>
      <c r="T11" s="241"/>
      <c r="U11" s="247">
        <v>97007.11</v>
      </c>
      <c r="V11" s="241"/>
      <c r="W11" s="247">
        <v>98125.39</v>
      </c>
      <c r="X11" s="241"/>
      <c r="Y11" s="247">
        <v>105632.4</v>
      </c>
      <c r="Z11" s="241"/>
      <c r="AA11" s="247">
        <v>90269.85</v>
      </c>
      <c r="AB11" s="241"/>
      <c r="AC11" s="247">
        <v>97701.02</v>
      </c>
      <c r="AD11" s="241"/>
      <c r="AE11" s="247">
        <f t="shared" ref="AE11:AE19" si="0">AC11+AA11+Y11+W11+U11+S11+Q11+O11+M11+K11+I11+G11</f>
        <v>1157511.51</v>
      </c>
      <c r="AF11" s="248">
        <f t="shared" ref="AF11:AF19" si="1">IF(AE$50=0,0,AE11/AE$50)</f>
        <v>5.1831652656055757E-2</v>
      </c>
      <c r="AG11" s="249"/>
    </row>
    <row r="12" spans="1:33" outlineLevel="1">
      <c r="A12" s="244">
        <v>31005</v>
      </c>
      <c r="B12" s="244" t="s">
        <v>713</v>
      </c>
      <c r="C12" s="245"/>
      <c r="D12" s="246"/>
      <c r="E12" s="240"/>
      <c r="F12" s="241"/>
      <c r="G12" s="247">
        <v>303788.77</v>
      </c>
      <c r="H12" s="241"/>
      <c r="I12" s="247">
        <v>266586.87</v>
      </c>
      <c r="J12" s="241"/>
      <c r="K12" s="247">
        <v>298795.18</v>
      </c>
      <c r="L12" s="241"/>
      <c r="M12" s="247">
        <v>299143.02</v>
      </c>
      <c r="N12" s="241"/>
      <c r="O12" s="247">
        <v>267680.07</v>
      </c>
      <c r="P12" s="241"/>
      <c r="Q12" s="247">
        <v>289501.09999999998</v>
      </c>
      <c r="R12" s="241"/>
      <c r="S12" s="247">
        <v>294409.99</v>
      </c>
      <c r="T12" s="241"/>
      <c r="U12" s="247">
        <v>274728.57</v>
      </c>
      <c r="V12" s="241"/>
      <c r="W12" s="247">
        <v>283993.7</v>
      </c>
      <c r="X12" s="241"/>
      <c r="Y12" s="247">
        <v>352431.82</v>
      </c>
      <c r="Z12" s="241"/>
      <c r="AA12" s="247">
        <v>291985.28000000003</v>
      </c>
      <c r="AB12" s="241"/>
      <c r="AC12" s="247">
        <v>303990.78999999998</v>
      </c>
      <c r="AD12" s="241"/>
      <c r="AE12" s="247">
        <f t="shared" si="0"/>
        <v>3527035.16</v>
      </c>
      <c r="AF12" s="248">
        <f t="shared" si="1"/>
        <v>0.1579354155353635</v>
      </c>
      <c r="AG12" s="249"/>
    </row>
    <row r="13" spans="1:33" outlineLevel="1">
      <c r="A13" s="244">
        <v>31008</v>
      </c>
      <c r="B13" s="244" t="s">
        <v>714</v>
      </c>
      <c r="C13" s="245"/>
      <c r="D13" s="246"/>
      <c r="E13" s="240"/>
      <c r="F13" s="241"/>
      <c r="G13" s="247">
        <v>0</v>
      </c>
      <c r="H13" s="241"/>
      <c r="I13" s="247">
        <v>0</v>
      </c>
      <c r="J13" s="241"/>
      <c r="K13" s="247">
        <v>-2750</v>
      </c>
      <c r="L13" s="241"/>
      <c r="M13" s="247">
        <v>2750</v>
      </c>
      <c r="N13" s="241"/>
      <c r="O13" s="247">
        <v>0</v>
      </c>
      <c r="P13" s="241"/>
      <c r="Q13" s="247">
        <v>0</v>
      </c>
      <c r="R13" s="241"/>
      <c r="S13" s="247">
        <v>0</v>
      </c>
      <c r="T13" s="241"/>
      <c r="U13" s="247">
        <v>0</v>
      </c>
      <c r="V13" s="241"/>
      <c r="W13" s="247">
        <v>0</v>
      </c>
      <c r="X13" s="241"/>
      <c r="Y13" s="247">
        <v>0</v>
      </c>
      <c r="Z13" s="241"/>
      <c r="AA13" s="247">
        <v>0</v>
      </c>
      <c r="AB13" s="241"/>
      <c r="AC13" s="247">
        <v>0</v>
      </c>
      <c r="AD13" s="241"/>
      <c r="AE13" s="247">
        <f t="shared" si="0"/>
        <v>0</v>
      </c>
      <c r="AF13" s="248">
        <f t="shared" si="1"/>
        <v>0</v>
      </c>
      <c r="AG13" s="249"/>
    </row>
    <row r="14" spans="1:33" outlineLevel="1">
      <c r="A14" s="244">
        <v>31009</v>
      </c>
      <c r="B14" s="244" t="s">
        <v>715</v>
      </c>
      <c r="C14" s="245"/>
      <c r="D14" s="246"/>
      <c r="E14" s="240"/>
      <c r="F14" s="241"/>
      <c r="G14" s="247">
        <v>185.45</v>
      </c>
      <c r="H14" s="241"/>
      <c r="I14" s="247">
        <v>668.77</v>
      </c>
      <c r="J14" s="241"/>
      <c r="K14" s="247">
        <v>108.67</v>
      </c>
      <c r="L14" s="241"/>
      <c r="M14" s="247">
        <v>951.12</v>
      </c>
      <c r="N14" s="241"/>
      <c r="O14" s="247">
        <v>105.68</v>
      </c>
      <c r="P14" s="241"/>
      <c r="Q14" s="247">
        <v>0</v>
      </c>
      <c r="R14" s="241"/>
      <c r="S14" s="247">
        <v>454.28</v>
      </c>
      <c r="T14" s="241"/>
      <c r="U14" s="247">
        <v>108.67</v>
      </c>
      <c r="V14" s="241"/>
      <c r="W14" s="247">
        <v>0</v>
      </c>
      <c r="X14" s="241"/>
      <c r="Y14" s="247">
        <v>0</v>
      </c>
      <c r="Z14" s="241"/>
      <c r="AA14" s="247">
        <v>0</v>
      </c>
      <c r="AB14" s="241"/>
      <c r="AC14" s="247">
        <v>0</v>
      </c>
      <c r="AD14" s="241"/>
      <c r="AE14" s="247">
        <f t="shared" si="0"/>
        <v>2582.64</v>
      </c>
      <c r="AF14" s="248">
        <f t="shared" si="1"/>
        <v>1.1564679768552437E-4</v>
      </c>
      <c r="AG14" s="249"/>
    </row>
    <row r="15" spans="1:33" outlineLevel="1">
      <c r="A15" s="244">
        <v>31010</v>
      </c>
      <c r="B15" s="244" t="s">
        <v>716</v>
      </c>
      <c r="C15" s="245"/>
      <c r="D15" s="246"/>
      <c r="E15" s="240"/>
      <c r="F15" s="241"/>
      <c r="G15" s="247">
        <v>46539.199999999997</v>
      </c>
      <c r="H15" s="241"/>
      <c r="I15" s="247">
        <v>42838.8</v>
      </c>
      <c r="J15" s="241"/>
      <c r="K15" s="247">
        <v>45731.61</v>
      </c>
      <c r="L15" s="241"/>
      <c r="M15" s="247">
        <v>46134.15</v>
      </c>
      <c r="N15" s="241"/>
      <c r="O15" s="247">
        <v>39195.300000000003</v>
      </c>
      <c r="P15" s="241"/>
      <c r="Q15" s="247">
        <v>46243.45</v>
      </c>
      <c r="R15" s="241"/>
      <c r="S15" s="247">
        <v>53738.15</v>
      </c>
      <c r="T15" s="241"/>
      <c r="U15" s="247">
        <v>40208.449999999997</v>
      </c>
      <c r="V15" s="241"/>
      <c r="W15" s="247">
        <v>45250.94</v>
      </c>
      <c r="X15" s="241"/>
      <c r="Y15" s="247">
        <v>54776</v>
      </c>
      <c r="Z15" s="241"/>
      <c r="AA15" s="247">
        <v>43202.2</v>
      </c>
      <c r="AB15" s="241"/>
      <c r="AC15" s="247">
        <v>45310.55</v>
      </c>
      <c r="AD15" s="241"/>
      <c r="AE15" s="247">
        <f t="shared" si="0"/>
        <v>549168.80000000005</v>
      </c>
      <c r="AF15" s="248">
        <f t="shared" si="1"/>
        <v>2.4590966262739759E-2</v>
      </c>
      <c r="AG15" s="249"/>
    </row>
    <row r="16" spans="1:33" outlineLevel="1">
      <c r="A16" s="244">
        <v>32000</v>
      </c>
      <c r="B16" s="244" t="s">
        <v>717</v>
      </c>
      <c r="C16" s="245"/>
      <c r="D16" s="246"/>
      <c r="E16" s="240"/>
      <c r="F16" s="241"/>
      <c r="G16" s="247">
        <v>957250.64</v>
      </c>
      <c r="H16" s="241"/>
      <c r="I16" s="247">
        <v>957628.31</v>
      </c>
      <c r="J16" s="241"/>
      <c r="K16" s="247">
        <v>975666.67</v>
      </c>
      <c r="L16" s="241"/>
      <c r="M16" s="247">
        <v>975811.4</v>
      </c>
      <c r="N16" s="241"/>
      <c r="O16" s="247">
        <v>980301.17</v>
      </c>
      <c r="P16" s="241"/>
      <c r="Q16" s="247">
        <v>987917.5</v>
      </c>
      <c r="R16" s="241"/>
      <c r="S16" s="247">
        <v>987229.93</v>
      </c>
      <c r="T16" s="241"/>
      <c r="U16" s="247">
        <v>991992.71</v>
      </c>
      <c r="V16" s="241"/>
      <c r="W16" s="247">
        <v>991790.06</v>
      </c>
      <c r="X16" s="241"/>
      <c r="Y16" s="247">
        <v>992042.65</v>
      </c>
      <c r="Z16" s="241"/>
      <c r="AA16" s="247">
        <v>993812.87</v>
      </c>
      <c r="AB16" s="241"/>
      <c r="AC16" s="247">
        <v>996819.14</v>
      </c>
      <c r="AD16" s="241"/>
      <c r="AE16" s="247">
        <f t="shared" si="0"/>
        <v>11788263.050000001</v>
      </c>
      <c r="AF16" s="248">
        <f t="shared" si="1"/>
        <v>0.52786097636801599</v>
      </c>
      <c r="AG16" s="249"/>
    </row>
    <row r="17" spans="1:33" outlineLevel="1">
      <c r="A17" s="244">
        <v>32001</v>
      </c>
      <c r="B17" s="244" t="s">
        <v>718</v>
      </c>
      <c r="C17" s="245"/>
      <c r="D17" s="246"/>
      <c r="E17" s="240"/>
      <c r="F17" s="241"/>
      <c r="G17" s="247">
        <v>28469.61</v>
      </c>
      <c r="H17" s="241"/>
      <c r="I17" s="247">
        <v>21669.98</v>
      </c>
      <c r="J17" s="241"/>
      <c r="K17" s="247">
        <v>21306.6</v>
      </c>
      <c r="L17" s="241"/>
      <c r="M17" s="247">
        <v>32787.71</v>
      </c>
      <c r="N17" s="241"/>
      <c r="O17" s="247">
        <v>35722.410000000003</v>
      </c>
      <c r="P17" s="241"/>
      <c r="Q17" s="247">
        <v>36601.57</v>
      </c>
      <c r="R17" s="241"/>
      <c r="S17" s="247">
        <v>50609.74</v>
      </c>
      <c r="T17" s="241"/>
      <c r="U17" s="247">
        <v>40875</v>
      </c>
      <c r="V17" s="241"/>
      <c r="W17" s="247">
        <v>38346</v>
      </c>
      <c r="X17" s="241"/>
      <c r="Y17" s="247">
        <v>36781.769999999997</v>
      </c>
      <c r="Z17" s="241"/>
      <c r="AA17" s="247">
        <v>42763.93</v>
      </c>
      <c r="AB17" s="241"/>
      <c r="AC17" s="247">
        <v>52758.32</v>
      </c>
      <c r="AD17" s="241"/>
      <c r="AE17" s="247">
        <f t="shared" si="0"/>
        <v>438692.63999999996</v>
      </c>
      <c r="AF17" s="248">
        <f t="shared" si="1"/>
        <v>1.9644007288746622E-2</v>
      </c>
      <c r="AG17" s="249"/>
    </row>
    <row r="18" spans="1:33" outlineLevel="1">
      <c r="A18" s="244">
        <v>33000</v>
      </c>
      <c r="B18" s="244" t="s">
        <v>719</v>
      </c>
      <c r="C18" s="245"/>
      <c r="D18" s="246"/>
      <c r="E18" s="240"/>
      <c r="F18" s="241"/>
      <c r="G18" s="247">
        <v>416051.19</v>
      </c>
      <c r="H18" s="241"/>
      <c r="I18" s="247">
        <v>413312.56</v>
      </c>
      <c r="J18" s="241"/>
      <c r="K18" s="247">
        <v>427041.78</v>
      </c>
      <c r="L18" s="241"/>
      <c r="M18" s="247">
        <v>427283.49</v>
      </c>
      <c r="N18" s="241"/>
      <c r="O18" s="247">
        <v>428161.91</v>
      </c>
      <c r="P18" s="241"/>
      <c r="Q18" s="247">
        <v>439098.11</v>
      </c>
      <c r="R18" s="241"/>
      <c r="S18" s="247">
        <v>440403.7</v>
      </c>
      <c r="T18" s="241"/>
      <c r="U18" s="247">
        <v>436632.44</v>
      </c>
      <c r="V18" s="241"/>
      <c r="W18" s="247">
        <v>444798.84</v>
      </c>
      <c r="X18" s="241"/>
      <c r="Y18" s="247">
        <v>434272.35</v>
      </c>
      <c r="Z18" s="241"/>
      <c r="AA18" s="247">
        <v>424672.69</v>
      </c>
      <c r="AB18" s="241"/>
      <c r="AC18" s="247">
        <v>423961.69</v>
      </c>
      <c r="AD18" s="241"/>
      <c r="AE18" s="247">
        <f t="shared" si="0"/>
        <v>5155690.7500000009</v>
      </c>
      <c r="AF18" s="248">
        <f t="shared" si="1"/>
        <v>0.23086420294519547</v>
      </c>
      <c r="AG18" s="249"/>
    </row>
    <row r="19" spans="1:33" outlineLevel="1">
      <c r="A19" s="244">
        <v>33011</v>
      </c>
      <c r="B19" s="244" t="s">
        <v>720</v>
      </c>
      <c r="C19" s="245"/>
      <c r="D19" s="246"/>
      <c r="E19" s="240"/>
      <c r="F19" s="241"/>
      <c r="G19" s="247">
        <v>5877.32</v>
      </c>
      <c r="H19" s="241"/>
      <c r="I19" s="247">
        <v>4726.8</v>
      </c>
      <c r="J19" s="241"/>
      <c r="K19" s="247">
        <v>4008.69</v>
      </c>
      <c r="L19" s="241"/>
      <c r="M19" s="247">
        <v>3503.56</v>
      </c>
      <c r="N19" s="241"/>
      <c r="O19" s="247">
        <v>3647.37</v>
      </c>
      <c r="P19" s="241"/>
      <c r="Q19" s="247">
        <v>4832.5600000000004</v>
      </c>
      <c r="R19" s="241"/>
      <c r="S19" s="247">
        <v>6316.39</v>
      </c>
      <c r="T19" s="241"/>
      <c r="U19" s="247">
        <v>5066.8500000000004</v>
      </c>
      <c r="V19" s="241"/>
      <c r="W19" s="247">
        <v>3040.86</v>
      </c>
      <c r="X19" s="241"/>
      <c r="Y19" s="247">
        <v>2263.7600000000002</v>
      </c>
      <c r="Z19" s="241"/>
      <c r="AA19" s="247">
        <v>3119.29</v>
      </c>
      <c r="AB19" s="241"/>
      <c r="AC19" s="247">
        <v>3276.75</v>
      </c>
      <c r="AD19" s="241"/>
      <c r="AE19" s="247">
        <f t="shared" si="0"/>
        <v>49680.200000000004</v>
      </c>
      <c r="AF19" s="248">
        <f t="shared" si="1"/>
        <v>2.2246058445530115E-3</v>
      </c>
      <c r="AG19" s="249"/>
    </row>
    <row r="20" spans="1:33" s="240" customFormat="1" ht="4.5" customHeight="1" outlineLevel="1">
      <c r="G20" s="251"/>
      <c r="H20" s="222"/>
      <c r="I20" s="251"/>
      <c r="J20" s="222"/>
      <c r="K20" s="251"/>
      <c r="L20" s="222"/>
      <c r="M20" s="251"/>
      <c r="N20" s="222"/>
      <c r="O20" s="251"/>
      <c r="P20" s="222"/>
      <c r="Q20" s="251"/>
      <c r="R20" s="222"/>
      <c r="S20" s="251"/>
      <c r="T20" s="222"/>
      <c r="U20" s="251"/>
      <c r="V20" s="222"/>
      <c r="W20" s="251"/>
      <c r="X20" s="222"/>
      <c r="Y20" s="251"/>
      <c r="Z20" s="222"/>
      <c r="AA20" s="251"/>
      <c r="AB20" s="222"/>
      <c r="AC20" s="251"/>
      <c r="AD20" s="222"/>
      <c r="AE20" s="251"/>
      <c r="AF20" s="243"/>
      <c r="AG20" s="222"/>
    </row>
    <row r="21" spans="1:33" s="240" customFormat="1" ht="15.5">
      <c r="C21" s="240" t="s">
        <v>641</v>
      </c>
      <c r="G21" s="252">
        <f>SUM(G10:G20)</f>
        <v>1855938.62</v>
      </c>
      <c r="H21" s="253"/>
      <c r="I21" s="252">
        <f>SUM(I10:I20)</f>
        <v>1798254.6</v>
      </c>
      <c r="J21" s="253"/>
      <c r="K21" s="252">
        <f>SUM(K10:K20)</f>
        <v>1866766.1</v>
      </c>
      <c r="L21" s="253"/>
      <c r="M21" s="252">
        <f>SUM(M10:M20)</f>
        <v>1883384.1</v>
      </c>
      <c r="N21" s="253"/>
      <c r="O21" s="252">
        <f>SUM(O10:O20)</f>
        <v>1842461.68</v>
      </c>
      <c r="P21" s="253"/>
      <c r="Q21" s="252">
        <f>SUM(Q10:Q20)</f>
        <v>1902589.9100000001</v>
      </c>
      <c r="R21" s="253"/>
      <c r="S21" s="252">
        <f>SUM(S10:S20)</f>
        <v>1935419.03</v>
      </c>
      <c r="T21" s="253"/>
      <c r="U21" s="252">
        <f>SUM(U10:U20)</f>
        <v>1886619.8</v>
      </c>
      <c r="V21" s="253"/>
      <c r="W21" s="252">
        <f>SUM(W10:W20)</f>
        <v>1905345.7900000003</v>
      </c>
      <c r="X21" s="253"/>
      <c r="Y21" s="252">
        <f>SUM(Y10:Y20)</f>
        <v>1978200.7500000002</v>
      </c>
      <c r="Z21" s="253"/>
      <c r="AA21" s="252">
        <f>SUM(AA10:AA20)</f>
        <v>1889826.1099999999</v>
      </c>
      <c r="AB21" s="253"/>
      <c r="AC21" s="252">
        <f>SUM(AC10:AC20)</f>
        <v>1923818.26</v>
      </c>
      <c r="AD21" s="253"/>
      <c r="AE21" s="252">
        <f>SUM(AE10:AE20)</f>
        <v>22668624.75</v>
      </c>
      <c r="AF21" s="248">
        <f>IF(AE$50=0,0,AE21/AE$50)</f>
        <v>1.0150674736983556</v>
      </c>
      <c r="AG21" s="222"/>
    </row>
    <row r="22" spans="1:33" s="240" customFormat="1" ht="15.5" outlineLevel="1">
      <c r="G22" s="254"/>
      <c r="H22" s="253"/>
      <c r="I22" s="254"/>
      <c r="J22" s="253"/>
      <c r="K22" s="254"/>
      <c r="L22" s="253"/>
      <c r="M22" s="254"/>
      <c r="N22" s="253"/>
      <c r="O22" s="254"/>
      <c r="P22" s="253"/>
      <c r="Q22" s="254"/>
      <c r="R22" s="253"/>
      <c r="S22" s="254"/>
      <c r="T22" s="253"/>
      <c r="U22" s="254"/>
      <c r="V22" s="253"/>
      <c r="W22" s="254"/>
      <c r="X22" s="253"/>
      <c r="Y22" s="254"/>
      <c r="Z22" s="253"/>
      <c r="AA22" s="254"/>
      <c r="AB22" s="253"/>
      <c r="AC22" s="254"/>
      <c r="AD22" s="253"/>
      <c r="AE22" s="254"/>
      <c r="AF22" s="243"/>
      <c r="AG22" s="222"/>
    </row>
    <row r="23" spans="1:33" outlineLevel="1">
      <c r="A23" s="244"/>
      <c r="B23" s="244"/>
      <c r="C23" s="245"/>
      <c r="D23" s="246"/>
      <c r="E23" s="240"/>
      <c r="F23" s="241"/>
      <c r="G23" s="247"/>
      <c r="H23" s="241"/>
      <c r="I23" s="247"/>
      <c r="J23" s="241"/>
      <c r="K23" s="247"/>
      <c r="L23" s="241"/>
      <c r="M23" s="247"/>
      <c r="N23" s="241"/>
      <c r="O23" s="247"/>
      <c r="P23" s="241"/>
      <c r="Q23" s="247"/>
      <c r="R23" s="241"/>
      <c r="S23" s="247"/>
      <c r="T23" s="241"/>
      <c r="U23" s="247"/>
      <c r="V23" s="241"/>
      <c r="W23" s="247"/>
      <c r="X23" s="241"/>
      <c r="Y23" s="247"/>
      <c r="Z23" s="241"/>
      <c r="AA23" s="247"/>
      <c r="AB23" s="241"/>
      <c r="AC23" s="247"/>
      <c r="AD23" s="241"/>
      <c r="AE23" s="247"/>
      <c r="AF23" s="248"/>
      <c r="AG23" s="249"/>
    </row>
    <row r="24" spans="1:33" s="240" customFormat="1" ht="5.15" customHeight="1" outlineLevel="1">
      <c r="A24" s="245"/>
      <c r="B24" s="245"/>
      <c r="C24" s="245"/>
      <c r="D24" s="245"/>
      <c r="G24" s="255"/>
      <c r="H24" s="253"/>
      <c r="I24" s="255"/>
      <c r="J24" s="253"/>
      <c r="K24" s="255"/>
      <c r="L24" s="253"/>
      <c r="M24" s="255"/>
      <c r="N24" s="253"/>
      <c r="O24" s="255"/>
      <c r="P24" s="253"/>
      <c r="Q24" s="255"/>
      <c r="R24" s="253"/>
      <c r="S24" s="255"/>
      <c r="T24" s="253"/>
      <c r="U24" s="255"/>
      <c r="V24" s="253"/>
      <c r="W24" s="255"/>
      <c r="X24" s="253"/>
      <c r="Y24" s="255"/>
      <c r="Z24" s="253"/>
      <c r="AA24" s="255"/>
      <c r="AB24" s="253"/>
      <c r="AC24" s="255"/>
      <c r="AD24" s="253"/>
      <c r="AE24" s="255"/>
      <c r="AF24" s="243"/>
      <c r="AG24" s="222"/>
    </row>
    <row r="25" spans="1:33" s="240" customFormat="1" ht="15.5">
      <c r="C25" s="245" t="s">
        <v>721</v>
      </c>
      <c r="G25" s="252">
        <f>SUM(G23:G24)</f>
        <v>0</v>
      </c>
      <c r="H25" s="253"/>
      <c r="I25" s="252">
        <f>SUM(I23:I24)</f>
        <v>0</v>
      </c>
      <c r="J25" s="253"/>
      <c r="K25" s="252">
        <f>SUM(K23:K24)</f>
        <v>0</v>
      </c>
      <c r="L25" s="253"/>
      <c r="M25" s="252">
        <f>SUM(M23:M24)</f>
        <v>0</v>
      </c>
      <c r="N25" s="253"/>
      <c r="O25" s="252">
        <f>SUM(O23:O24)</f>
        <v>0</v>
      </c>
      <c r="P25" s="253"/>
      <c r="Q25" s="252">
        <f>SUM(Q23:Q24)</f>
        <v>0</v>
      </c>
      <c r="R25" s="253"/>
      <c r="S25" s="252">
        <f>SUM(S23:S24)</f>
        <v>0</v>
      </c>
      <c r="T25" s="253"/>
      <c r="U25" s="252">
        <f>SUM(U23:U24)</f>
        <v>0</v>
      </c>
      <c r="V25" s="253"/>
      <c r="W25" s="252">
        <f>SUM(W23:W24)</f>
        <v>0</v>
      </c>
      <c r="X25" s="253"/>
      <c r="Y25" s="252">
        <f>SUM(Y23:Y24)</f>
        <v>0</v>
      </c>
      <c r="Z25" s="253"/>
      <c r="AA25" s="252">
        <f>SUM(AA23:AA24)</f>
        <v>0</v>
      </c>
      <c r="AB25" s="253"/>
      <c r="AC25" s="252">
        <f>SUM(AC23:AC24)</f>
        <v>0</v>
      </c>
      <c r="AD25" s="253"/>
      <c r="AE25" s="252">
        <f>SUM(AE23:AE24)</f>
        <v>0</v>
      </c>
      <c r="AF25" s="248">
        <f>IF(AE$50=0,0,AE25/AE$50)</f>
        <v>0</v>
      </c>
      <c r="AG25" s="222"/>
    </row>
    <row r="26" spans="1:33" s="240" customFormat="1" ht="15.5" outlineLevel="1">
      <c r="G26" s="254"/>
      <c r="H26" s="253"/>
      <c r="I26" s="254"/>
      <c r="J26" s="253"/>
      <c r="K26" s="254"/>
      <c r="L26" s="253"/>
      <c r="M26" s="254"/>
      <c r="N26" s="253"/>
      <c r="O26" s="254"/>
      <c r="P26" s="253"/>
      <c r="Q26" s="254"/>
      <c r="R26" s="253"/>
      <c r="S26" s="254"/>
      <c r="T26" s="253"/>
      <c r="U26" s="254"/>
      <c r="V26" s="253"/>
      <c r="W26" s="254"/>
      <c r="X26" s="253"/>
      <c r="Y26" s="254"/>
      <c r="Z26" s="253"/>
      <c r="AA26" s="254"/>
      <c r="AB26" s="253"/>
      <c r="AC26" s="254"/>
      <c r="AD26" s="253"/>
      <c r="AE26" s="254"/>
      <c r="AF26" s="243"/>
      <c r="AG26" s="222"/>
    </row>
    <row r="27" spans="1:33" s="240" customFormat="1" ht="15.5" outlineLevel="1">
      <c r="G27" s="254"/>
      <c r="H27" s="253"/>
      <c r="I27" s="254"/>
      <c r="J27" s="253"/>
      <c r="K27" s="254"/>
      <c r="L27" s="253"/>
      <c r="M27" s="254"/>
      <c r="N27" s="253"/>
      <c r="O27" s="254"/>
      <c r="P27" s="253"/>
      <c r="Q27" s="254"/>
      <c r="R27" s="253"/>
      <c r="S27" s="254"/>
      <c r="T27" s="253"/>
      <c r="U27" s="254"/>
      <c r="V27" s="253"/>
      <c r="W27" s="254"/>
      <c r="X27" s="253"/>
      <c r="Y27" s="254"/>
      <c r="Z27" s="253"/>
      <c r="AA27" s="254"/>
      <c r="AB27" s="253"/>
      <c r="AC27" s="254"/>
      <c r="AD27" s="253"/>
      <c r="AE27" s="254"/>
      <c r="AF27" s="243"/>
      <c r="AG27" s="222"/>
    </row>
    <row r="28" spans="1:33" outlineLevel="1">
      <c r="A28" s="244">
        <v>35510</v>
      </c>
      <c r="B28" s="244" t="s">
        <v>722</v>
      </c>
      <c r="C28" s="245"/>
      <c r="D28" s="246"/>
      <c r="E28" s="240"/>
      <c r="F28" s="241"/>
      <c r="G28" s="247">
        <v>0</v>
      </c>
      <c r="H28" s="241"/>
      <c r="I28" s="247">
        <v>0</v>
      </c>
      <c r="J28" s="241"/>
      <c r="K28" s="247">
        <v>0</v>
      </c>
      <c r="L28" s="241"/>
      <c r="M28" s="247">
        <v>0</v>
      </c>
      <c r="N28" s="241"/>
      <c r="O28" s="247">
        <v>0</v>
      </c>
      <c r="P28" s="241"/>
      <c r="Q28" s="247">
        <v>321.60000000000002</v>
      </c>
      <c r="R28" s="241"/>
      <c r="S28" s="247">
        <v>0</v>
      </c>
      <c r="T28" s="241"/>
      <c r="U28" s="247">
        <v>212.84</v>
      </c>
      <c r="V28" s="241"/>
      <c r="W28" s="247">
        <v>670.31</v>
      </c>
      <c r="X28" s="241"/>
      <c r="Y28" s="247">
        <v>0</v>
      </c>
      <c r="Z28" s="241"/>
      <c r="AA28" s="247">
        <v>0</v>
      </c>
      <c r="AB28" s="241"/>
      <c r="AC28" s="247">
        <v>0</v>
      </c>
      <c r="AD28" s="241"/>
      <c r="AE28" s="247">
        <f t="shared" ref="AE28:AE31" si="2">AC28+AA28+Y28+W28+U28+S28+Q28+O28+M28+K28+I28+G28</f>
        <v>1204.75</v>
      </c>
      <c r="AF28" s="248">
        <f t="shared" ref="AF28:AF31" si="3">IF(AE$50=0,0,AE28/AE$50)</f>
        <v>5.3946922339790103E-5</v>
      </c>
      <c r="AG28" s="249"/>
    </row>
    <row r="29" spans="1:33" outlineLevel="1">
      <c r="A29" s="244">
        <v>35517</v>
      </c>
      <c r="B29" s="244" t="s">
        <v>723</v>
      </c>
      <c r="C29" s="245"/>
      <c r="D29" s="246"/>
      <c r="E29" s="240"/>
      <c r="F29" s="241"/>
      <c r="G29" s="247">
        <v>625.20000000000005</v>
      </c>
      <c r="H29" s="241"/>
      <c r="I29" s="247">
        <v>0</v>
      </c>
      <c r="J29" s="241"/>
      <c r="K29" s="247">
        <v>0</v>
      </c>
      <c r="L29" s="241"/>
      <c r="M29" s="247">
        <v>0</v>
      </c>
      <c r="N29" s="241"/>
      <c r="O29" s="247">
        <v>0</v>
      </c>
      <c r="P29" s="241"/>
      <c r="Q29" s="247">
        <v>0</v>
      </c>
      <c r="R29" s="241"/>
      <c r="S29" s="247">
        <v>0</v>
      </c>
      <c r="T29" s="241"/>
      <c r="U29" s="247">
        <v>0</v>
      </c>
      <c r="V29" s="241"/>
      <c r="W29" s="247">
        <v>0</v>
      </c>
      <c r="X29" s="241"/>
      <c r="Y29" s="247">
        <v>0</v>
      </c>
      <c r="Z29" s="241"/>
      <c r="AA29" s="247">
        <v>0</v>
      </c>
      <c r="AB29" s="241"/>
      <c r="AC29" s="247">
        <v>0</v>
      </c>
      <c r="AD29" s="241"/>
      <c r="AE29" s="247">
        <f t="shared" si="2"/>
        <v>625.20000000000005</v>
      </c>
      <c r="AF29" s="248">
        <f t="shared" si="3"/>
        <v>2.7995530895901035E-5</v>
      </c>
      <c r="AG29" s="249"/>
    </row>
    <row r="30" spans="1:33" outlineLevel="1">
      <c r="A30" s="244">
        <v>35518</v>
      </c>
      <c r="B30" s="244" t="s">
        <v>724</v>
      </c>
      <c r="C30" s="245"/>
      <c r="D30" s="246"/>
      <c r="E30" s="240"/>
      <c r="F30" s="241"/>
      <c r="G30" s="247">
        <v>6388.8</v>
      </c>
      <c r="H30" s="241"/>
      <c r="I30" s="247">
        <v>1440.46</v>
      </c>
      <c r="J30" s="241"/>
      <c r="K30" s="247">
        <v>1368.51</v>
      </c>
      <c r="L30" s="241"/>
      <c r="M30" s="247">
        <v>2374.91</v>
      </c>
      <c r="N30" s="241"/>
      <c r="O30" s="247">
        <v>8238.52</v>
      </c>
      <c r="P30" s="241"/>
      <c r="Q30" s="247">
        <v>9908.9500000000007</v>
      </c>
      <c r="R30" s="241"/>
      <c r="S30" s="247">
        <v>8040.74</v>
      </c>
      <c r="T30" s="241"/>
      <c r="U30" s="247">
        <v>337.87</v>
      </c>
      <c r="V30" s="241"/>
      <c r="W30" s="247">
        <v>108.61</v>
      </c>
      <c r="X30" s="241"/>
      <c r="Y30" s="247">
        <v>1869.51</v>
      </c>
      <c r="Z30" s="241"/>
      <c r="AA30" s="247">
        <v>172.59</v>
      </c>
      <c r="AB30" s="241"/>
      <c r="AC30" s="247">
        <v>0</v>
      </c>
      <c r="AD30" s="241"/>
      <c r="AE30" s="247">
        <f t="shared" si="2"/>
        <v>40249.47</v>
      </c>
      <c r="AF30" s="248">
        <f t="shared" si="3"/>
        <v>1.8023117097387105E-3</v>
      </c>
      <c r="AG30" s="249"/>
    </row>
    <row r="31" spans="1:33" outlineLevel="1">
      <c r="A31" s="244">
        <v>35527</v>
      </c>
      <c r="B31" s="244" t="s">
        <v>725</v>
      </c>
      <c r="C31" s="245"/>
      <c r="D31" s="246"/>
      <c r="E31" s="240"/>
      <c r="F31" s="241"/>
      <c r="G31" s="247">
        <v>-34088.17</v>
      </c>
      <c r="H31" s="241"/>
      <c r="I31" s="247">
        <v>-34963.21</v>
      </c>
      <c r="J31" s="241"/>
      <c r="K31" s="247">
        <v>-32326.92</v>
      </c>
      <c r="L31" s="241"/>
      <c r="M31" s="247">
        <v>-38172.57</v>
      </c>
      <c r="N31" s="241"/>
      <c r="O31" s="247">
        <v>-42349.16</v>
      </c>
      <c r="P31" s="241"/>
      <c r="Q31" s="247">
        <v>-44538.66</v>
      </c>
      <c r="R31" s="241"/>
      <c r="S31" s="247">
        <v>-45329.71</v>
      </c>
      <c r="T31" s="241"/>
      <c r="U31" s="247">
        <v>-33211.910000000003</v>
      </c>
      <c r="V31" s="241"/>
      <c r="W31" s="247">
        <v>-38541.22</v>
      </c>
      <c r="X31" s="241"/>
      <c r="Y31" s="247">
        <v>-38395.160000000003</v>
      </c>
      <c r="Z31" s="241"/>
      <c r="AA31" s="247">
        <v>-38197.26</v>
      </c>
      <c r="AB31" s="241"/>
      <c r="AC31" s="247">
        <v>-31934.5</v>
      </c>
      <c r="AD31" s="241"/>
      <c r="AE31" s="247">
        <f t="shared" si="2"/>
        <v>-452048.45000000007</v>
      </c>
      <c r="AF31" s="248">
        <f t="shared" si="3"/>
        <v>-2.0242060698047307E-2</v>
      </c>
      <c r="AG31" s="249"/>
    </row>
    <row r="32" spans="1:33" s="240" customFormat="1" ht="5.15" customHeight="1" outlineLevel="1">
      <c r="A32" s="245"/>
      <c r="B32" s="245"/>
      <c r="C32" s="245"/>
      <c r="D32" s="245"/>
      <c r="G32" s="255"/>
      <c r="H32" s="253"/>
      <c r="I32" s="255"/>
      <c r="J32" s="253"/>
      <c r="K32" s="255"/>
      <c r="L32" s="253"/>
      <c r="M32" s="255"/>
      <c r="N32" s="253"/>
      <c r="O32" s="255"/>
      <c r="P32" s="253"/>
      <c r="Q32" s="255"/>
      <c r="R32" s="253"/>
      <c r="S32" s="255"/>
      <c r="T32" s="253"/>
      <c r="U32" s="255"/>
      <c r="V32" s="253"/>
      <c r="W32" s="255"/>
      <c r="X32" s="253"/>
      <c r="Y32" s="255"/>
      <c r="Z32" s="253"/>
      <c r="AA32" s="255"/>
      <c r="AB32" s="253"/>
      <c r="AC32" s="255"/>
      <c r="AD32" s="253"/>
      <c r="AE32" s="255"/>
      <c r="AF32" s="243"/>
      <c r="AG32" s="222"/>
    </row>
    <row r="33" spans="1:33" s="240" customFormat="1" ht="15.5">
      <c r="C33" s="245" t="s">
        <v>726</v>
      </c>
      <c r="G33" s="252">
        <f>SUM(G27:G32)</f>
        <v>-27074.17</v>
      </c>
      <c r="H33" s="253"/>
      <c r="I33" s="252">
        <f>SUM(I27:I32)</f>
        <v>-33522.75</v>
      </c>
      <c r="J33" s="253"/>
      <c r="K33" s="252">
        <f>SUM(K27:K32)</f>
        <v>-30958.41</v>
      </c>
      <c r="L33" s="253"/>
      <c r="M33" s="252">
        <f>SUM(M27:M32)</f>
        <v>-35797.660000000003</v>
      </c>
      <c r="N33" s="253"/>
      <c r="O33" s="252">
        <f>SUM(O27:O32)</f>
        <v>-34110.639999999999</v>
      </c>
      <c r="P33" s="253"/>
      <c r="Q33" s="252">
        <f>SUM(Q27:Q32)</f>
        <v>-34308.11</v>
      </c>
      <c r="R33" s="253"/>
      <c r="S33" s="252">
        <f>SUM(S27:S32)</f>
        <v>-37288.97</v>
      </c>
      <c r="T33" s="253"/>
      <c r="U33" s="252">
        <f>SUM(U27:U32)</f>
        <v>-32661.200000000004</v>
      </c>
      <c r="V33" s="253"/>
      <c r="W33" s="252">
        <f>SUM(W27:W32)</f>
        <v>-37762.300000000003</v>
      </c>
      <c r="X33" s="253"/>
      <c r="Y33" s="252">
        <f>SUM(Y27:Y32)</f>
        <v>-36525.65</v>
      </c>
      <c r="Z33" s="253"/>
      <c r="AA33" s="252">
        <f>SUM(AA27:AA32)</f>
        <v>-38024.670000000006</v>
      </c>
      <c r="AB33" s="253"/>
      <c r="AC33" s="252">
        <f>SUM(AC27:AC32)</f>
        <v>-31934.5</v>
      </c>
      <c r="AD33" s="253"/>
      <c r="AE33" s="252">
        <f>SUM(AE27:AE32)</f>
        <v>-409969.03000000009</v>
      </c>
      <c r="AF33" s="248">
        <f>IF(AE$50=0,0,AE33/AE$50)</f>
        <v>-1.8357806535072907E-2</v>
      </c>
      <c r="AG33" s="222"/>
    </row>
    <row r="34" spans="1:33" s="240" customFormat="1" ht="15.5" outlineLevel="1">
      <c r="A34" s="245"/>
      <c r="B34" s="245"/>
      <c r="C34" s="245"/>
      <c r="D34" s="245"/>
      <c r="G34" s="254"/>
      <c r="H34" s="253"/>
      <c r="I34" s="254"/>
      <c r="J34" s="253"/>
      <c r="K34" s="254"/>
      <c r="L34" s="253"/>
      <c r="M34" s="254"/>
      <c r="N34" s="253"/>
      <c r="O34" s="254"/>
      <c r="P34" s="253"/>
      <c r="Q34" s="254"/>
      <c r="R34" s="253"/>
      <c r="S34" s="254"/>
      <c r="T34" s="253"/>
      <c r="U34" s="254"/>
      <c r="V34" s="253"/>
      <c r="W34" s="254"/>
      <c r="X34" s="253"/>
      <c r="Y34" s="254"/>
      <c r="Z34" s="253"/>
      <c r="AA34" s="254"/>
      <c r="AB34" s="253"/>
      <c r="AC34" s="254"/>
      <c r="AD34" s="253"/>
      <c r="AE34" s="254"/>
      <c r="AF34" s="243"/>
      <c r="AG34" s="222"/>
    </row>
    <row r="35" spans="1:33" s="240" customFormat="1" ht="15.5" outlineLevel="1">
      <c r="G35" s="254"/>
      <c r="H35" s="253"/>
      <c r="I35" s="254"/>
      <c r="J35" s="253"/>
      <c r="K35" s="254"/>
      <c r="L35" s="253"/>
      <c r="M35" s="254"/>
      <c r="N35" s="253"/>
      <c r="O35" s="254"/>
      <c r="P35" s="253"/>
      <c r="Q35" s="254"/>
      <c r="R35" s="253"/>
      <c r="S35" s="254"/>
      <c r="T35" s="253"/>
      <c r="U35" s="254"/>
      <c r="V35" s="253"/>
      <c r="W35" s="254"/>
      <c r="X35" s="253"/>
      <c r="Y35" s="254"/>
      <c r="Z35" s="253"/>
      <c r="AA35" s="254"/>
      <c r="AB35" s="253"/>
      <c r="AC35" s="254"/>
      <c r="AD35" s="253"/>
      <c r="AE35" s="254"/>
      <c r="AF35" s="243"/>
      <c r="AG35" s="222"/>
    </row>
    <row r="36" spans="1:33" customFormat="1" ht="14.5" outlineLevel="1"/>
    <row r="37" spans="1:33" s="240" customFormat="1" ht="3.75" customHeight="1" outlineLevel="1">
      <c r="A37" s="245"/>
      <c r="B37" s="245"/>
      <c r="C37" s="245"/>
      <c r="D37" s="245"/>
      <c r="G37" s="255"/>
      <c r="H37" s="253"/>
      <c r="I37" s="255"/>
      <c r="J37" s="253"/>
      <c r="K37" s="255"/>
      <c r="L37" s="253"/>
      <c r="M37" s="255"/>
      <c r="N37" s="253"/>
      <c r="O37" s="255"/>
      <c r="P37" s="253"/>
      <c r="Q37" s="255"/>
      <c r="R37" s="253"/>
      <c r="S37" s="255"/>
      <c r="T37" s="253"/>
      <c r="U37" s="255"/>
      <c r="V37" s="253"/>
      <c r="W37" s="255"/>
      <c r="X37" s="253"/>
      <c r="Y37" s="255"/>
      <c r="Z37" s="253"/>
      <c r="AA37" s="255"/>
      <c r="AB37" s="253"/>
      <c r="AC37" s="255"/>
      <c r="AD37" s="253"/>
      <c r="AE37" s="255"/>
      <c r="AF37" s="243"/>
      <c r="AG37" s="222"/>
    </row>
    <row r="38" spans="1:33" s="240" customFormat="1" ht="15.5">
      <c r="C38" s="245" t="s">
        <v>727</v>
      </c>
      <c r="G38" s="252">
        <f>SUM(G35:G37)</f>
        <v>0</v>
      </c>
      <c r="H38" s="253"/>
      <c r="I38" s="252">
        <f>SUM(I35:I37)</f>
        <v>0</v>
      </c>
      <c r="J38" s="253"/>
      <c r="K38" s="252">
        <f>SUM(K35:K37)</f>
        <v>0</v>
      </c>
      <c r="L38" s="253"/>
      <c r="M38" s="252">
        <f>SUM(M35:M37)</f>
        <v>0</v>
      </c>
      <c r="N38" s="253"/>
      <c r="O38" s="252">
        <f>SUM(O35:O37)</f>
        <v>0</v>
      </c>
      <c r="P38" s="253"/>
      <c r="Q38" s="252">
        <f>SUM(Q35:Q37)</f>
        <v>0</v>
      </c>
      <c r="R38" s="253"/>
      <c r="S38" s="252">
        <f>SUM(S35:S37)</f>
        <v>0</v>
      </c>
      <c r="T38" s="253"/>
      <c r="U38" s="252">
        <f>SUM(U35:U37)</f>
        <v>0</v>
      </c>
      <c r="V38" s="253"/>
      <c r="W38" s="252">
        <f>SUM(W35:W37)</f>
        <v>0</v>
      </c>
      <c r="X38" s="253"/>
      <c r="Y38" s="252">
        <f>SUM(Y35:Y37)</f>
        <v>0</v>
      </c>
      <c r="Z38" s="253"/>
      <c r="AA38" s="252">
        <f>SUM(AA35:AA37)</f>
        <v>0</v>
      </c>
      <c r="AB38" s="253"/>
      <c r="AC38" s="252">
        <f>SUM(AC35:AC37)</f>
        <v>0</v>
      </c>
      <c r="AD38" s="253"/>
      <c r="AE38" s="252">
        <f>SUM(AE35:AE37)</f>
        <v>0</v>
      </c>
      <c r="AF38" s="248">
        <f>IF(AE$50=0,0,AE38/AE$50)</f>
        <v>0</v>
      </c>
      <c r="AG38" s="222"/>
    </row>
    <row r="39" spans="1:33" s="240" customFormat="1" ht="15.5" outlineLevel="1">
      <c r="G39" s="254"/>
      <c r="H39" s="253"/>
      <c r="I39" s="254"/>
      <c r="J39" s="253"/>
      <c r="K39" s="254"/>
      <c r="L39" s="253"/>
      <c r="M39" s="254"/>
      <c r="N39" s="253"/>
      <c r="O39" s="254"/>
      <c r="P39" s="253"/>
      <c r="Q39" s="254"/>
      <c r="R39" s="253"/>
      <c r="S39" s="254"/>
      <c r="T39" s="253"/>
      <c r="U39" s="254"/>
      <c r="V39" s="253"/>
      <c r="W39" s="254"/>
      <c r="X39" s="253"/>
      <c r="Y39" s="254"/>
      <c r="Z39" s="253"/>
      <c r="AA39" s="254"/>
      <c r="AB39" s="253"/>
      <c r="AC39" s="254"/>
      <c r="AD39" s="253"/>
      <c r="AE39" s="254"/>
      <c r="AF39" s="243"/>
      <c r="AG39" s="222"/>
    </row>
    <row r="40" spans="1:33" customFormat="1" ht="14.5" outlineLevel="1"/>
    <row r="41" spans="1:33" s="240" customFormat="1" ht="3.75" customHeight="1" outlineLevel="1">
      <c r="A41" s="245"/>
      <c r="B41" s="245"/>
      <c r="C41" s="245"/>
      <c r="D41" s="245"/>
      <c r="G41" s="255"/>
      <c r="H41" s="253"/>
      <c r="I41" s="255"/>
      <c r="J41" s="253"/>
      <c r="K41" s="255"/>
      <c r="L41" s="253"/>
      <c r="M41" s="255"/>
      <c r="N41" s="253"/>
      <c r="O41" s="255"/>
      <c r="P41" s="253"/>
      <c r="Q41" s="255"/>
      <c r="R41" s="253"/>
      <c r="S41" s="255"/>
      <c r="T41" s="253"/>
      <c r="U41" s="255"/>
      <c r="V41" s="253"/>
      <c r="W41" s="255"/>
      <c r="X41" s="253"/>
      <c r="Y41" s="255"/>
      <c r="Z41" s="253"/>
      <c r="AA41" s="255"/>
      <c r="AB41" s="253"/>
      <c r="AC41" s="255"/>
      <c r="AD41" s="253"/>
      <c r="AE41" s="255"/>
      <c r="AF41" s="243"/>
      <c r="AG41" s="222"/>
    </row>
    <row r="42" spans="1:33" s="240" customFormat="1" ht="15.5">
      <c r="C42" s="245" t="s">
        <v>728</v>
      </c>
      <c r="G42" s="252">
        <f>SUM(G40:G41)</f>
        <v>0</v>
      </c>
      <c r="H42" s="253"/>
      <c r="I42" s="252">
        <f>SUM(I40:I41)</f>
        <v>0</v>
      </c>
      <c r="J42" s="253"/>
      <c r="K42" s="252">
        <f>SUM(K40:K41)</f>
        <v>0</v>
      </c>
      <c r="L42" s="253"/>
      <c r="M42" s="252">
        <f>SUM(M40:M41)</f>
        <v>0</v>
      </c>
      <c r="N42" s="253"/>
      <c r="O42" s="252">
        <f>SUM(O40:O41)</f>
        <v>0</v>
      </c>
      <c r="P42" s="253"/>
      <c r="Q42" s="252">
        <f>SUM(Q40:Q41)</f>
        <v>0</v>
      </c>
      <c r="R42" s="253"/>
      <c r="S42" s="252">
        <f>SUM(S40:S41)</f>
        <v>0</v>
      </c>
      <c r="T42" s="253"/>
      <c r="U42" s="252">
        <f>SUM(U40:U41)</f>
        <v>0</v>
      </c>
      <c r="V42" s="253"/>
      <c r="W42" s="252">
        <f>SUM(W40:W41)</f>
        <v>0</v>
      </c>
      <c r="X42" s="253"/>
      <c r="Y42" s="252">
        <f>SUM(Y40:Y41)</f>
        <v>0</v>
      </c>
      <c r="Z42" s="253"/>
      <c r="AA42" s="252">
        <f>SUM(AA40:AA41)</f>
        <v>0</v>
      </c>
      <c r="AB42" s="253"/>
      <c r="AC42" s="252">
        <f>SUM(AC40:AC41)</f>
        <v>0</v>
      </c>
      <c r="AD42" s="253"/>
      <c r="AE42" s="252">
        <f>SUM(AE40:AE41)</f>
        <v>0</v>
      </c>
      <c r="AF42" s="248">
        <f>IF(AE$50=0,0,AE42/AE$50)</f>
        <v>0</v>
      </c>
      <c r="AG42" s="222"/>
    </row>
    <row r="43" spans="1:33" s="240" customFormat="1" ht="15.5" outlineLevel="1">
      <c r="G43" s="254"/>
      <c r="H43" s="253"/>
      <c r="I43" s="254"/>
      <c r="J43" s="253"/>
      <c r="K43" s="254"/>
      <c r="L43" s="253"/>
      <c r="M43" s="254"/>
      <c r="N43" s="253"/>
      <c r="O43" s="254"/>
      <c r="P43" s="253"/>
      <c r="Q43" s="254"/>
      <c r="R43" s="253"/>
      <c r="S43" s="254"/>
      <c r="T43" s="253"/>
      <c r="U43" s="254"/>
      <c r="V43" s="253"/>
      <c r="W43" s="254"/>
      <c r="X43" s="253"/>
      <c r="Y43" s="254"/>
      <c r="Z43" s="253"/>
      <c r="AA43" s="254"/>
      <c r="AB43" s="253"/>
      <c r="AC43" s="254"/>
      <c r="AD43" s="253"/>
      <c r="AE43" s="254"/>
      <c r="AF43" s="243"/>
      <c r="AG43" s="222"/>
    </row>
    <row r="44" spans="1:33" s="240" customFormat="1" ht="15.5" outlineLevel="1">
      <c r="G44" s="254"/>
      <c r="H44" s="253"/>
      <c r="I44" s="254"/>
      <c r="J44" s="253"/>
      <c r="K44" s="254"/>
      <c r="L44" s="253"/>
      <c r="M44" s="254"/>
      <c r="N44" s="253"/>
      <c r="O44" s="254"/>
      <c r="P44" s="253"/>
      <c r="Q44" s="254"/>
      <c r="R44" s="253"/>
      <c r="S44" s="254"/>
      <c r="T44" s="253"/>
      <c r="U44" s="254"/>
      <c r="V44" s="253"/>
      <c r="W44" s="254"/>
      <c r="X44" s="253"/>
      <c r="Y44" s="254"/>
      <c r="Z44" s="253"/>
      <c r="AA44" s="254"/>
      <c r="AB44" s="253"/>
      <c r="AC44" s="254"/>
      <c r="AD44" s="253"/>
      <c r="AE44" s="254"/>
      <c r="AF44" s="243"/>
      <c r="AG44" s="222"/>
    </row>
    <row r="45" spans="1:33" outlineLevel="1">
      <c r="A45" s="244">
        <v>38000</v>
      </c>
      <c r="B45" s="244" t="s">
        <v>729</v>
      </c>
      <c r="C45" s="245"/>
      <c r="D45" s="246"/>
      <c r="E45" s="240"/>
      <c r="F45" s="241"/>
      <c r="G45" s="247">
        <v>4058.26</v>
      </c>
      <c r="H45" s="241"/>
      <c r="I45" s="247">
        <v>2768.74</v>
      </c>
      <c r="J45" s="241"/>
      <c r="K45" s="247">
        <v>3339.39</v>
      </c>
      <c r="L45" s="241"/>
      <c r="M45" s="247">
        <v>4413.3900000000003</v>
      </c>
      <c r="N45" s="241"/>
      <c r="O45" s="247">
        <v>2512.36</v>
      </c>
      <c r="P45" s="241"/>
      <c r="Q45" s="247">
        <v>2172.61</v>
      </c>
      <c r="R45" s="241"/>
      <c r="S45" s="247">
        <v>2555.79</v>
      </c>
      <c r="T45" s="241"/>
      <c r="U45" s="247">
        <v>2183.87</v>
      </c>
      <c r="V45" s="241"/>
      <c r="W45" s="247">
        <v>2589.85</v>
      </c>
      <c r="X45" s="241"/>
      <c r="Y45" s="247">
        <v>3242.3</v>
      </c>
      <c r="Z45" s="241"/>
      <c r="AA45" s="247">
        <v>3127.09</v>
      </c>
      <c r="AB45" s="241"/>
      <c r="AC45" s="247">
        <v>4049.6</v>
      </c>
      <c r="AD45" s="241"/>
      <c r="AE45" s="247">
        <f t="shared" ref="AE45:AE46" si="4">AC45+AA45+Y45+W45+U45+S45+Q45+O45+M45+K45+I45+G45</f>
        <v>37013.250000000007</v>
      </c>
      <c r="AF45" s="248">
        <f t="shared" ref="AF45:AF46" si="5">IF(AE$50=0,0,AE45/AE$50)</f>
        <v>1.6573985667509743E-3</v>
      </c>
      <c r="AG45" s="249"/>
    </row>
    <row r="46" spans="1:33" outlineLevel="1">
      <c r="A46" s="244">
        <v>38001</v>
      </c>
      <c r="B46" s="244" t="s">
        <v>730</v>
      </c>
      <c r="C46" s="245"/>
      <c r="D46" s="246"/>
      <c r="E46" s="240"/>
      <c r="F46" s="241"/>
      <c r="G46" s="247">
        <v>2294.0700000000002</v>
      </c>
      <c r="H46" s="241"/>
      <c r="I46" s="247">
        <v>2361.61</v>
      </c>
      <c r="J46" s="241"/>
      <c r="K46" s="247">
        <v>2760.98</v>
      </c>
      <c r="L46" s="241"/>
      <c r="M46" s="247">
        <v>8504.52</v>
      </c>
      <c r="N46" s="241"/>
      <c r="O46" s="247">
        <v>3810.26</v>
      </c>
      <c r="P46" s="241"/>
      <c r="Q46" s="247">
        <v>3193.62</v>
      </c>
      <c r="R46" s="241"/>
      <c r="S46" s="247">
        <v>1803.58</v>
      </c>
      <c r="T46" s="241"/>
      <c r="U46" s="247">
        <v>2698.75</v>
      </c>
      <c r="V46" s="241"/>
      <c r="W46" s="247">
        <v>3076.21</v>
      </c>
      <c r="X46" s="241"/>
      <c r="Y46" s="247">
        <v>2017.35</v>
      </c>
      <c r="Z46" s="241"/>
      <c r="AA46" s="247">
        <v>1997.66</v>
      </c>
      <c r="AB46" s="241"/>
      <c r="AC46" s="247">
        <v>1948.3</v>
      </c>
      <c r="AD46" s="241"/>
      <c r="AE46" s="247">
        <f t="shared" si="4"/>
        <v>36466.910000000003</v>
      </c>
      <c r="AF46" s="248">
        <f t="shared" si="5"/>
        <v>1.6329342699664786E-3</v>
      </c>
      <c r="AG46" s="249"/>
    </row>
    <row r="47" spans="1:33" s="240" customFormat="1" ht="4.5" customHeight="1" outlineLevel="1">
      <c r="A47" s="256"/>
      <c r="G47" s="255"/>
      <c r="H47" s="253"/>
      <c r="I47" s="255"/>
      <c r="J47" s="253"/>
      <c r="K47" s="255"/>
      <c r="L47" s="253"/>
      <c r="M47" s="255"/>
      <c r="N47" s="253"/>
      <c r="O47" s="255"/>
      <c r="P47" s="253"/>
      <c r="Q47" s="255"/>
      <c r="R47" s="253"/>
      <c r="S47" s="255"/>
      <c r="T47" s="253"/>
      <c r="U47" s="255"/>
      <c r="V47" s="253"/>
      <c r="W47" s="255"/>
      <c r="X47" s="253"/>
      <c r="Y47" s="255"/>
      <c r="Z47" s="253"/>
      <c r="AA47" s="255"/>
      <c r="AB47" s="253"/>
      <c r="AC47" s="255"/>
      <c r="AD47" s="253"/>
      <c r="AE47" s="255"/>
      <c r="AF47" s="243"/>
      <c r="AG47" s="222"/>
    </row>
    <row r="48" spans="1:33" s="240" customFormat="1" ht="15.5">
      <c r="C48" s="240" t="s">
        <v>731</v>
      </c>
      <c r="G48" s="252">
        <f>SUM(G44:G47)</f>
        <v>6352.33</v>
      </c>
      <c r="H48" s="253"/>
      <c r="I48" s="252">
        <f>SUM(I44:I47)</f>
        <v>5130.3500000000004</v>
      </c>
      <c r="J48" s="253"/>
      <c r="K48" s="252">
        <f>SUM(K44:K47)</f>
        <v>6100.37</v>
      </c>
      <c r="L48" s="253"/>
      <c r="M48" s="252">
        <f>SUM(M44:M47)</f>
        <v>12917.91</v>
      </c>
      <c r="N48" s="253"/>
      <c r="O48" s="252">
        <f>SUM(O44:O47)</f>
        <v>6322.6200000000008</v>
      </c>
      <c r="P48" s="253"/>
      <c r="Q48" s="252">
        <f>SUM(Q44:Q47)</f>
        <v>5366.23</v>
      </c>
      <c r="R48" s="253"/>
      <c r="S48" s="252">
        <f>SUM(S44:S47)</f>
        <v>4359.37</v>
      </c>
      <c r="T48" s="253"/>
      <c r="U48" s="252">
        <f>SUM(U44:U47)</f>
        <v>4882.62</v>
      </c>
      <c r="V48" s="253"/>
      <c r="W48" s="252">
        <f>SUM(W44:W47)</f>
        <v>5666.0599999999995</v>
      </c>
      <c r="X48" s="253"/>
      <c r="Y48" s="252">
        <f>SUM(Y44:Y47)</f>
        <v>5259.65</v>
      </c>
      <c r="Z48" s="253"/>
      <c r="AA48" s="252">
        <f>SUM(AA44:AA47)</f>
        <v>5124.75</v>
      </c>
      <c r="AB48" s="253"/>
      <c r="AC48" s="252">
        <f>SUM(AC44:AC47)</f>
        <v>5997.9</v>
      </c>
      <c r="AD48" s="253"/>
      <c r="AE48" s="252">
        <f>SUM(AE44:AE47)</f>
        <v>73480.160000000003</v>
      </c>
      <c r="AF48" s="248">
        <f>IF(AE$50=0,0,AE48/AE$50)</f>
        <v>3.2903328367174527E-3</v>
      </c>
      <c r="AG48" s="222"/>
    </row>
    <row r="49" spans="1:33" s="240" customFormat="1" ht="7.5" customHeight="1">
      <c r="G49" s="254"/>
      <c r="H49" s="253"/>
      <c r="I49" s="254"/>
      <c r="J49" s="253"/>
      <c r="K49" s="254"/>
      <c r="L49" s="253"/>
      <c r="M49" s="254"/>
      <c r="N49" s="253"/>
      <c r="O49" s="254"/>
      <c r="P49" s="253"/>
      <c r="Q49" s="254"/>
      <c r="R49" s="253"/>
      <c r="S49" s="254"/>
      <c r="T49" s="253"/>
      <c r="U49" s="254"/>
      <c r="V49" s="253"/>
      <c r="W49" s="254"/>
      <c r="X49" s="253"/>
      <c r="Y49" s="254"/>
      <c r="Z49" s="253"/>
      <c r="AA49" s="254"/>
      <c r="AB49" s="253"/>
      <c r="AC49" s="254"/>
      <c r="AD49" s="253"/>
      <c r="AE49" s="254"/>
      <c r="AF49" s="243"/>
      <c r="AG49" s="222"/>
    </row>
    <row r="50" spans="1:33" s="240" customFormat="1" ht="15.5">
      <c r="B50" s="257" t="s">
        <v>83</v>
      </c>
      <c r="G50" s="258">
        <f>+G25+G33+G38+G48+G21+G42</f>
        <v>1835216.78</v>
      </c>
      <c r="H50" s="253"/>
      <c r="I50" s="258">
        <f>+I25+I33+I38+I48+I21+I42</f>
        <v>1769862.2000000002</v>
      </c>
      <c r="J50" s="253"/>
      <c r="K50" s="258">
        <f>+K25+K33+K38+K48+K21+K42</f>
        <v>1841908.06</v>
      </c>
      <c r="L50" s="253"/>
      <c r="M50" s="258">
        <f>+M25+M33+M38+M48+M21+M42</f>
        <v>1860504.35</v>
      </c>
      <c r="N50" s="253"/>
      <c r="O50" s="258">
        <f>+O25+O33+O38+O48+O21+O42</f>
        <v>1814673.66</v>
      </c>
      <c r="P50" s="253"/>
      <c r="Q50" s="258">
        <f>+Q25+Q33+Q38+Q48+Q21+Q42</f>
        <v>1873648.0300000003</v>
      </c>
      <c r="R50" s="253"/>
      <c r="S50" s="258">
        <f>+S25+S33+S38+S48+S21+S42</f>
        <v>1902489.43</v>
      </c>
      <c r="T50" s="253"/>
      <c r="U50" s="258">
        <f>+U25+U33+U38+U48+U21+U42</f>
        <v>1858841.22</v>
      </c>
      <c r="V50" s="253"/>
      <c r="W50" s="258">
        <f>+W25+W33+W38+W48+W21+W42</f>
        <v>1873249.5500000003</v>
      </c>
      <c r="X50" s="253"/>
      <c r="Y50" s="258">
        <f>+Y25+Y33+Y38+Y48+Y21+Y42</f>
        <v>1946934.7500000002</v>
      </c>
      <c r="Z50" s="253"/>
      <c r="AA50" s="258">
        <f>+AA25+AA33+AA38+AA48+AA21+AA42</f>
        <v>1856926.19</v>
      </c>
      <c r="AB50" s="253"/>
      <c r="AC50" s="258">
        <f>+AC25+AC33+AC38+AC48+AC21+AC42</f>
        <v>1897881.66</v>
      </c>
      <c r="AD50" s="253"/>
      <c r="AE50" s="258">
        <f>+AE25+AE33+AE38+AE48+AE21+AE42</f>
        <v>22332135.879999999</v>
      </c>
      <c r="AF50" s="248">
        <f>IF(AE$50=0,0,AE50/AE$50)</f>
        <v>1</v>
      </c>
      <c r="AG50" s="222"/>
    </row>
    <row r="51" spans="1:33" s="240" customFormat="1" ht="7.5" customHeight="1">
      <c r="G51" s="254"/>
      <c r="H51" s="253"/>
      <c r="I51" s="254"/>
      <c r="J51" s="253"/>
      <c r="K51" s="254"/>
      <c r="L51" s="253"/>
      <c r="M51" s="254"/>
      <c r="N51" s="253"/>
      <c r="O51" s="254"/>
      <c r="P51" s="253"/>
      <c r="Q51" s="254"/>
      <c r="R51" s="253"/>
      <c r="S51" s="254"/>
      <c r="T51" s="253"/>
      <c r="U51" s="254"/>
      <c r="V51" s="253"/>
      <c r="W51" s="254"/>
      <c r="X51" s="253"/>
      <c r="Y51" s="254"/>
      <c r="Z51" s="253"/>
      <c r="AA51" s="254"/>
      <c r="AB51" s="253"/>
      <c r="AC51" s="254"/>
      <c r="AD51" s="253"/>
      <c r="AE51" s="254"/>
      <c r="AF51" s="243"/>
      <c r="AG51" s="222"/>
    </row>
    <row r="52" spans="1:33" s="240" customFormat="1" ht="15.5" outlineLevel="1">
      <c r="G52" s="254"/>
      <c r="H52" s="253"/>
      <c r="I52" s="254"/>
      <c r="J52" s="253"/>
      <c r="K52" s="254"/>
      <c r="L52" s="253"/>
      <c r="M52" s="254"/>
      <c r="N52" s="253"/>
      <c r="O52" s="254"/>
      <c r="P52" s="253"/>
      <c r="Q52" s="254"/>
      <c r="R52" s="253"/>
      <c r="S52" s="254"/>
      <c r="T52" s="253"/>
      <c r="U52" s="254"/>
      <c r="V52" s="253"/>
      <c r="W52" s="254"/>
      <c r="X52" s="253"/>
      <c r="Y52" s="254"/>
      <c r="Z52" s="253"/>
      <c r="AA52" s="254"/>
      <c r="AB52" s="253"/>
      <c r="AC52" s="254"/>
      <c r="AD52" s="253"/>
      <c r="AE52" s="254"/>
      <c r="AF52" s="243"/>
      <c r="AG52" s="222"/>
    </row>
    <row r="53" spans="1:33" outlineLevel="1">
      <c r="A53" s="244">
        <v>40109</v>
      </c>
      <c r="B53" s="244" t="s">
        <v>732</v>
      </c>
      <c r="C53" s="245"/>
      <c r="D53" s="246"/>
      <c r="E53" s="240"/>
      <c r="F53" s="241"/>
      <c r="G53" s="247">
        <v>804728.66</v>
      </c>
      <c r="H53" s="241"/>
      <c r="I53" s="247">
        <v>753412.9</v>
      </c>
      <c r="J53" s="241"/>
      <c r="K53" s="247">
        <v>985743.82</v>
      </c>
      <c r="L53" s="241"/>
      <c r="M53" s="247">
        <v>760787.54</v>
      </c>
      <c r="N53" s="241"/>
      <c r="O53" s="247">
        <v>810914.65</v>
      </c>
      <c r="P53" s="241"/>
      <c r="Q53" s="247">
        <v>920739.75</v>
      </c>
      <c r="R53" s="241"/>
      <c r="S53" s="247">
        <v>905289.94</v>
      </c>
      <c r="T53" s="241"/>
      <c r="U53" s="247">
        <v>818117.53</v>
      </c>
      <c r="V53" s="241"/>
      <c r="W53" s="247">
        <v>792101.94</v>
      </c>
      <c r="X53" s="241"/>
      <c r="Y53" s="247">
        <v>913077.67</v>
      </c>
      <c r="Z53" s="241"/>
      <c r="AA53" s="247">
        <v>866392.82</v>
      </c>
      <c r="AB53" s="241"/>
      <c r="AC53" s="247">
        <v>899002.38</v>
      </c>
      <c r="AD53" s="241"/>
      <c r="AE53" s="247">
        <f t="shared" ref="AE53:AE55" si="6">AC53+AA53+Y53+W53+U53+S53+Q53+O53+M53+K53+I53+G53</f>
        <v>10230309.6</v>
      </c>
      <c r="AF53" s="248">
        <f t="shared" ref="AF53:AF55" si="7">IF(AE$50=0,0,AE53/AE$50)</f>
        <v>0.45809812616991835</v>
      </c>
      <c r="AG53" s="249"/>
    </row>
    <row r="54" spans="1:33" outlineLevel="1">
      <c r="A54" s="244">
        <v>40121</v>
      </c>
      <c r="B54" s="244" t="s">
        <v>733</v>
      </c>
      <c r="C54" s="245"/>
      <c r="D54" s="246"/>
      <c r="E54" s="240"/>
      <c r="F54" s="241"/>
      <c r="G54" s="247">
        <v>500.12</v>
      </c>
      <c r="H54" s="241"/>
      <c r="I54" s="247">
        <v>819</v>
      </c>
      <c r="J54" s="241"/>
      <c r="K54" s="247">
        <v>968.82</v>
      </c>
      <c r="L54" s="241"/>
      <c r="M54" s="247">
        <v>884.55</v>
      </c>
      <c r="N54" s="241"/>
      <c r="O54" s="247">
        <v>1182.45</v>
      </c>
      <c r="P54" s="241"/>
      <c r="Q54" s="247">
        <v>0</v>
      </c>
      <c r="R54" s="241"/>
      <c r="S54" s="247">
        <v>1893.96</v>
      </c>
      <c r="T54" s="241"/>
      <c r="U54" s="247">
        <v>2274.29</v>
      </c>
      <c r="V54" s="241"/>
      <c r="W54" s="247">
        <v>848.73</v>
      </c>
      <c r="X54" s="241"/>
      <c r="Y54" s="247">
        <v>1424.78</v>
      </c>
      <c r="Z54" s="241"/>
      <c r="AA54" s="247">
        <v>1101.98</v>
      </c>
      <c r="AB54" s="241"/>
      <c r="AC54" s="247">
        <v>1406.2</v>
      </c>
      <c r="AD54" s="241"/>
      <c r="AE54" s="247">
        <f t="shared" si="6"/>
        <v>13304.880000000001</v>
      </c>
      <c r="AF54" s="248">
        <f t="shared" si="7"/>
        <v>5.9577283926144555E-4</v>
      </c>
      <c r="AG54" s="249"/>
    </row>
    <row r="55" spans="1:33" outlineLevel="1">
      <c r="A55" s="244">
        <v>40122</v>
      </c>
      <c r="B55" s="244" t="s">
        <v>734</v>
      </c>
      <c r="C55" s="245"/>
      <c r="D55" s="246"/>
      <c r="E55" s="240"/>
      <c r="F55" s="241"/>
      <c r="G55" s="247">
        <v>0</v>
      </c>
      <c r="H55" s="241"/>
      <c r="I55" s="247">
        <v>0</v>
      </c>
      <c r="J55" s="241"/>
      <c r="K55" s="247">
        <v>0</v>
      </c>
      <c r="L55" s="241"/>
      <c r="M55" s="247">
        <v>0</v>
      </c>
      <c r="N55" s="241"/>
      <c r="O55" s="247">
        <v>0</v>
      </c>
      <c r="P55" s="241"/>
      <c r="Q55" s="247">
        <v>6167.55</v>
      </c>
      <c r="R55" s="241"/>
      <c r="S55" s="247">
        <v>1673.66</v>
      </c>
      <c r="T55" s="241"/>
      <c r="U55" s="247">
        <v>0</v>
      </c>
      <c r="V55" s="241"/>
      <c r="W55" s="247">
        <v>0</v>
      </c>
      <c r="X55" s="241"/>
      <c r="Y55" s="247">
        <v>0</v>
      </c>
      <c r="Z55" s="241"/>
      <c r="AA55" s="247">
        <v>0</v>
      </c>
      <c r="AB55" s="241"/>
      <c r="AC55" s="247">
        <v>0</v>
      </c>
      <c r="AD55" s="241"/>
      <c r="AE55" s="247">
        <f t="shared" si="6"/>
        <v>7841.21</v>
      </c>
      <c r="AF55" s="248">
        <f t="shared" si="7"/>
        <v>3.5111778121600792E-4</v>
      </c>
      <c r="AG55" s="249"/>
    </row>
    <row r="56" spans="1:33" s="240" customFormat="1" ht="5.15" customHeight="1" outlineLevel="1">
      <c r="A56" s="245"/>
      <c r="B56" s="245"/>
      <c r="C56" s="245"/>
      <c r="D56" s="245"/>
      <c r="G56" s="255"/>
      <c r="H56" s="253"/>
      <c r="I56" s="255"/>
      <c r="J56" s="253"/>
      <c r="K56" s="255"/>
      <c r="L56" s="253"/>
      <c r="M56" s="255"/>
      <c r="N56" s="253"/>
      <c r="O56" s="255"/>
      <c r="P56" s="253"/>
      <c r="Q56" s="255"/>
      <c r="R56" s="253"/>
      <c r="S56" s="255"/>
      <c r="T56" s="253"/>
      <c r="U56" s="255"/>
      <c r="V56" s="253"/>
      <c r="W56" s="255"/>
      <c r="X56" s="253"/>
      <c r="Y56" s="255"/>
      <c r="Z56" s="253"/>
      <c r="AA56" s="255"/>
      <c r="AB56" s="253"/>
      <c r="AC56" s="255"/>
      <c r="AD56" s="253"/>
      <c r="AE56" s="255"/>
      <c r="AF56" s="243"/>
      <c r="AG56" s="222"/>
    </row>
    <row r="57" spans="1:33" s="240" customFormat="1" ht="15.5">
      <c r="C57" s="245" t="s">
        <v>735</v>
      </c>
      <c r="G57" s="252">
        <f>SUM(G52:G56)</f>
        <v>805228.78</v>
      </c>
      <c r="H57" s="253"/>
      <c r="I57" s="252">
        <f>SUM(I52:I56)</f>
        <v>754231.9</v>
      </c>
      <c r="J57" s="253"/>
      <c r="K57" s="252">
        <f>SUM(K52:K56)</f>
        <v>986712.6399999999</v>
      </c>
      <c r="L57" s="253"/>
      <c r="M57" s="252">
        <f>SUM(M52:M56)</f>
        <v>761672.09000000008</v>
      </c>
      <c r="N57" s="253"/>
      <c r="O57" s="252">
        <f>SUM(O52:O56)</f>
        <v>812097.1</v>
      </c>
      <c r="P57" s="253"/>
      <c r="Q57" s="252">
        <f>SUM(Q52:Q56)</f>
        <v>926907.3</v>
      </c>
      <c r="R57" s="253"/>
      <c r="S57" s="252">
        <f>SUM(S52:S56)</f>
        <v>908857.55999999994</v>
      </c>
      <c r="T57" s="253"/>
      <c r="U57" s="252">
        <f>SUM(U52:U56)</f>
        <v>820391.82000000007</v>
      </c>
      <c r="V57" s="253"/>
      <c r="W57" s="252">
        <f>SUM(W52:W56)</f>
        <v>792950.66999999993</v>
      </c>
      <c r="X57" s="253"/>
      <c r="Y57" s="252">
        <f>SUM(Y52:Y56)</f>
        <v>914502.45000000007</v>
      </c>
      <c r="Z57" s="253"/>
      <c r="AA57" s="252">
        <f>SUM(AA52:AA56)</f>
        <v>867494.79999999993</v>
      </c>
      <c r="AB57" s="253"/>
      <c r="AC57" s="252">
        <f>SUM(AC52:AC56)</f>
        <v>900408.58</v>
      </c>
      <c r="AD57" s="253"/>
      <c r="AE57" s="252">
        <f>SUM(AE52:AE56)</f>
        <v>10251455.690000001</v>
      </c>
      <c r="AF57" s="248">
        <f>IF(AE$50=0,0,AE57/AE$50)</f>
        <v>0.45904501679039583</v>
      </c>
      <c r="AG57" s="222"/>
    </row>
    <row r="58" spans="1:33" s="240" customFormat="1" ht="15.5" outlineLevel="1">
      <c r="G58" s="254"/>
      <c r="H58" s="253"/>
      <c r="I58" s="254"/>
      <c r="J58" s="253"/>
      <c r="K58" s="254"/>
      <c r="L58" s="253"/>
      <c r="M58" s="254"/>
      <c r="N58" s="253"/>
      <c r="O58" s="254"/>
      <c r="P58" s="253"/>
      <c r="Q58" s="254"/>
      <c r="R58" s="253"/>
      <c r="S58" s="254"/>
      <c r="T58" s="253"/>
      <c r="U58" s="254"/>
      <c r="V58" s="253"/>
      <c r="W58" s="254"/>
      <c r="X58" s="253"/>
      <c r="Y58" s="254"/>
      <c r="Z58" s="253"/>
      <c r="AA58" s="254"/>
      <c r="AB58" s="253"/>
      <c r="AC58" s="254"/>
      <c r="AD58" s="253"/>
      <c r="AE58" s="254"/>
      <c r="AF58" s="243"/>
      <c r="AG58" s="222"/>
    </row>
    <row r="59" spans="1:33" outlineLevel="1">
      <c r="A59" s="244"/>
      <c r="B59" s="244"/>
      <c r="C59" s="245"/>
      <c r="D59" s="246"/>
      <c r="E59" s="240"/>
      <c r="F59" s="241"/>
      <c r="G59" s="247"/>
      <c r="H59" s="241"/>
      <c r="I59" s="247"/>
      <c r="J59" s="241"/>
      <c r="K59" s="247"/>
      <c r="L59" s="241"/>
      <c r="M59" s="247"/>
      <c r="N59" s="241"/>
      <c r="O59" s="247"/>
      <c r="P59" s="241"/>
      <c r="Q59" s="247"/>
      <c r="R59" s="241"/>
      <c r="S59" s="247"/>
      <c r="T59" s="241"/>
      <c r="U59" s="247"/>
      <c r="V59" s="241"/>
      <c r="W59" s="247"/>
      <c r="X59" s="241"/>
      <c r="Y59" s="247"/>
      <c r="Z59" s="241"/>
      <c r="AA59" s="247"/>
      <c r="AB59" s="241"/>
      <c r="AC59" s="247"/>
      <c r="AD59" s="241"/>
      <c r="AE59" s="247"/>
      <c r="AF59" s="248"/>
      <c r="AG59" s="249"/>
    </row>
    <row r="60" spans="1:33" s="240" customFormat="1" ht="4.5" customHeight="1" outlineLevel="1">
      <c r="A60" s="256"/>
      <c r="G60" s="255"/>
      <c r="H60" s="253"/>
      <c r="I60" s="255"/>
      <c r="J60" s="253"/>
      <c r="K60" s="255"/>
      <c r="L60" s="253"/>
      <c r="M60" s="255"/>
      <c r="N60" s="253"/>
      <c r="O60" s="255"/>
      <c r="P60" s="253"/>
      <c r="Q60" s="255"/>
      <c r="R60" s="253"/>
      <c r="S60" s="255"/>
      <c r="T60" s="253"/>
      <c r="U60" s="255"/>
      <c r="V60" s="253"/>
      <c r="W60" s="255"/>
      <c r="X60" s="253"/>
      <c r="Y60" s="255"/>
      <c r="Z60" s="253"/>
      <c r="AA60" s="255"/>
      <c r="AB60" s="253"/>
      <c r="AC60" s="255"/>
      <c r="AD60" s="253"/>
      <c r="AE60" s="255"/>
      <c r="AF60" s="243"/>
      <c r="AG60" s="222"/>
    </row>
    <row r="61" spans="1:33" s="240" customFormat="1" ht="15.5">
      <c r="C61" s="240" t="s">
        <v>736</v>
      </c>
      <c r="G61" s="252">
        <f>SUM(G59:G60)</f>
        <v>0</v>
      </c>
      <c r="H61" s="253"/>
      <c r="I61" s="252">
        <f>SUM(I59:I60)</f>
        <v>0</v>
      </c>
      <c r="J61" s="253"/>
      <c r="K61" s="252">
        <f>SUM(K59:K60)</f>
        <v>0</v>
      </c>
      <c r="L61" s="253"/>
      <c r="M61" s="252">
        <f>SUM(M59:M60)</f>
        <v>0</v>
      </c>
      <c r="N61" s="253"/>
      <c r="O61" s="252">
        <f>SUM(O59:O60)</f>
        <v>0</v>
      </c>
      <c r="P61" s="253"/>
      <c r="Q61" s="252">
        <f>SUM(Q59:Q60)</f>
        <v>0</v>
      </c>
      <c r="R61" s="253"/>
      <c r="S61" s="252">
        <f>SUM(S59:S60)</f>
        <v>0</v>
      </c>
      <c r="T61" s="253"/>
      <c r="U61" s="252">
        <f>SUM(U59:U60)</f>
        <v>0</v>
      </c>
      <c r="V61" s="253"/>
      <c r="W61" s="252">
        <f>SUM(W59:W60)</f>
        <v>0</v>
      </c>
      <c r="X61" s="253"/>
      <c r="Y61" s="252">
        <f>SUM(Y59:Y60)</f>
        <v>0</v>
      </c>
      <c r="Z61" s="253"/>
      <c r="AA61" s="252">
        <f>SUM(AA59:AA60)</f>
        <v>0</v>
      </c>
      <c r="AB61" s="253"/>
      <c r="AC61" s="252">
        <f>SUM(AC59:AC60)</f>
        <v>0</v>
      </c>
      <c r="AD61" s="253"/>
      <c r="AE61" s="252">
        <f>SUM(AE59:AE60)</f>
        <v>0</v>
      </c>
      <c r="AF61" s="248">
        <f>IF(AE$50=0,0,AE61/AE$50)</f>
        <v>0</v>
      </c>
      <c r="AG61" s="222"/>
    </row>
    <row r="62" spans="1:33" s="240" customFormat="1" ht="15.5" outlineLevel="1">
      <c r="G62" s="254"/>
      <c r="H62" s="253"/>
      <c r="I62" s="254"/>
      <c r="J62" s="253"/>
      <c r="K62" s="254"/>
      <c r="L62" s="253"/>
      <c r="M62" s="254"/>
      <c r="N62" s="253"/>
      <c r="O62" s="254"/>
      <c r="P62" s="253"/>
      <c r="Q62" s="254"/>
      <c r="R62" s="253"/>
      <c r="S62" s="254"/>
      <c r="T62" s="253"/>
      <c r="U62" s="254"/>
      <c r="V62" s="253"/>
      <c r="W62" s="254"/>
      <c r="X62" s="253"/>
      <c r="Y62" s="254"/>
      <c r="Z62" s="253"/>
      <c r="AA62" s="254"/>
      <c r="AB62" s="253"/>
      <c r="AC62" s="254"/>
      <c r="AD62" s="253"/>
      <c r="AE62" s="254"/>
      <c r="AF62" s="243"/>
      <c r="AG62" s="222"/>
    </row>
    <row r="63" spans="1:33" s="240" customFormat="1" ht="15.5" outlineLevel="1">
      <c r="G63" s="254"/>
      <c r="H63" s="253"/>
      <c r="I63" s="254"/>
      <c r="J63" s="253"/>
      <c r="K63" s="254"/>
      <c r="L63" s="253"/>
      <c r="M63" s="254"/>
      <c r="N63" s="253"/>
      <c r="O63" s="254"/>
      <c r="P63" s="253"/>
      <c r="Q63" s="254"/>
      <c r="R63" s="253"/>
      <c r="S63" s="254"/>
      <c r="T63" s="253"/>
      <c r="U63" s="254"/>
      <c r="V63" s="253"/>
      <c r="W63" s="254"/>
      <c r="X63" s="253"/>
      <c r="Y63" s="254"/>
      <c r="Z63" s="253"/>
      <c r="AA63" s="254"/>
      <c r="AB63" s="253"/>
      <c r="AC63" s="254"/>
      <c r="AD63" s="253"/>
      <c r="AE63" s="254"/>
      <c r="AF63" s="243"/>
      <c r="AG63" s="222"/>
    </row>
    <row r="64" spans="1:33" outlineLevel="1">
      <c r="A64" s="244">
        <v>41201</v>
      </c>
      <c r="B64" s="244" t="s">
        <v>737</v>
      </c>
      <c r="C64" s="245"/>
      <c r="D64" s="246"/>
      <c r="E64" s="240"/>
      <c r="F64" s="241"/>
      <c r="G64" s="247">
        <v>694.43</v>
      </c>
      <c r="H64" s="241"/>
      <c r="I64" s="247">
        <v>1483.45</v>
      </c>
      <c r="J64" s="241"/>
      <c r="K64" s="247">
        <v>417.27</v>
      </c>
      <c r="L64" s="241"/>
      <c r="M64" s="247">
        <v>-146.65</v>
      </c>
      <c r="N64" s="241"/>
      <c r="O64" s="247">
        <v>514.54</v>
      </c>
      <c r="P64" s="241"/>
      <c r="Q64" s="247">
        <v>479.29</v>
      </c>
      <c r="R64" s="241"/>
      <c r="S64" s="247">
        <v>428.85</v>
      </c>
      <c r="T64" s="241"/>
      <c r="U64" s="247">
        <v>636.77</v>
      </c>
      <c r="V64" s="241"/>
      <c r="W64" s="247">
        <v>707.08</v>
      </c>
      <c r="X64" s="241"/>
      <c r="Y64" s="247">
        <v>421.16</v>
      </c>
      <c r="Z64" s="241"/>
      <c r="AA64" s="247">
        <v>283.14999999999998</v>
      </c>
      <c r="AB64" s="241"/>
      <c r="AC64" s="247">
        <v>0</v>
      </c>
      <c r="AD64" s="241"/>
      <c r="AE64" s="247">
        <f t="shared" ref="AE64:AE66" si="8">AC64+AA64+Y64+W64+U64+S64+Q64+O64+M64+K64+I64+G64</f>
        <v>5919.34</v>
      </c>
      <c r="AF64" s="248">
        <f t="shared" ref="AF64:AF66" si="9">IF(AE$50=0,0,AE64/AE$50)</f>
        <v>2.6505928639370253E-4</v>
      </c>
      <c r="AG64" s="249"/>
    </row>
    <row r="65" spans="1:33" outlineLevel="1">
      <c r="A65" s="244">
        <v>43001</v>
      </c>
      <c r="B65" s="244" t="s">
        <v>738</v>
      </c>
      <c r="C65" s="245"/>
      <c r="D65" s="246"/>
      <c r="E65" s="240"/>
      <c r="F65" s="241"/>
      <c r="G65" s="247">
        <v>26100.97</v>
      </c>
      <c r="H65" s="241"/>
      <c r="I65" s="247">
        <v>26381.55</v>
      </c>
      <c r="J65" s="241"/>
      <c r="K65" s="247">
        <v>26906.400000000001</v>
      </c>
      <c r="L65" s="241"/>
      <c r="M65" s="247">
        <v>26602.43</v>
      </c>
      <c r="N65" s="241"/>
      <c r="O65" s="247">
        <v>25648.34</v>
      </c>
      <c r="P65" s="241"/>
      <c r="Q65" s="247">
        <v>26159.68</v>
      </c>
      <c r="R65" s="241"/>
      <c r="S65" s="247">
        <v>27592.3</v>
      </c>
      <c r="T65" s="241"/>
      <c r="U65" s="247">
        <v>26973.93</v>
      </c>
      <c r="V65" s="241"/>
      <c r="W65" s="247">
        <v>27001.13</v>
      </c>
      <c r="X65" s="241"/>
      <c r="Y65" s="247">
        <v>28294.07</v>
      </c>
      <c r="Z65" s="241"/>
      <c r="AA65" s="247">
        <v>28471.58</v>
      </c>
      <c r="AB65" s="241"/>
      <c r="AC65" s="247">
        <v>77986.210000000006</v>
      </c>
      <c r="AD65" s="241"/>
      <c r="AE65" s="247">
        <f t="shared" si="8"/>
        <v>374118.58999999997</v>
      </c>
      <c r="AF65" s="248">
        <f t="shared" si="9"/>
        <v>1.6752476879520042E-2</v>
      </c>
      <c r="AG65" s="249"/>
    </row>
    <row r="66" spans="1:33" outlineLevel="1">
      <c r="A66" s="244">
        <v>43002</v>
      </c>
      <c r="B66" s="244" t="s">
        <v>739</v>
      </c>
      <c r="C66" s="245"/>
      <c r="D66" s="246"/>
      <c r="E66" s="240"/>
      <c r="F66" s="241"/>
      <c r="G66" s="247">
        <v>7730.39</v>
      </c>
      <c r="H66" s="241"/>
      <c r="I66" s="247">
        <v>7509.01</v>
      </c>
      <c r="J66" s="241"/>
      <c r="K66" s="247">
        <v>9318.26</v>
      </c>
      <c r="L66" s="241"/>
      <c r="M66" s="247">
        <v>8086.25</v>
      </c>
      <c r="N66" s="241"/>
      <c r="O66" s="247">
        <v>7855.97</v>
      </c>
      <c r="P66" s="241"/>
      <c r="Q66" s="247">
        <v>8117.6</v>
      </c>
      <c r="R66" s="241"/>
      <c r="S66" s="247">
        <v>8245.09</v>
      </c>
      <c r="T66" s="241"/>
      <c r="U66" s="247">
        <v>8006.81</v>
      </c>
      <c r="V66" s="241"/>
      <c r="W66" s="247">
        <v>8089.38</v>
      </c>
      <c r="X66" s="241"/>
      <c r="Y66" s="247">
        <v>8405.49</v>
      </c>
      <c r="Z66" s="241"/>
      <c r="AA66" s="247">
        <v>8017.16</v>
      </c>
      <c r="AB66" s="241"/>
      <c r="AC66" s="247">
        <v>6075.12</v>
      </c>
      <c r="AD66" s="241"/>
      <c r="AE66" s="247">
        <f t="shared" si="8"/>
        <v>95456.529999999984</v>
      </c>
      <c r="AF66" s="248">
        <f t="shared" si="9"/>
        <v>4.2744021670353544E-3</v>
      </c>
      <c r="AG66" s="249"/>
    </row>
    <row r="67" spans="1:33" s="240" customFormat="1" ht="5.15" customHeight="1" outlineLevel="1">
      <c r="A67" s="245"/>
      <c r="B67" s="245"/>
      <c r="C67" s="245"/>
      <c r="D67" s="245"/>
      <c r="G67" s="255"/>
      <c r="H67" s="253"/>
      <c r="I67" s="255"/>
      <c r="J67" s="253"/>
      <c r="K67" s="255"/>
      <c r="L67" s="253"/>
      <c r="M67" s="255"/>
      <c r="N67" s="253"/>
      <c r="O67" s="255"/>
      <c r="P67" s="253"/>
      <c r="Q67" s="255"/>
      <c r="R67" s="253"/>
      <c r="S67" s="255"/>
      <c r="T67" s="253"/>
      <c r="U67" s="255"/>
      <c r="V67" s="253"/>
      <c r="W67" s="255"/>
      <c r="X67" s="253"/>
      <c r="Y67" s="255"/>
      <c r="Z67" s="253"/>
      <c r="AA67" s="255"/>
      <c r="AB67" s="253"/>
      <c r="AC67" s="255"/>
      <c r="AD67" s="253"/>
      <c r="AE67" s="255"/>
      <c r="AF67" s="243"/>
      <c r="AG67" s="222"/>
    </row>
    <row r="68" spans="1:33" s="240" customFormat="1" ht="15.5">
      <c r="C68" s="245" t="s">
        <v>740</v>
      </c>
      <c r="D68" s="259"/>
      <c r="E68" s="259"/>
      <c r="F68" s="259"/>
      <c r="G68" s="252">
        <f>SUM(G63:G67)</f>
        <v>34525.79</v>
      </c>
      <c r="H68" s="253"/>
      <c r="I68" s="252">
        <f>SUM(I63:I67)</f>
        <v>35374.01</v>
      </c>
      <c r="J68" s="253"/>
      <c r="K68" s="252">
        <f>SUM(K63:K67)</f>
        <v>36641.93</v>
      </c>
      <c r="L68" s="253"/>
      <c r="M68" s="252">
        <f>SUM(M63:M67)</f>
        <v>34542.03</v>
      </c>
      <c r="N68" s="253"/>
      <c r="O68" s="252">
        <f>SUM(O63:O67)</f>
        <v>34018.85</v>
      </c>
      <c r="P68" s="253"/>
      <c r="Q68" s="252">
        <f>SUM(Q63:Q67)</f>
        <v>34756.57</v>
      </c>
      <c r="R68" s="253"/>
      <c r="S68" s="252">
        <f>SUM(S63:S67)</f>
        <v>36266.239999999998</v>
      </c>
      <c r="T68" s="253"/>
      <c r="U68" s="252">
        <f>SUM(U63:U67)</f>
        <v>35617.51</v>
      </c>
      <c r="V68" s="253"/>
      <c r="W68" s="252">
        <f>SUM(W63:W67)</f>
        <v>35797.590000000004</v>
      </c>
      <c r="X68" s="253"/>
      <c r="Y68" s="252">
        <f>SUM(Y63:Y67)</f>
        <v>37120.720000000001</v>
      </c>
      <c r="Z68" s="253"/>
      <c r="AA68" s="252">
        <f>SUM(AA63:AA67)</f>
        <v>36771.89</v>
      </c>
      <c r="AB68" s="253"/>
      <c r="AC68" s="252">
        <f>SUM(AC63:AC67)</f>
        <v>84061.33</v>
      </c>
      <c r="AD68" s="253"/>
      <c r="AE68" s="252">
        <f>SUM(AE63:AE67)</f>
        <v>475494.45999999996</v>
      </c>
      <c r="AF68" s="248">
        <f>IF(AE$50=0,0,AE68/AE$50)</f>
        <v>2.1291938332949099E-2</v>
      </c>
      <c r="AG68" s="222"/>
    </row>
    <row r="69" spans="1:33" s="240" customFormat="1" ht="15.5" outlineLevel="1">
      <c r="G69" s="254"/>
      <c r="H69" s="253"/>
      <c r="I69" s="254"/>
      <c r="J69" s="253"/>
      <c r="K69" s="254"/>
      <c r="L69" s="253"/>
      <c r="M69" s="254"/>
      <c r="N69" s="253"/>
      <c r="O69" s="254"/>
      <c r="P69" s="253"/>
      <c r="Q69" s="254"/>
      <c r="R69" s="253"/>
      <c r="S69" s="254"/>
      <c r="T69" s="253"/>
      <c r="U69" s="254"/>
      <c r="V69" s="253"/>
      <c r="W69" s="254"/>
      <c r="X69" s="253"/>
      <c r="Y69" s="254"/>
      <c r="Z69" s="253"/>
      <c r="AA69" s="254"/>
      <c r="AB69" s="253"/>
      <c r="AC69" s="254"/>
      <c r="AD69" s="253"/>
      <c r="AE69" s="254"/>
      <c r="AF69" s="243"/>
      <c r="AG69" s="222"/>
    </row>
    <row r="70" spans="1:33" s="240" customFormat="1" ht="15.5" outlineLevel="1">
      <c r="G70" s="254"/>
      <c r="H70" s="253"/>
      <c r="I70" s="254"/>
      <c r="J70" s="253"/>
      <c r="K70" s="254"/>
      <c r="L70" s="253"/>
      <c r="M70" s="254"/>
      <c r="N70" s="253"/>
      <c r="O70" s="254"/>
      <c r="P70" s="253"/>
      <c r="Q70" s="254"/>
      <c r="R70" s="253"/>
      <c r="S70" s="254"/>
      <c r="T70" s="253"/>
      <c r="U70" s="254"/>
      <c r="V70" s="253"/>
      <c r="W70" s="254"/>
      <c r="X70" s="253"/>
      <c r="Y70" s="254"/>
      <c r="Z70" s="253"/>
      <c r="AA70" s="254"/>
      <c r="AB70" s="253"/>
      <c r="AC70" s="254"/>
      <c r="AD70" s="253"/>
      <c r="AE70" s="254"/>
      <c r="AF70" s="243"/>
      <c r="AG70" s="222"/>
    </row>
    <row r="71" spans="1:33" outlineLevel="1">
      <c r="A71" s="244">
        <v>44168</v>
      </c>
      <c r="B71" s="244" t="s">
        <v>741</v>
      </c>
      <c r="C71" s="245"/>
      <c r="D71" s="246"/>
      <c r="E71" s="240"/>
      <c r="F71" s="241"/>
      <c r="G71" s="247">
        <v>0</v>
      </c>
      <c r="H71" s="241"/>
      <c r="I71" s="247">
        <v>0</v>
      </c>
      <c r="J71" s="241"/>
      <c r="K71" s="247">
        <v>0</v>
      </c>
      <c r="L71" s="241"/>
      <c r="M71" s="247">
        <v>0</v>
      </c>
      <c r="N71" s="241"/>
      <c r="O71" s="247">
        <v>0</v>
      </c>
      <c r="P71" s="241"/>
      <c r="Q71" s="247">
        <v>0</v>
      </c>
      <c r="R71" s="241"/>
      <c r="S71" s="247">
        <v>0</v>
      </c>
      <c r="T71" s="241"/>
      <c r="U71" s="247">
        <v>0</v>
      </c>
      <c r="V71" s="241"/>
      <c r="W71" s="247">
        <v>0</v>
      </c>
      <c r="X71" s="241"/>
      <c r="Y71" s="247">
        <v>0</v>
      </c>
      <c r="Z71" s="241"/>
      <c r="AA71" s="247">
        <v>0</v>
      </c>
      <c r="AB71" s="241"/>
      <c r="AC71" s="247">
        <v>7387.87</v>
      </c>
      <c r="AD71" s="241"/>
      <c r="AE71" s="247">
        <f>AC71+AA71+Y71+W71+U71+S71+Q71+O71+M71+K71+I71+G71</f>
        <v>7387.87</v>
      </c>
      <c r="AF71" s="248">
        <f>IF(AE$50=0,0,AE71/AE$50)</f>
        <v>3.3081788682005816E-4</v>
      </c>
      <c r="AG71" s="249"/>
    </row>
    <row r="72" spans="1:33" s="240" customFormat="1" ht="5.15" customHeight="1" outlineLevel="1">
      <c r="A72" s="245"/>
      <c r="B72" s="245"/>
      <c r="C72" s="245"/>
      <c r="D72" s="245"/>
      <c r="G72" s="255"/>
      <c r="H72" s="253"/>
      <c r="I72" s="255"/>
      <c r="J72" s="253"/>
      <c r="K72" s="255"/>
      <c r="L72" s="253"/>
      <c r="M72" s="255"/>
      <c r="N72" s="253"/>
      <c r="O72" s="255"/>
      <c r="P72" s="253"/>
      <c r="Q72" s="255"/>
      <c r="R72" s="253"/>
      <c r="S72" s="255"/>
      <c r="T72" s="253"/>
      <c r="U72" s="255"/>
      <c r="V72" s="253"/>
      <c r="W72" s="255"/>
      <c r="X72" s="253"/>
      <c r="Y72" s="255"/>
      <c r="Z72" s="253"/>
      <c r="AA72" s="255"/>
      <c r="AB72" s="253"/>
      <c r="AC72" s="255"/>
      <c r="AD72" s="253"/>
      <c r="AE72" s="255"/>
      <c r="AF72" s="243"/>
      <c r="AG72" s="222"/>
    </row>
    <row r="73" spans="1:33" s="240" customFormat="1" ht="15.5">
      <c r="C73" s="245" t="s">
        <v>742</v>
      </c>
      <c r="D73" s="259"/>
      <c r="E73" s="259"/>
      <c r="F73" s="259"/>
      <c r="G73" s="252">
        <f>SUM(G70:G72)</f>
        <v>0</v>
      </c>
      <c r="H73" s="253"/>
      <c r="I73" s="252">
        <f>SUM(I70:I72)</f>
        <v>0</v>
      </c>
      <c r="J73" s="253"/>
      <c r="K73" s="252">
        <f>SUM(K70:K72)</f>
        <v>0</v>
      </c>
      <c r="L73" s="253"/>
      <c r="M73" s="252">
        <f>SUM(M70:M72)</f>
        <v>0</v>
      </c>
      <c r="N73" s="253"/>
      <c r="O73" s="252">
        <f>SUM(O70:O72)</f>
        <v>0</v>
      </c>
      <c r="P73" s="253"/>
      <c r="Q73" s="252">
        <f>SUM(Q70:Q72)</f>
        <v>0</v>
      </c>
      <c r="R73" s="253"/>
      <c r="S73" s="252">
        <f>SUM(S70:S72)</f>
        <v>0</v>
      </c>
      <c r="T73" s="253"/>
      <c r="U73" s="252">
        <f>SUM(U70:U72)</f>
        <v>0</v>
      </c>
      <c r="V73" s="253"/>
      <c r="W73" s="252">
        <f>SUM(W70:W72)</f>
        <v>0</v>
      </c>
      <c r="X73" s="253"/>
      <c r="Y73" s="252">
        <f>SUM(Y70:Y72)</f>
        <v>0</v>
      </c>
      <c r="Z73" s="253"/>
      <c r="AA73" s="252">
        <f>SUM(AA70:AA72)</f>
        <v>0</v>
      </c>
      <c r="AB73" s="253"/>
      <c r="AC73" s="252">
        <f>SUM(AC70:AC72)</f>
        <v>7387.87</v>
      </c>
      <c r="AD73" s="253"/>
      <c r="AE73" s="252">
        <f>SUM(AE70:AE72)</f>
        <v>7387.87</v>
      </c>
      <c r="AF73" s="248">
        <f>IF(AE$50=0,0,AE73/AE$50)</f>
        <v>3.3081788682005816E-4</v>
      </c>
      <c r="AG73" s="222"/>
    </row>
    <row r="74" spans="1:33" s="240" customFormat="1" ht="15.5" outlineLevel="1">
      <c r="G74" s="254"/>
      <c r="H74" s="253"/>
      <c r="I74" s="254"/>
      <c r="J74" s="253"/>
      <c r="K74" s="254"/>
      <c r="L74" s="253"/>
      <c r="M74" s="254"/>
      <c r="N74" s="253"/>
      <c r="O74" s="254"/>
      <c r="P74" s="253"/>
      <c r="Q74" s="254"/>
      <c r="R74" s="253"/>
      <c r="S74" s="254"/>
      <c r="T74" s="253"/>
      <c r="U74" s="254"/>
      <c r="V74" s="253"/>
      <c r="W74" s="254"/>
      <c r="X74" s="253"/>
      <c r="Y74" s="254"/>
      <c r="Z74" s="253"/>
      <c r="AA74" s="254"/>
      <c r="AB74" s="253"/>
      <c r="AC74" s="254"/>
      <c r="AD74" s="253"/>
      <c r="AE74" s="254"/>
      <c r="AF74" s="243"/>
      <c r="AG74" s="222"/>
    </row>
    <row r="75" spans="1:33" customFormat="1" ht="14.5" outlineLevel="1"/>
    <row r="76" spans="1:33" s="240" customFormat="1" ht="4.5" customHeight="1" outlineLevel="1">
      <c r="A76" s="256"/>
      <c r="G76" s="255"/>
      <c r="H76" s="253"/>
      <c r="I76" s="255"/>
      <c r="J76" s="253"/>
      <c r="K76" s="255"/>
      <c r="L76" s="253"/>
      <c r="M76" s="255"/>
      <c r="N76" s="253"/>
      <c r="O76" s="255"/>
      <c r="P76" s="253"/>
      <c r="Q76" s="255"/>
      <c r="R76" s="253"/>
      <c r="S76" s="255"/>
      <c r="T76" s="253"/>
      <c r="U76" s="255"/>
      <c r="V76" s="253"/>
      <c r="W76" s="255"/>
      <c r="X76" s="253"/>
      <c r="Y76" s="255"/>
      <c r="Z76" s="253"/>
      <c r="AA76" s="255"/>
      <c r="AB76" s="253"/>
      <c r="AC76" s="255"/>
      <c r="AD76" s="253"/>
      <c r="AE76" s="255"/>
      <c r="AF76" s="243"/>
      <c r="AG76" s="222"/>
    </row>
    <row r="77" spans="1:33" s="240" customFormat="1" ht="15.5">
      <c r="C77" s="240" t="s">
        <v>743</v>
      </c>
      <c r="G77" s="252">
        <f>SUM(G75:G76)</f>
        <v>0</v>
      </c>
      <c r="H77" s="253"/>
      <c r="I77" s="252">
        <f>SUM(I75:I76)</f>
        <v>0</v>
      </c>
      <c r="J77" s="253"/>
      <c r="K77" s="252">
        <f>SUM(K75:K76)</f>
        <v>0</v>
      </c>
      <c r="L77" s="253"/>
      <c r="M77" s="252">
        <f>SUM(M75:M76)</f>
        <v>0</v>
      </c>
      <c r="N77" s="253"/>
      <c r="O77" s="252">
        <f>SUM(O75:O76)</f>
        <v>0</v>
      </c>
      <c r="P77" s="253"/>
      <c r="Q77" s="252">
        <f>SUM(Q75:Q76)</f>
        <v>0</v>
      </c>
      <c r="R77" s="253"/>
      <c r="S77" s="252">
        <f>SUM(S75:S76)</f>
        <v>0</v>
      </c>
      <c r="T77" s="253"/>
      <c r="U77" s="252">
        <f>SUM(U75:U76)</f>
        <v>0</v>
      </c>
      <c r="V77" s="253"/>
      <c r="W77" s="252">
        <f>SUM(W75:W76)</f>
        <v>0</v>
      </c>
      <c r="X77" s="253"/>
      <c r="Y77" s="252">
        <f>SUM(Y75:Y76)</f>
        <v>0</v>
      </c>
      <c r="Z77" s="253"/>
      <c r="AA77" s="252">
        <f>SUM(AA75:AA76)</f>
        <v>0</v>
      </c>
      <c r="AB77" s="253"/>
      <c r="AC77" s="252">
        <f>SUM(AC75:AC76)</f>
        <v>0</v>
      </c>
      <c r="AD77" s="253"/>
      <c r="AE77" s="252">
        <f>SUM(AE75:AE76)</f>
        <v>0</v>
      </c>
      <c r="AF77" s="248">
        <f>IF(AE$50=0,0,AE77/AE$50)</f>
        <v>0</v>
      </c>
      <c r="AG77" s="222"/>
    </row>
    <row r="78" spans="1:33" s="240" customFormat="1" ht="7.5" customHeight="1">
      <c r="G78" s="254"/>
      <c r="H78" s="253"/>
      <c r="I78" s="254"/>
      <c r="J78" s="253"/>
      <c r="K78" s="254"/>
      <c r="L78" s="253"/>
      <c r="M78" s="254"/>
      <c r="N78" s="253"/>
      <c r="O78" s="254"/>
      <c r="P78" s="253"/>
      <c r="Q78" s="254"/>
      <c r="R78" s="253"/>
      <c r="S78" s="254"/>
      <c r="T78" s="253"/>
      <c r="U78" s="254"/>
      <c r="V78" s="253"/>
      <c r="W78" s="254"/>
      <c r="X78" s="253"/>
      <c r="Y78" s="254"/>
      <c r="Z78" s="253"/>
      <c r="AA78" s="254"/>
      <c r="AB78" s="253"/>
      <c r="AC78" s="254"/>
      <c r="AD78" s="253"/>
      <c r="AE78" s="254"/>
      <c r="AF78" s="243"/>
      <c r="AG78" s="222"/>
    </row>
    <row r="79" spans="1:33" s="240" customFormat="1" ht="15.5">
      <c r="B79" s="257" t="s">
        <v>744</v>
      </c>
      <c r="G79" s="258">
        <f>+G57+G68+G73+G61+G77</f>
        <v>839754.57000000007</v>
      </c>
      <c r="H79" s="253"/>
      <c r="I79" s="258">
        <f>+I57+I68+I73+I61+I77</f>
        <v>789605.91</v>
      </c>
      <c r="J79" s="253"/>
      <c r="K79" s="258">
        <f>+K57+K68+K73+K61+K77</f>
        <v>1023354.57</v>
      </c>
      <c r="L79" s="253"/>
      <c r="M79" s="258">
        <f>+M57+M68+M73+M61+M77</f>
        <v>796214.12000000011</v>
      </c>
      <c r="N79" s="253"/>
      <c r="O79" s="258">
        <f>+O57+O68+O73+O61+O77</f>
        <v>846115.95</v>
      </c>
      <c r="P79" s="253"/>
      <c r="Q79" s="258">
        <f>+Q57+Q68+Q73+Q61+Q77</f>
        <v>961663.87</v>
      </c>
      <c r="R79" s="253"/>
      <c r="S79" s="258">
        <f>+S57+S68+S73+S61+S77</f>
        <v>945123.79999999993</v>
      </c>
      <c r="T79" s="253"/>
      <c r="U79" s="258">
        <f>+U57+U68+U73+U61+U77</f>
        <v>856009.33000000007</v>
      </c>
      <c r="V79" s="253"/>
      <c r="W79" s="258">
        <f>+W57+W68+W73+W61+W77</f>
        <v>828748.25999999989</v>
      </c>
      <c r="X79" s="253"/>
      <c r="Y79" s="258">
        <f>+Y57+Y68+Y73+Y61+Y77</f>
        <v>951623.17</v>
      </c>
      <c r="Z79" s="253"/>
      <c r="AA79" s="258">
        <f>+AA57+AA68+AA73+AA61+AA77</f>
        <v>904266.69</v>
      </c>
      <c r="AB79" s="253"/>
      <c r="AC79" s="258">
        <f>+AC57+AC68+AC73+AC61+AC77</f>
        <v>991857.77999999991</v>
      </c>
      <c r="AD79" s="253"/>
      <c r="AE79" s="258">
        <f>+AE57+AE68+AE73+AE61+AE77</f>
        <v>10734338.020000001</v>
      </c>
      <c r="AF79" s="248">
        <f>IF(AE$50=0,0,AE79/AE$50)</f>
        <v>0.480667773010165</v>
      </c>
      <c r="AG79" s="222"/>
    </row>
    <row r="80" spans="1:33" s="240" customFormat="1" ht="7.5" customHeight="1">
      <c r="G80" s="254"/>
      <c r="H80" s="253"/>
      <c r="I80" s="254"/>
      <c r="J80" s="253"/>
      <c r="K80" s="254"/>
      <c r="L80" s="253"/>
      <c r="M80" s="254"/>
      <c r="N80" s="253"/>
      <c r="O80" s="254"/>
      <c r="P80" s="253"/>
      <c r="Q80" s="254"/>
      <c r="R80" s="253"/>
      <c r="S80" s="254"/>
      <c r="T80" s="253"/>
      <c r="U80" s="254"/>
      <c r="V80" s="253"/>
      <c r="W80" s="254"/>
      <c r="X80" s="253"/>
      <c r="Y80" s="254"/>
      <c r="Z80" s="253"/>
      <c r="AA80" s="254"/>
      <c r="AB80" s="253"/>
      <c r="AC80" s="254"/>
      <c r="AD80" s="253"/>
      <c r="AE80" s="254"/>
      <c r="AF80" s="243"/>
      <c r="AG80" s="222"/>
    </row>
    <row r="81" spans="1:33" s="240" customFormat="1" ht="15.5">
      <c r="B81" s="260" t="s">
        <v>745</v>
      </c>
      <c r="G81" s="258">
        <f>G50-G79</f>
        <v>995462.21</v>
      </c>
      <c r="H81" s="253"/>
      <c r="I81" s="258">
        <f>I50-I79</f>
        <v>980256.29000000015</v>
      </c>
      <c r="J81" s="253"/>
      <c r="K81" s="258">
        <f>K50-K79</f>
        <v>818553.49000000011</v>
      </c>
      <c r="L81" s="253"/>
      <c r="M81" s="258">
        <f>M50-M79</f>
        <v>1064290.23</v>
      </c>
      <c r="N81" s="253"/>
      <c r="O81" s="258">
        <f>O50-O79</f>
        <v>968557.71</v>
      </c>
      <c r="P81" s="253"/>
      <c r="Q81" s="258">
        <f>Q50-Q79</f>
        <v>911984.16000000027</v>
      </c>
      <c r="R81" s="253"/>
      <c r="S81" s="258">
        <f>S50-S79</f>
        <v>957365.63</v>
      </c>
      <c r="T81" s="253"/>
      <c r="U81" s="258">
        <f>U50-U79</f>
        <v>1002831.8899999999</v>
      </c>
      <c r="V81" s="253"/>
      <c r="W81" s="258">
        <f>W50-W79</f>
        <v>1044501.2900000004</v>
      </c>
      <c r="X81" s="253"/>
      <c r="Y81" s="258">
        <f>Y50-Y79</f>
        <v>995311.58000000019</v>
      </c>
      <c r="Z81" s="253"/>
      <c r="AA81" s="258">
        <f>AA50-AA79</f>
        <v>952659.5</v>
      </c>
      <c r="AB81" s="253"/>
      <c r="AC81" s="258">
        <f>AC50-AC79</f>
        <v>906023.88</v>
      </c>
      <c r="AD81" s="253"/>
      <c r="AE81" s="258">
        <f>AE50-AE79</f>
        <v>11597797.859999998</v>
      </c>
      <c r="AF81" s="248">
        <f>IF(AE$50=0,0,AE81/AE$50)</f>
        <v>0.51933222698983494</v>
      </c>
      <c r="AG81" s="222"/>
    </row>
    <row r="82" spans="1:33" s="240" customFormat="1" ht="7.5" customHeight="1">
      <c r="G82" s="254"/>
      <c r="H82" s="253"/>
      <c r="I82" s="254"/>
      <c r="J82" s="253"/>
      <c r="K82" s="254"/>
      <c r="L82" s="253"/>
      <c r="M82" s="254"/>
      <c r="N82" s="253"/>
      <c r="O82" s="254"/>
      <c r="P82" s="253"/>
      <c r="Q82" s="254"/>
      <c r="R82" s="253"/>
      <c r="S82" s="254"/>
      <c r="T82" s="253"/>
      <c r="U82" s="254"/>
      <c r="V82" s="253"/>
      <c r="W82" s="254"/>
      <c r="X82" s="253"/>
      <c r="Y82" s="254"/>
      <c r="Z82" s="253"/>
      <c r="AA82" s="254"/>
      <c r="AB82" s="253"/>
      <c r="AC82" s="254"/>
      <c r="AD82" s="253"/>
      <c r="AE82" s="254"/>
      <c r="AF82" s="243"/>
      <c r="AG82" s="222"/>
    </row>
    <row r="83" spans="1:33" s="240" customFormat="1" ht="15.5" outlineLevel="1">
      <c r="G83" s="254"/>
      <c r="H83" s="253"/>
      <c r="I83" s="254"/>
      <c r="J83" s="253"/>
      <c r="K83" s="254"/>
      <c r="L83" s="253"/>
      <c r="M83" s="254"/>
      <c r="N83" s="253"/>
      <c r="O83" s="254"/>
      <c r="P83" s="253"/>
      <c r="Q83" s="254"/>
      <c r="R83" s="253"/>
      <c r="S83" s="254"/>
      <c r="T83" s="253"/>
      <c r="U83" s="254"/>
      <c r="V83" s="253"/>
      <c r="W83" s="254"/>
      <c r="X83" s="253"/>
      <c r="Y83" s="254"/>
      <c r="Z83" s="253"/>
      <c r="AA83" s="254"/>
      <c r="AB83" s="253"/>
      <c r="AC83" s="254"/>
      <c r="AD83" s="253"/>
      <c r="AE83" s="254"/>
      <c r="AF83" s="243"/>
      <c r="AG83" s="222"/>
    </row>
    <row r="84" spans="1:33" outlineLevel="1">
      <c r="A84" s="244">
        <v>50020</v>
      </c>
      <c r="B84" s="244" t="s">
        <v>746</v>
      </c>
      <c r="C84" s="245"/>
      <c r="D84" s="246"/>
      <c r="E84" s="240"/>
      <c r="F84" s="241"/>
      <c r="G84" s="247">
        <v>222692.8</v>
      </c>
      <c r="H84" s="241"/>
      <c r="I84" s="247">
        <v>63205.49</v>
      </c>
      <c r="J84" s="241"/>
      <c r="K84" s="247">
        <v>153783.78</v>
      </c>
      <c r="L84" s="241"/>
      <c r="M84" s="247">
        <v>157080.32000000001</v>
      </c>
      <c r="N84" s="241"/>
      <c r="O84" s="247">
        <v>144904.76999999999</v>
      </c>
      <c r="P84" s="241"/>
      <c r="Q84" s="247">
        <v>157169.45000000001</v>
      </c>
      <c r="R84" s="241"/>
      <c r="S84" s="247">
        <v>164067.22</v>
      </c>
      <c r="T84" s="241"/>
      <c r="U84" s="247">
        <v>147195.21</v>
      </c>
      <c r="V84" s="241"/>
      <c r="W84" s="247">
        <v>162128.29999999999</v>
      </c>
      <c r="X84" s="241"/>
      <c r="Y84" s="247">
        <v>155497.04999999999</v>
      </c>
      <c r="Z84" s="241"/>
      <c r="AA84" s="247">
        <v>152056.49</v>
      </c>
      <c r="AB84" s="241"/>
      <c r="AC84" s="247">
        <v>169552.41</v>
      </c>
      <c r="AD84" s="241"/>
      <c r="AE84" s="247">
        <f t="shared" ref="AE84:AE95" si="10">AC84+AA84+Y84+W84+U84+S84+Q84+O84+M84+K84+I84+G84</f>
        <v>1849333.29</v>
      </c>
      <c r="AF84" s="248">
        <f t="shared" ref="AF84:AF95" si="11">IF(AE$50=0,0,AE84/AE$50)</f>
        <v>8.2810408280571512E-2</v>
      </c>
      <c r="AG84" s="249"/>
    </row>
    <row r="85" spans="1:33" outlineLevel="1">
      <c r="A85" s="244">
        <v>50025</v>
      </c>
      <c r="B85" s="244" t="s">
        <v>747</v>
      </c>
      <c r="C85" s="245"/>
      <c r="D85" s="246"/>
      <c r="E85" s="240"/>
      <c r="F85" s="241"/>
      <c r="G85" s="247">
        <v>68895.95</v>
      </c>
      <c r="H85" s="241"/>
      <c r="I85" s="247">
        <v>1744.3</v>
      </c>
      <c r="J85" s="241"/>
      <c r="K85" s="247">
        <v>30383.47</v>
      </c>
      <c r="L85" s="241"/>
      <c r="M85" s="247">
        <v>36430.639999999999</v>
      </c>
      <c r="N85" s="241"/>
      <c r="O85" s="247">
        <v>58629.52</v>
      </c>
      <c r="P85" s="241"/>
      <c r="Q85" s="247">
        <v>45140.75</v>
      </c>
      <c r="R85" s="241"/>
      <c r="S85" s="247">
        <v>53860.17</v>
      </c>
      <c r="T85" s="241"/>
      <c r="U85" s="247">
        <v>44434.82</v>
      </c>
      <c r="V85" s="241"/>
      <c r="W85" s="247">
        <v>52835.5</v>
      </c>
      <c r="X85" s="241"/>
      <c r="Y85" s="247">
        <v>50621.120000000003</v>
      </c>
      <c r="Z85" s="241"/>
      <c r="AA85" s="247">
        <v>42593.07</v>
      </c>
      <c r="AB85" s="241"/>
      <c r="AC85" s="247">
        <v>42152.93</v>
      </c>
      <c r="AD85" s="241"/>
      <c r="AE85" s="247">
        <f t="shared" si="10"/>
        <v>527722.23999999999</v>
      </c>
      <c r="AF85" s="248">
        <f t="shared" si="11"/>
        <v>2.3630621040265677E-2</v>
      </c>
      <c r="AG85" s="249"/>
    </row>
    <row r="86" spans="1:33" outlineLevel="1">
      <c r="A86" s="244">
        <v>50035</v>
      </c>
      <c r="B86" s="244" t="s">
        <v>748</v>
      </c>
      <c r="C86" s="245"/>
      <c r="D86" s="246"/>
      <c r="E86" s="240"/>
      <c r="F86" s="241"/>
      <c r="G86" s="247">
        <v>3667.47</v>
      </c>
      <c r="H86" s="241"/>
      <c r="I86" s="247">
        <v>4903.1400000000003</v>
      </c>
      <c r="J86" s="241"/>
      <c r="K86" s="247">
        <v>2967.47</v>
      </c>
      <c r="L86" s="241"/>
      <c r="M86" s="247">
        <v>2967.47</v>
      </c>
      <c r="N86" s="241"/>
      <c r="O86" s="247">
        <v>1589.04</v>
      </c>
      <c r="P86" s="241"/>
      <c r="Q86" s="247">
        <v>2508</v>
      </c>
      <c r="R86" s="241"/>
      <c r="S86" s="247">
        <v>2507.9899999999998</v>
      </c>
      <c r="T86" s="241"/>
      <c r="U86" s="247">
        <v>2508</v>
      </c>
      <c r="V86" s="241"/>
      <c r="W86" s="247">
        <v>2507.9899999999998</v>
      </c>
      <c r="X86" s="241"/>
      <c r="Y86" s="247">
        <v>4469.33</v>
      </c>
      <c r="Z86" s="241"/>
      <c r="AA86" s="247">
        <v>2412.15</v>
      </c>
      <c r="AB86" s="241"/>
      <c r="AC86" s="247">
        <v>2412.15</v>
      </c>
      <c r="AD86" s="241"/>
      <c r="AE86" s="247">
        <f t="shared" si="10"/>
        <v>35420.200000000004</v>
      </c>
      <c r="AF86" s="248">
        <f t="shared" si="11"/>
        <v>1.5860641449759979E-3</v>
      </c>
      <c r="AG86" s="249"/>
    </row>
    <row r="87" spans="1:33" outlineLevel="1">
      <c r="A87" s="244">
        <v>50036</v>
      </c>
      <c r="B87" s="244" t="s">
        <v>749</v>
      </c>
      <c r="C87" s="245"/>
      <c r="D87" s="246"/>
      <c r="E87" s="240"/>
      <c r="F87" s="241"/>
      <c r="G87" s="247">
        <v>0</v>
      </c>
      <c r="H87" s="241"/>
      <c r="I87" s="247">
        <v>0</v>
      </c>
      <c r="J87" s="241"/>
      <c r="K87" s="247">
        <v>69.75</v>
      </c>
      <c r="L87" s="241"/>
      <c r="M87" s="247">
        <v>90</v>
      </c>
      <c r="N87" s="241"/>
      <c r="O87" s="247">
        <v>-51.86</v>
      </c>
      <c r="P87" s="241"/>
      <c r="Q87" s="247">
        <v>217.63</v>
      </c>
      <c r="R87" s="241"/>
      <c r="S87" s="247">
        <v>114.94</v>
      </c>
      <c r="T87" s="241"/>
      <c r="U87" s="247">
        <v>426.43</v>
      </c>
      <c r="V87" s="241"/>
      <c r="W87" s="247">
        <v>-218</v>
      </c>
      <c r="X87" s="241"/>
      <c r="Y87" s="247">
        <v>88.89</v>
      </c>
      <c r="Z87" s="241"/>
      <c r="AA87" s="247">
        <v>59.77</v>
      </c>
      <c r="AB87" s="241"/>
      <c r="AC87" s="247">
        <v>885.84</v>
      </c>
      <c r="AD87" s="241"/>
      <c r="AE87" s="247">
        <f t="shared" si="10"/>
        <v>1683.39</v>
      </c>
      <c r="AF87" s="248">
        <f t="shared" si="11"/>
        <v>7.5379713299505505E-5</v>
      </c>
      <c r="AG87" s="249"/>
    </row>
    <row r="88" spans="1:33" outlineLevel="1">
      <c r="A88" s="244">
        <v>50045</v>
      </c>
      <c r="B88" s="244" t="s">
        <v>750</v>
      </c>
      <c r="C88" s="245"/>
      <c r="D88" s="246"/>
      <c r="E88" s="240"/>
      <c r="F88" s="241"/>
      <c r="G88" s="247">
        <v>11756.63</v>
      </c>
      <c r="H88" s="241"/>
      <c r="I88" s="247">
        <v>6152.02</v>
      </c>
      <c r="J88" s="241"/>
      <c r="K88" s="247">
        <v>10086.120000000001</v>
      </c>
      <c r="L88" s="241"/>
      <c r="M88" s="247">
        <v>9095.81</v>
      </c>
      <c r="N88" s="241"/>
      <c r="O88" s="247">
        <v>7421</v>
      </c>
      <c r="P88" s="241"/>
      <c r="Q88" s="247">
        <v>7381.74</v>
      </c>
      <c r="R88" s="241"/>
      <c r="S88" s="247">
        <v>13120.8</v>
      </c>
      <c r="T88" s="241"/>
      <c r="U88" s="247">
        <v>9456.27</v>
      </c>
      <c r="V88" s="241"/>
      <c r="W88" s="247">
        <v>4957.92</v>
      </c>
      <c r="X88" s="241"/>
      <c r="Y88" s="247">
        <v>9182.91</v>
      </c>
      <c r="Z88" s="241"/>
      <c r="AA88" s="247">
        <v>5868.93</v>
      </c>
      <c r="AB88" s="241"/>
      <c r="AC88" s="247">
        <v>4610.91</v>
      </c>
      <c r="AD88" s="241"/>
      <c r="AE88" s="247">
        <f t="shared" si="10"/>
        <v>99091.060000000012</v>
      </c>
      <c r="AF88" s="248">
        <f t="shared" si="11"/>
        <v>4.4371510424465509E-3</v>
      </c>
      <c r="AG88" s="249"/>
    </row>
    <row r="89" spans="1:33" outlineLevel="1">
      <c r="A89" s="244">
        <v>50050</v>
      </c>
      <c r="B89" s="244" t="s">
        <v>751</v>
      </c>
      <c r="C89" s="245"/>
      <c r="D89" s="246"/>
      <c r="E89" s="240"/>
      <c r="F89" s="241"/>
      <c r="G89" s="247">
        <v>28644.69</v>
      </c>
      <c r="H89" s="241"/>
      <c r="I89" s="247">
        <v>5951.4</v>
      </c>
      <c r="J89" s="241"/>
      <c r="K89" s="247">
        <v>16635.47</v>
      </c>
      <c r="L89" s="241"/>
      <c r="M89" s="247">
        <v>17298.810000000001</v>
      </c>
      <c r="N89" s="241"/>
      <c r="O89" s="247">
        <v>18174.47</v>
      </c>
      <c r="P89" s="241"/>
      <c r="Q89" s="247">
        <v>18865.759999999998</v>
      </c>
      <c r="R89" s="241"/>
      <c r="S89" s="247">
        <v>19377.240000000002</v>
      </c>
      <c r="T89" s="241"/>
      <c r="U89" s="247">
        <v>16764.47</v>
      </c>
      <c r="V89" s="241"/>
      <c r="W89" s="247">
        <v>16913.45</v>
      </c>
      <c r="X89" s="241"/>
      <c r="Y89" s="247">
        <v>16400.240000000002</v>
      </c>
      <c r="Z89" s="241"/>
      <c r="AA89" s="247">
        <v>15609.81</v>
      </c>
      <c r="AB89" s="241"/>
      <c r="AC89" s="247">
        <v>19442.62</v>
      </c>
      <c r="AD89" s="241"/>
      <c r="AE89" s="247">
        <f t="shared" si="10"/>
        <v>210078.43</v>
      </c>
      <c r="AF89" s="248">
        <f t="shared" si="11"/>
        <v>9.4070012438057949E-3</v>
      </c>
      <c r="AG89" s="249"/>
    </row>
    <row r="90" spans="1:33" outlineLevel="1">
      <c r="A90" s="244">
        <v>50060</v>
      </c>
      <c r="B90" s="244" t="s">
        <v>752</v>
      </c>
      <c r="C90" s="245"/>
      <c r="D90" s="246"/>
      <c r="E90" s="240"/>
      <c r="F90" s="241"/>
      <c r="G90" s="247">
        <v>55374.46</v>
      </c>
      <c r="H90" s="241"/>
      <c r="I90" s="247">
        <v>14167.94</v>
      </c>
      <c r="J90" s="241"/>
      <c r="K90" s="247">
        <v>32921.64</v>
      </c>
      <c r="L90" s="241"/>
      <c r="M90" s="247">
        <v>35324.050000000003</v>
      </c>
      <c r="N90" s="241"/>
      <c r="O90" s="247">
        <v>35368.76</v>
      </c>
      <c r="P90" s="241"/>
      <c r="Q90" s="247">
        <v>34420.379999999997</v>
      </c>
      <c r="R90" s="241"/>
      <c r="S90" s="247">
        <v>34458.44</v>
      </c>
      <c r="T90" s="241"/>
      <c r="U90" s="247">
        <v>34312.42</v>
      </c>
      <c r="V90" s="241"/>
      <c r="W90" s="247">
        <v>32325.360000000001</v>
      </c>
      <c r="X90" s="241"/>
      <c r="Y90" s="247">
        <v>35123.78</v>
      </c>
      <c r="Z90" s="241"/>
      <c r="AA90" s="247">
        <v>34898.699999999997</v>
      </c>
      <c r="AB90" s="241"/>
      <c r="AC90" s="247">
        <v>34556.019999999997</v>
      </c>
      <c r="AD90" s="241"/>
      <c r="AE90" s="247">
        <f t="shared" si="10"/>
        <v>413251.95</v>
      </c>
      <c r="AF90" s="248">
        <f t="shared" si="11"/>
        <v>1.8504810834958973E-2</v>
      </c>
      <c r="AG90" s="249"/>
    </row>
    <row r="91" spans="1:33" outlineLevel="1">
      <c r="A91" s="244">
        <v>50065</v>
      </c>
      <c r="B91" s="244" t="s">
        <v>753</v>
      </c>
      <c r="C91" s="245"/>
      <c r="D91" s="246"/>
      <c r="E91" s="240"/>
      <c r="F91" s="241"/>
      <c r="G91" s="247">
        <v>17652.95</v>
      </c>
      <c r="H91" s="241"/>
      <c r="I91" s="247">
        <v>1398.36</v>
      </c>
      <c r="J91" s="241"/>
      <c r="K91" s="247">
        <v>10129.24</v>
      </c>
      <c r="L91" s="241"/>
      <c r="M91" s="247">
        <v>8916.14</v>
      </c>
      <c r="N91" s="241"/>
      <c r="O91" s="247">
        <v>9602.4699999999993</v>
      </c>
      <c r="P91" s="241"/>
      <c r="Q91" s="247">
        <v>9890.23</v>
      </c>
      <c r="R91" s="241"/>
      <c r="S91" s="247">
        <v>8971.51</v>
      </c>
      <c r="T91" s="241"/>
      <c r="U91" s="247">
        <v>8978.0499999999993</v>
      </c>
      <c r="V91" s="241"/>
      <c r="W91" s="247">
        <v>9385.76</v>
      </c>
      <c r="X91" s="241"/>
      <c r="Y91" s="247">
        <v>11061.21</v>
      </c>
      <c r="Z91" s="241"/>
      <c r="AA91" s="247">
        <v>8271.94</v>
      </c>
      <c r="AB91" s="241"/>
      <c r="AC91" s="247">
        <v>10018.34</v>
      </c>
      <c r="AD91" s="241"/>
      <c r="AE91" s="247">
        <f t="shared" si="10"/>
        <v>114276.20000000001</v>
      </c>
      <c r="AF91" s="248">
        <f t="shared" si="11"/>
        <v>5.1171191423003293E-3</v>
      </c>
      <c r="AG91" s="249"/>
    </row>
    <row r="92" spans="1:33" outlineLevel="1">
      <c r="A92" s="244">
        <v>50070</v>
      </c>
      <c r="B92" s="244" t="s">
        <v>754</v>
      </c>
      <c r="C92" s="245"/>
      <c r="D92" s="246"/>
      <c r="E92" s="240"/>
      <c r="F92" s="241"/>
      <c r="G92" s="247">
        <v>2102.88</v>
      </c>
      <c r="H92" s="241"/>
      <c r="I92" s="247">
        <v>333.69</v>
      </c>
      <c r="J92" s="241"/>
      <c r="K92" s="247">
        <v>2457.16</v>
      </c>
      <c r="L92" s="241"/>
      <c r="M92" s="247">
        <v>2335.9</v>
      </c>
      <c r="N92" s="241"/>
      <c r="O92" s="247">
        <v>2094.54</v>
      </c>
      <c r="P92" s="241"/>
      <c r="Q92" s="247">
        <v>2991.17</v>
      </c>
      <c r="R92" s="241"/>
      <c r="S92" s="247">
        <v>3411.08</v>
      </c>
      <c r="T92" s="241"/>
      <c r="U92" s="247">
        <v>1735.64</v>
      </c>
      <c r="V92" s="241"/>
      <c r="W92" s="247">
        <v>332.48</v>
      </c>
      <c r="X92" s="241"/>
      <c r="Y92" s="247">
        <v>360.24</v>
      </c>
      <c r="Z92" s="241"/>
      <c r="AA92" s="247">
        <v>274.95</v>
      </c>
      <c r="AB92" s="241"/>
      <c r="AC92" s="247">
        <v>121.95</v>
      </c>
      <c r="AD92" s="241"/>
      <c r="AE92" s="247">
        <f t="shared" si="10"/>
        <v>18551.68</v>
      </c>
      <c r="AF92" s="248">
        <f t="shared" si="11"/>
        <v>8.3071677960791632E-4</v>
      </c>
      <c r="AG92" s="249"/>
    </row>
    <row r="93" spans="1:33" outlineLevel="1">
      <c r="A93" s="244">
        <v>50086</v>
      </c>
      <c r="B93" s="244" t="s">
        <v>755</v>
      </c>
      <c r="C93" s="245"/>
      <c r="D93" s="246"/>
      <c r="E93" s="240"/>
      <c r="F93" s="241"/>
      <c r="G93" s="247">
        <v>8557.2000000000007</v>
      </c>
      <c r="H93" s="241"/>
      <c r="I93" s="247">
        <v>-4614.37</v>
      </c>
      <c r="J93" s="241"/>
      <c r="K93" s="247">
        <v>4671.55</v>
      </c>
      <c r="L93" s="241"/>
      <c r="M93" s="247">
        <v>288.14</v>
      </c>
      <c r="N93" s="241"/>
      <c r="O93" s="247">
        <v>994.88</v>
      </c>
      <c r="P93" s="241"/>
      <c r="Q93" s="247">
        <v>3020.03</v>
      </c>
      <c r="R93" s="241"/>
      <c r="S93" s="247">
        <v>48.8</v>
      </c>
      <c r="T93" s="241"/>
      <c r="U93" s="247">
        <v>2493.71</v>
      </c>
      <c r="V93" s="241"/>
      <c r="W93" s="247">
        <v>756.84</v>
      </c>
      <c r="X93" s="241"/>
      <c r="Y93" s="247">
        <v>1744.59</v>
      </c>
      <c r="Z93" s="241"/>
      <c r="AA93" s="247">
        <v>968.28</v>
      </c>
      <c r="AB93" s="241"/>
      <c r="AC93" s="247">
        <v>1288.1500000000001</v>
      </c>
      <c r="AD93" s="241"/>
      <c r="AE93" s="247">
        <f t="shared" si="10"/>
        <v>20217.800000000003</v>
      </c>
      <c r="AF93" s="248">
        <f t="shared" si="11"/>
        <v>9.0532316786172103E-4</v>
      </c>
      <c r="AG93" s="249"/>
    </row>
    <row r="94" spans="1:33" outlineLevel="1">
      <c r="A94" s="244">
        <v>50090</v>
      </c>
      <c r="B94" s="244" t="s">
        <v>756</v>
      </c>
      <c r="C94" s="245"/>
      <c r="D94" s="246"/>
      <c r="E94" s="240"/>
      <c r="F94" s="241"/>
      <c r="G94" s="247">
        <v>4273.8599999999997</v>
      </c>
      <c r="H94" s="241"/>
      <c r="I94" s="247">
        <v>-1129.83</v>
      </c>
      <c r="J94" s="241"/>
      <c r="K94" s="247">
        <v>908.69</v>
      </c>
      <c r="L94" s="241"/>
      <c r="M94" s="247">
        <v>990.74</v>
      </c>
      <c r="N94" s="241"/>
      <c r="O94" s="247">
        <v>1418.18</v>
      </c>
      <c r="P94" s="241"/>
      <c r="Q94" s="247">
        <v>1124.18</v>
      </c>
      <c r="R94" s="241"/>
      <c r="S94" s="247">
        <v>1206.78</v>
      </c>
      <c r="T94" s="241"/>
      <c r="U94" s="247">
        <v>1073.0899999999999</v>
      </c>
      <c r="V94" s="241"/>
      <c r="W94" s="247">
        <v>1502.1</v>
      </c>
      <c r="X94" s="241"/>
      <c r="Y94" s="247">
        <v>4193.3</v>
      </c>
      <c r="Z94" s="241"/>
      <c r="AA94" s="247">
        <v>906.41</v>
      </c>
      <c r="AB94" s="241"/>
      <c r="AC94" s="247">
        <v>1246.98</v>
      </c>
      <c r="AD94" s="241"/>
      <c r="AE94" s="247">
        <f t="shared" si="10"/>
        <v>17714.480000000003</v>
      </c>
      <c r="AF94" s="248">
        <f t="shared" si="11"/>
        <v>7.9322820240694341E-4</v>
      </c>
      <c r="AG94" s="249"/>
    </row>
    <row r="95" spans="1:33" outlineLevel="1">
      <c r="A95" s="244">
        <v>50115</v>
      </c>
      <c r="B95" s="244" t="s">
        <v>757</v>
      </c>
      <c r="C95" s="245"/>
      <c r="D95" s="246"/>
      <c r="E95" s="240"/>
      <c r="F95" s="241"/>
      <c r="G95" s="247">
        <v>3897.51</v>
      </c>
      <c r="H95" s="241"/>
      <c r="I95" s="247">
        <v>1178.72</v>
      </c>
      <c r="J95" s="241"/>
      <c r="K95" s="247">
        <v>3674.91</v>
      </c>
      <c r="L95" s="241"/>
      <c r="M95" s="247">
        <v>2673.3</v>
      </c>
      <c r="N95" s="241"/>
      <c r="O95" s="247">
        <v>2731.77</v>
      </c>
      <c r="P95" s="241"/>
      <c r="Q95" s="247">
        <v>2874.24</v>
      </c>
      <c r="R95" s="241"/>
      <c r="S95" s="247">
        <v>2893.42</v>
      </c>
      <c r="T95" s="241"/>
      <c r="U95" s="247">
        <v>2690.54</v>
      </c>
      <c r="V95" s="241"/>
      <c r="W95" s="247">
        <v>4104.33</v>
      </c>
      <c r="X95" s="241"/>
      <c r="Y95" s="247">
        <v>2686.2</v>
      </c>
      <c r="Z95" s="241"/>
      <c r="AA95" s="247">
        <v>2656.02</v>
      </c>
      <c r="AB95" s="241"/>
      <c r="AC95" s="247">
        <v>3148.57</v>
      </c>
      <c r="AD95" s="241"/>
      <c r="AE95" s="247">
        <f t="shared" si="10"/>
        <v>35209.53</v>
      </c>
      <c r="AF95" s="248">
        <f t="shared" si="11"/>
        <v>1.576630654102934E-3</v>
      </c>
      <c r="AG95" s="249"/>
    </row>
    <row r="96" spans="1:33" s="240" customFormat="1" ht="5.15" customHeight="1" outlineLevel="1">
      <c r="A96" s="245"/>
      <c r="B96" s="245"/>
      <c r="C96" s="245"/>
      <c r="D96" s="245"/>
      <c r="G96" s="255"/>
      <c r="H96" s="253"/>
      <c r="I96" s="255"/>
      <c r="J96" s="253"/>
      <c r="K96" s="255"/>
      <c r="L96" s="253"/>
      <c r="M96" s="255"/>
      <c r="N96" s="253"/>
      <c r="O96" s="255"/>
      <c r="P96" s="253"/>
      <c r="Q96" s="255"/>
      <c r="R96" s="253"/>
      <c r="S96" s="255"/>
      <c r="T96" s="253"/>
      <c r="U96" s="255"/>
      <c r="V96" s="253"/>
      <c r="W96" s="255"/>
      <c r="X96" s="253"/>
      <c r="Y96" s="255"/>
      <c r="Z96" s="253"/>
      <c r="AA96" s="255"/>
      <c r="AB96" s="253"/>
      <c r="AC96" s="255"/>
      <c r="AD96" s="253"/>
      <c r="AE96" s="255"/>
      <c r="AF96" s="243"/>
      <c r="AG96" s="222"/>
    </row>
    <row r="97" spans="1:33" s="240" customFormat="1" ht="15.5">
      <c r="C97" s="245" t="s">
        <v>758</v>
      </c>
      <c r="G97" s="252">
        <f>SUM(G83:G96)</f>
        <v>427516.4</v>
      </c>
      <c r="H97" s="253"/>
      <c r="I97" s="252">
        <f>SUM(I83:I96)</f>
        <v>93290.860000000015</v>
      </c>
      <c r="J97" s="253"/>
      <c r="K97" s="252">
        <f>SUM(K83:K96)</f>
        <v>268689.25</v>
      </c>
      <c r="L97" s="253"/>
      <c r="M97" s="252">
        <f>SUM(M83:M96)</f>
        <v>273491.32000000007</v>
      </c>
      <c r="N97" s="253"/>
      <c r="O97" s="252">
        <f>SUM(O83:O96)</f>
        <v>282877.53999999998</v>
      </c>
      <c r="P97" s="253"/>
      <c r="Q97" s="252">
        <f>SUM(Q83:Q96)</f>
        <v>285603.56</v>
      </c>
      <c r="R97" s="253"/>
      <c r="S97" s="252">
        <f>SUM(S83:S96)</f>
        <v>304038.39</v>
      </c>
      <c r="T97" s="253"/>
      <c r="U97" s="252">
        <f>SUM(U83:U96)</f>
        <v>272068.65000000002</v>
      </c>
      <c r="V97" s="253"/>
      <c r="W97" s="252">
        <f>SUM(W83:W96)</f>
        <v>287532.03000000003</v>
      </c>
      <c r="X97" s="253"/>
      <c r="Y97" s="252">
        <f>SUM(Y83:Y96)</f>
        <v>291428.86</v>
      </c>
      <c r="Z97" s="253"/>
      <c r="AA97" s="252">
        <f>SUM(AA83:AA96)</f>
        <v>266576.52</v>
      </c>
      <c r="AB97" s="253"/>
      <c r="AC97" s="252">
        <f>SUM(AC83:AC96)</f>
        <v>289436.87000000005</v>
      </c>
      <c r="AD97" s="253"/>
      <c r="AE97" s="252">
        <f>SUM(AE83:AE96)</f>
        <v>3342550.2500000009</v>
      </c>
      <c r="AF97" s="248">
        <f>IF(AE$50=0,0,AE97/AE$50)</f>
        <v>0.14967445424660389</v>
      </c>
      <c r="AG97" s="222"/>
    </row>
    <row r="98" spans="1:33" s="240" customFormat="1" ht="15.5" outlineLevel="1">
      <c r="G98" s="254"/>
      <c r="H98" s="253"/>
      <c r="I98" s="254"/>
      <c r="J98" s="253"/>
      <c r="K98" s="254"/>
      <c r="L98" s="253"/>
      <c r="M98" s="254"/>
      <c r="N98" s="253"/>
      <c r="O98" s="254"/>
      <c r="P98" s="253"/>
      <c r="Q98" s="254"/>
      <c r="R98" s="253"/>
      <c r="S98" s="254"/>
      <c r="T98" s="253"/>
      <c r="U98" s="254"/>
      <c r="V98" s="253"/>
      <c r="W98" s="254"/>
      <c r="X98" s="253"/>
      <c r="Y98" s="254"/>
      <c r="Z98" s="253"/>
      <c r="AA98" s="254"/>
      <c r="AB98" s="253"/>
      <c r="AC98" s="254"/>
      <c r="AD98" s="253"/>
      <c r="AE98" s="254"/>
      <c r="AF98" s="243"/>
      <c r="AG98" s="222"/>
    </row>
    <row r="99" spans="1:33" outlineLevel="1">
      <c r="A99" s="244">
        <v>51295</v>
      </c>
      <c r="B99" s="244" t="s">
        <v>759</v>
      </c>
      <c r="C99" s="245"/>
      <c r="D99" s="246"/>
      <c r="E99" s="240"/>
      <c r="F99" s="241"/>
      <c r="G99" s="247">
        <v>7035.06</v>
      </c>
      <c r="H99" s="241"/>
      <c r="I99" s="247">
        <v>6207.44</v>
      </c>
      <c r="J99" s="241"/>
      <c r="K99" s="247">
        <v>6599.75</v>
      </c>
      <c r="L99" s="241"/>
      <c r="M99" s="247">
        <v>6450.12</v>
      </c>
      <c r="N99" s="241"/>
      <c r="O99" s="247">
        <v>6897.08</v>
      </c>
      <c r="P99" s="241"/>
      <c r="Q99" s="247">
        <v>8403.7999999999993</v>
      </c>
      <c r="R99" s="241"/>
      <c r="S99" s="247">
        <v>6592.54</v>
      </c>
      <c r="T99" s="241"/>
      <c r="U99" s="247">
        <v>6784.26</v>
      </c>
      <c r="V99" s="241"/>
      <c r="W99" s="247">
        <v>6789.45</v>
      </c>
      <c r="X99" s="241"/>
      <c r="Y99" s="247">
        <v>6852.68</v>
      </c>
      <c r="Z99" s="241"/>
      <c r="AA99" s="247">
        <v>6799.88</v>
      </c>
      <c r="AB99" s="241"/>
      <c r="AC99" s="247">
        <v>6862.29</v>
      </c>
      <c r="AD99" s="241"/>
      <c r="AE99" s="247">
        <f>AC99+AA99+Y99+W99+U99+S99+Q99+O99+M99+K99+I99+G99</f>
        <v>82274.350000000006</v>
      </c>
      <c r="AF99" s="248">
        <f>IF(AE$50=0,0,AE99/AE$50)</f>
        <v>3.6841236522155716E-3</v>
      </c>
      <c r="AG99" s="249"/>
    </row>
    <row r="100" spans="1:33" s="240" customFormat="1" ht="5.15" customHeight="1" outlineLevel="1">
      <c r="A100" s="245"/>
      <c r="B100" s="245"/>
      <c r="C100" s="245"/>
      <c r="D100" s="245"/>
      <c r="G100" s="255"/>
      <c r="H100" s="253"/>
      <c r="I100" s="255"/>
      <c r="J100" s="253"/>
      <c r="K100" s="255"/>
      <c r="L100" s="253"/>
      <c r="M100" s="255"/>
      <c r="N100" s="253"/>
      <c r="O100" s="255"/>
      <c r="P100" s="253"/>
      <c r="Q100" s="255"/>
      <c r="R100" s="253"/>
      <c r="S100" s="255"/>
      <c r="T100" s="253"/>
      <c r="U100" s="255"/>
      <c r="V100" s="253"/>
      <c r="W100" s="255"/>
      <c r="X100" s="253"/>
      <c r="Y100" s="255"/>
      <c r="Z100" s="253"/>
      <c r="AA100" s="255"/>
      <c r="AB100" s="253"/>
      <c r="AC100" s="255"/>
      <c r="AD100" s="253"/>
      <c r="AE100" s="255"/>
      <c r="AF100" s="243"/>
      <c r="AG100" s="222"/>
    </row>
    <row r="101" spans="1:33" s="240" customFormat="1" ht="15.5">
      <c r="C101" s="245" t="s">
        <v>760</v>
      </c>
      <c r="G101" s="252">
        <f>SUM(G99:G100)</f>
        <v>7035.06</v>
      </c>
      <c r="H101" s="253"/>
      <c r="I101" s="252">
        <f>SUM(I99:I100)</f>
        <v>6207.44</v>
      </c>
      <c r="J101" s="253"/>
      <c r="K101" s="252">
        <f>SUM(K99:K100)</f>
        <v>6599.75</v>
      </c>
      <c r="L101" s="253"/>
      <c r="M101" s="252">
        <f>SUM(M99:M100)</f>
        <v>6450.12</v>
      </c>
      <c r="N101" s="253"/>
      <c r="O101" s="252">
        <f>SUM(O99:O100)</f>
        <v>6897.08</v>
      </c>
      <c r="P101" s="253"/>
      <c r="Q101" s="252">
        <f>SUM(Q99:Q100)</f>
        <v>8403.7999999999993</v>
      </c>
      <c r="R101" s="253"/>
      <c r="S101" s="252">
        <f>SUM(S99:S100)</f>
        <v>6592.54</v>
      </c>
      <c r="T101" s="253"/>
      <c r="U101" s="252">
        <f>SUM(U99:U100)</f>
        <v>6784.26</v>
      </c>
      <c r="V101" s="253"/>
      <c r="W101" s="252">
        <f>SUM(W99:W100)</f>
        <v>6789.45</v>
      </c>
      <c r="X101" s="253"/>
      <c r="Y101" s="252">
        <f>SUM(Y99:Y100)</f>
        <v>6852.68</v>
      </c>
      <c r="Z101" s="253"/>
      <c r="AA101" s="252">
        <f>SUM(AA99:AA100)</f>
        <v>6799.88</v>
      </c>
      <c r="AB101" s="253"/>
      <c r="AC101" s="252">
        <f>SUM(AC99:AC100)</f>
        <v>6862.29</v>
      </c>
      <c r="AD101" s="253"/>
      <c r="AE101" s="252">
        <f>SUM(AE99:AE100)</f>
        <v>82274.350000000006</v>
      </c>
      <c r="AF101" s="248">
        <f>IF(AE$50=0,0,AE101/AE$50)</f>
        <v>3.6841236522155716E-3</v>
      </c>
      <c r="AG101" s="222"/>
    </row>
    <row r="102" spans="1:33" s="240" customFormat="1" ht="15.5" outlineLevel="1">
      <c r="G102" s="254"/>
      <c r="H102" s="253"/>
      <c r="I102" s="254"/>
      <c r="J102" s="253"/>
      <c r="K102" s="254"/>
      <c r="L102" s="253"/>
      <c r="M102" s="254"/>
      <c r="N102" s="253"/>
      <c r="O102" s="254"/>
      <c r="P102" s="253"/>
      <c r="Q102" s="254"/>
      <c r="R102" s="253"/>
      <c r="S102" s="254"/>
      <c r="T102" s="253"/>
      <c r="U102" s="254"/>
      <c r="V102" s="253"/>
      <c r="W102" s="254"/>
      <c r="X102" s="253"/>
      <c r="Y102" s="254"/>
      <c r="Z102" s="253"/>
      <c r="AA102" s="254"/>
      <c r="AB102" s="253"/>
      <c r="AC102" s="254"/>
      <c r="AD102" s="253"/>
      <c r="AE102" s="254"/>
      <c r="AF102" s="243"/>
      <c r="AG102" s="222"/>
    </row>
    <row r="103" spans="1:33" s="240" customFormat="1" ht="15.5" outlineLevel="1">
      <c r="G103" s="254"/>
      <c r="H103" s="253"/>
      <c r="I103" s="254"/>
      <c r="J103" s="253"/>
      <c r="K103" s="254"/>
      <c r="L103" s="253"/>
      <c r="M103" s="254"/>
      <c r="N103" s="253"/>
      <c r="O103" s="254"/>
      <c r="P103" s="253"/>
      <c r="Q103" s="254"/>
      <c r="R103" s="253"/>
      <c r="S103" s="254"/>
      <c r="T103" s="253"/>
      <c r="U103" s="254"/>
      <c r="V103" s="253"/>
      <c r="W103" s="254"/>
      <c r="X103" s="253"/>
      <c r="Y103" s="254"/>
      <c r="Z103" s="253"/>
      <c r="AA103" s="254"/>
      <c r="AB103" s="253"/>
      <c r="AC103" s="254"/>
      <c r="AD103" s="253"/>
      <c r="AE103" s="254"/>
      <c r="AF103" s="243"/>
      <c r="AG103" s="222"/>
    </row>
    <row r="104" spans="1:33" outlineLevel="1">
      <c r="A104" s="244">
        <v>52010</v>
      </c>
      <c r="B104" s="244" t="s">
        <v>761</v>
      </c>
      <c r="C104" s="245"/>
      <c r="D104" s="246"/>
      <c r="E104" s="240"/>
      <c r="F104" s="241"/>
      <c r="G104" s="247">
        <v>6710.68</v>
      </c>
      <c r="H104" s="241"/>
      <c r="I104" s="247">
        <v>-1395.98</v>
      </c>
      <c r="J104" s="241"/>
      <c r="K104" s="247">
        <v>2838.46</v>
      </c>
      <c r="L104" s="241"/>
      <c r="M104" s="247">
        <v>2838.46</v>
      </c>
      <c r="N104" s="241"/>
      <c r="O104" s="247">
        <v>2838.46</v>
      </c>
      <c r="P104" s="241"/>
      <c r="Q104" s="247">
        <v>4257.68</v>
      </c>
      <c r="R104" s="241"/>
      <c r="S104" s="247">
        <v>2838.46</v>
      </c>
      <c r="T104" s="241"/>
      <c r="U104" s="247">
        <v>2541.85</v>
      </c>
      <c r="V104" s="241"/>
      <c r="W104" s="247">
        <v>2795.89</v>
      </c>
      <c r="X104" s="241"/>
      <c r="Y104" s="247">
        <v>2727.76</v>
      </c>
      <c r="Z104" s="241"/>
      <c r="AA104" s="247">
        <v>2609.98</v>
      </c>
      <c r="AB104" s="241"/>
      <c r="AC104" s="247">
        <v>2845.56</v>
      </c>
      <c r="AD104" s="241"/>
      <c r="AE104" s="247">
        <f t="shared" ref="AE104:AE131" si="12">AC104+AA104+Y104+W104+U104+S104+Q104+O104+M104+K104+I104+G104</f>
        <v>34447.259999999995</v>
      </c>
      <c r="AF104" s="248">
        <f t="shared" ref="AF104:AF131" si="13">IF(AE$50=0,0,AE104/AE$50)</f>
        <v>1.54249733142856E-3</v>
      </c>
      <c r="AG104" s="249"/>
    </row>
    <row r="105" spans="1:33" outlineLevel="1">
      <c r="A105" s="244">
        <v>52020</v>
      </c>
      <c r="B105" s="244" t="s">
        <v>746</v>
      </c>
      <c r="C105" s="245"/>
      <c r="D105" s="246"/>
      <c r="E105" s="240"/>
      <c r="F105" s="241"/>
      <c r="G105" s="247">
        <v>49076.88</v>
      </c>
      <c r="H105" s="241"/>
      <c r="I105" s="247">
        <v>6289.99</v>
      </c>
      <c r="J105" s="241"/>
      <c r="K105" s="247">
        <v>30865.58</v>
      </c>
      <c r="L105" s="241"/>
      <c r="M105" s="247">
        <v>31830.14</v>
      </c>
      <c r="N105" s="241"/>
      <c r="O105" s="247">
        <v>29472.55</v>
      </c>
      <c r="P105" s="241"/>
      <c r="Q105" s="247">
        <v>34389.94</v>
      </c>
      <c r="R105" s="241"/>
      <c r="S105" s="247">
        <v>35321.85</v>
      </c>
      <c r="T105" s="241"/>
      <c r="U105" s="247">
        <v>31058.29</v>
      </c>
      <c r="V105" s="241"/>
      <c r="W105" s="247">
        <v>35710.58</v>
      </c>
      <c r="X105" s="241"/>
      <c r="Y105" s="247">
        <v>31828.560000000001</v>
      </c>
      <c r="Z105" s="241"/>
      <c r="AA105" s="247">
        <v>32020.09</v>
      </c>
      <c r="AB105" s="241"/>
      <c r="AC105" s="247">
        <v>36707.49</v>
      </c>
      <c r="AD105" s="241"/>
      <c r="AE105" s="247">
        <f t="shared" si="12"/>
        <v>384571.94000000006</v>
      </c>
      <c r="AF105" s="248">
        <f t="shared" si="13"/>
        <v>1.7220562424770634E-2</v>
      </c>
      <c r="AG105" s="249"/>
    </row>
    <row r="106" spans="1:33" outlineLevel="1">
      <c r="A106" s="244">
        <v>52025</v>
      </c>
      <c r="B106" s="244" t="s">
        <v>747</v>
      </c>
      <c r="C106" s="245"/>
      <c r="D106" s="246"/>
      <c r="E106" s="240"/>
      <c r="F106" s="241"/>
      <c r="G106" s="247">
        <v>17612.87</v>
      </c>
      <c r="H106" s="241"/>
      <c r="I106" s="247">
        <v>486.9</v>
      </c>
      <c r="J106" s="241"/>
      <c r="K106" s="247">
        <v>8152.27</v>
      </c>
      <c r="L106" s="241"/>
      <c r="M106" s="247">
        <v>8011.1</v>
      </c>
      <c r="N106" s="241"/>
      <c r="O106" s="247">
        <v>12723.23</v>
      </c>
      <c r="P106" s="241"/>
      <c r="Q106" s="247">
        <v>7484.78</v>
      </c>
      <c r="R106" s="241"/>
      <c r="S106" s="247">
        <v>9631.59</v>
      </c>
      <c r="T106" s="241"/>
      <c r="U106" s="247">
        <v>10130.65</v>
      </c>
      <c r="V106" s="241"/>
      <c r="W106" s="247">
        <v>8583.35</v>
      </c>
      <c r="X106" s="241"/>
      <c r="Y106" s="247">
        <v>9120.35</v>
      </c>
      <c r="Z106" s="241"/>
      <c r="AA106" s="247">
        <v>8087.77</v>
      </c>
      <c r="AB106" s="241"/>
      <c r="AC106" s="247">
        <v>8439.77</v>
      </c>
      <c r="AD106" s="241"/>
      <c r="AE106" s="247">
        <f t="shared" si="12"/>
        <v>108464.62999999999</v>
      </c>
      <c r="AF106" s="248">
        <f t="shared" si="13"/>
        <v>4.8568856370401056E-3</v>
      </c>
      <c r="AG106" s="249"/>
    </row>
    <row r="107" spans="1:33" outlineLevel="1">
      <c r="A107" s="244">
        <v>52035</v>
      </c>
      <c r="B107" s="244" t="s">
        <v>748</v>
      </c>
      <c r="C107" s="245"/>
      <c r="D107" s="246"/>
      <c r="E107" s="240"/>
      <c r="F107" s="241"/>
      <c r="G107" s="247">
        <v>489.92</v>
      </c>
      <c r="H107" s="241"/>
      <c r="I107" s="247">
        <v>3.86</v>
      </c>
      <c r="J107" s="241"/>
      <c r="K107" s="247">
        <v>246.89</v>
      </c>
      <c r="L107" s="241"/>
      <c r="M107" s="247">
        <v>246.89</v>
      </c>
      <c r="N107" s="241"/>
      <c r="O107" s="247">
        <v>246.89</v>
      </c>
      <c r="P107" s="241"/>
      <c r="Q107" s="247">
        <v>246.89</v>
      </c>
      <c r="R107" s="241"/>
      <c r="S107" s="247">
        <v>246.89</v>
      </c>
      <c r="T107" s="241"/>
      <c r="U107" s="247">
        <v>246.89</v>
      </c>
      <c r="V107" s="241"/>
      <c r="W107" s="247">
        <v>246.89</v>
      </c>
      <c r="X107" s="241"/>
      <c r="Y107" s="247">
        <v>246.9</v>
      </c>
      <c r="Z107" s="241"/>
      <c r="AA107" s="247">
        <v>306.54000000000002</v>
      </c>
      <c r="AB107" s="241"/>
      <c r="AC107" s="247">
        <v>306.55</v>
      </c>
      <c r="AD107" s="241"/>
      <c r="AE107" s="247">
        <f t="shared" si="12"/>
        <v>3081.9999999999995</v>
      </c>
      <c r="AF107" s="248">
        <f t="shared" si="13"/>
        <v>1.3800739958599965E-4</v>
      </c>
      <c r="AG107" s="249"/>
    </row>
    <row r="108" spans="1:33" outlineLevel="1">
      <c r="A108" s="244">
        <v>52036</v>
      </c>
      <c r="B108" s="244" t="s">
        <v>749</v>
      </c>
      <c r="C108" s="245"/>
      <c r="D108" s="246"/>
      <c r="E108" s="240"/>
      <c r="F108" s="241"/>
      <c r="G108" s="247">
        <v>0</v>
      </c>
      <c r="H108" s="241"/>
      <c r="I108" s="247">
        <v>0</v>
      </c>
      <c r="J108" s="241"/>
      <c r="K108" s="247">
        <v>295</v>
      </c>
      <c r="L108" s="241"/>
      <c r="M108" s="247">
        <v>15</v>
      </c>
      <c r="N108" s="241"/>
      <c r="O108" s="247">
        <v>100</v>
      </c>
      <c r="P108" s="241"/>
      <c r="Q108" s="247">
        <v>75</v>
      </c>
      <c r="R108" s="241"/>
      <c r="S108" s="247">
        <v>0</v>
      </c>
      <c r="T108" s="241"/>
      <c r="U108" s="247">
        <v>0</v>
      </c>
      <c r="V108" s="241"/>
      <c r="W108" s="247">
        <v>40</v>
      </c>
      <c r="X108" s="241"/>
      <c r="Y108" s="247">
        <v>0</v>
      </c>
      <c r="Z108" s="241"/>
      <c r="AA108" s="247">
        <v>0</v>
      </c>
      <c r="AB108" s="241"/>
      <c r="AC108" s="247">
        <v>0</v>
      </c>
      <c r="AD108" s="241"/>
      <c r="AE108" s="247">
        <f t="shared" si="12"/>
        <v>525</v>
      </c>
      <c r="AF108" s="248">
        <f t="shared" si="13"/>
        <v>2.3508723161145301E-5</v>
      </c>
      <c r="AG108" s="249"/>
    </row>
    <row r="109" spans="1:33" outlineLevel="1">
      <c r="A109" s="244">
        <v>52045</v>
      </c>
      <c r="B109" s="244" t="s">
        <v>750</v>
      </c>
      <c r="C109" s="245"/>
      <c r="D109" s="246"/>
      <c r="E109" s="240"/>
      <c r="F109" s="241"/>
      <c r="G109" s="247">
        <v>2467.64</v>
      </c>
      <c r="H109" s="241"/>
      <c r="I109" s="247">
        <v>-864.54</v>
      </c>
      <c r="J109" s="241"/>
      <c r="K109" s="247">
        <v>930.63</v>
      </c>
      <c r="L109" s="241"/>
      <c r="M109" s="247">
        <v>1050.8800000000001</v>
      </c>
      <c r="N109" s="241"/>
      <c r="O109" s="247">
        <v>582.12</v>
      </c>
      <c r="P109" s="241"/>
      <c r="Q109" s="247">
        <v>684.41</v>
      </c>
      <c r="R109" s="241"/>
      <c r="S109" s="247">
        <v>2359.41</v>
      </c>
      <c r="T109" s="241"/>
      <c r="U109" s="247">
        <v>1371.47</v>
      </c>
      <c r="V109" s="241"/>
      <c r="W109" s="247">
        <v>2003.23</v>
      </c>
      <c r="X109" s="241"/>
      <c r="Y109" s="247">
        <v>4378.28</v>
      </c>
      <c r="Z109" s="241"/>
      <c r="AA109" s="247">
        <v>2960.38</v>
      </c>
      <c r="AB109" s="241"/>
      <c r="AC109" s="247">
        <v>3153.14</v>
      </c>
      <c r="AD109" s="241"/>
      <c r="AE109" s="247">
        <f t="shared" si="12"/>
        <v>21077.05</v>
      </c>
      <c r="AF109" s="248">
        <f t="shared" si="13"/>
        <v>9.4379911143546203E-4</v>
      </c>
      <c r="AG109" s="249"/>
    </row>
    <row r="110" spans="1:33" outlineLevel="1">
      <c r="A110" s="244">
        <v>52050</v>
      </c>
      <c r="B110" s="244" t="s">
        <v>751</v>
      </c>
      <c r="C110" s="245"/>
      <c r="D110" s="246"/>
      <c r="E110" s="240"/>
      <c r="F110" s="241"/>
      <c r="G110" s="247">
        <v>6826.79</v>
      </c>
      <c r="H110" s="241"/>
      <c r="I110" s="247">
        <v>1036.1400000000001</v>
      </c>
      <c r="J110" s="241"/>
      <c r="K110" s="247">
        <v>3784.34</v>
      </c>
      <c r="L110" s="241"/>
      <c r="M110" s="247">
        <v>4088.17</v>
      </c>
      <c r="N110" s="241"/>
      <c r="O110" s="247">
        <v>4295.8</v>
      </c>
      <c r="P110" s="241"/>
      <c r="Q110" s="247">
        <v>4576.37</v>
      </c>
      <c r="R110" s="241"/>
      <c r="S110" s="247">
        <v>4501.28</v>
      </c>
      <c r="T110" s="241"/>
      <c r="U110" s="247">
        <v>3735.1</v>
      </c>
      <c r="V110" s="241"/>
      <c r="W110" s="247">
        <v>3963.48</v>
      </c>
      <c r="X110" s="241"/>
      <c r="Y110" s="247">
        <v>3589.43</v>
      </c>
      <c r="Z110" s="241"/>
      <c r="AA110" s="247">
        <v>3363.73</v>
      </c>
      <c r="AB110" s="241"/>
      <c r="AC110" s="247">
        <v>3965.01</v>
      </c>
      <c r="AD110" s="241"/>
      <c r="AE110" s="247">
        <f t="shared" si="12"/>
        <v>47725.639999999992</v>
      </c>
      <c r="AF110" s="248">
        <f t="shared" si="13"/>
        <v>2.1370835399018716E-3</v>
      </c>
      <c r="AG110" s="249"/>
    </row>
    <row r="111" spans="1:33" outlineLevel="1">
      <c r="A111" s="244">
        <v>52060</v>
      </c>
      <c r="B111" s="244" t="s">
        <v>752</v>
      </c>
      <c r="C111" s="245"/>
      <c r="D111" s="246"/>
      <c r="E111" s="240"/>
      <c r="F111" s="241"/>
      <c r="G111" s="247">
        <v>14075.4</v>
      </c>
      <c r="H111" s="241"/>
      <c r="I111" s="247">
        <v>-1857.85</v>
      </c>
      <c r="J111" s="241"/>
      <c r="K111" s="247">
        <v>5884.87</v>
      </c>
      <c r="L111" s="241"/>
      <c r="M111" s="247">
        <v>6579.73</v>
      </c>
      <c r="N111" s="241"/>
      <c r="O111" s="247">
        <v>6535.02</v>
      </c>
      <c r="P111" s="241"/>
      <c r="Q111" s="247">
        <v>6401.48</v>
      </c>
      <c r="R111" s="241"/>
      <c r="S111" s="247">
        <v>6401.49</v>
      </c>
      <c r="T111" s="241"/>
      <c r="U111" s="247">
        <v>6390.59</v>
      </c>
      <c r="V111" s="241"/>
      <c r="W111" s="247">
        <v>6225.59</v>
      </c>
      <c r="X111" s="241"/>
      <c r="Y111" s="247">
        <v>6708</v>
      </c>
      <c r="Z111" s="241"/>
      <c r="AA111" s="247">
        <v>6665.14</v>
      </c>
      <c r="AB111" s="241"/>
      <c r="AC111" s="247">
        <v>6950.57</v>
      </c>
      <c r="AD111" s="241"/>
      <c r="AE111" s="247">
        <f t="shared" si="12"/>
        <v>76960.03</v>
      </c>
      <c r="AF111" s="248">
        <f t="shared" si="13"/>
        <v>3.4461562661779756E-3</v>
      </c>
      <c r="AG111" s="249"/>
    </row>
    <row r="112" spans="1:33" outlineLevel="1">
      <c r="A112" s="244">
        <v>52065</v>
      </c>
      <c r="B112" s="244" t="s">
        <v>753</v>
      </c>
      <c r="C112" s="245"/>
      <c r="D112" s="246"/>
      <c r="E112" s="240"/>
      <c r="F112" s="241"/>
      <c r="G112" s="247">
        <v>4107.2</v>
      </c>
      <c r="H112" s="241"/>
      <c r="I112" s="247">
        <v>-1320.39</v>
      </c>
      <c r="J112" s="241"/>
      <c r="K112" s="247">
        <v>1996.4</v>
      </c>
      <c r="L112" s="241"/>
      <c r="M112" s="247">
        <v>1855.22</v>
      </c>
      <c r="N112" s="241"/>
      <c r="O112" s="247">
        <v>1951.41</v>
      </c>
      <c r="P112" s="241"/>
      <c r="Q112" s="247">
        <v>2346.9</v>
      </c>
      <c r="R112" s="241"/>
      <c r="S112" s="247">
        <v>2091.81</v>
      </c>
      <c r="T112" s="241"/>
      <c r="U112" s="247">
        <v>2103.11</v>
      </c>
      <c r="V112" s="241"/>
      <c r="W112" s="247">
        <v>1844.29</v>
      </c>
      <c r="X112" s="241"/>
      <c r="Y112" s="247">
        <v>1918.92</v>
      </c>
      <c r="Z112" s="241"/>
      <c r="AA112" s="247">
        <v>2182.16</v>
      </c>
      <c r="AB112" s="241"/>
      <c r="AC112" s="247">
        <v>1946.37</v>
      </c>
      <c r="AD112" s="241"/>
      <c r="AE112" s="247">
        <f t="shared" si="12"/>
        <v>23023.400000000005</v>
      </c>
      <c r="AF112" s="248">
        <f t="shared" si="13"/>
        <v>1.0309537844348817E-3</v>
      </c>
      <c r="AG112" s="249"/>
    </row>
    <row r="113" spans="1:33" outlineLevel="1">
      <c r="A113" s="244">
        <v>52070</v>
      </c>
      <c r="B113" s="244" t="s">
        <v>754</v>
      </c>
      <c r="C113" s="245"/>
      <c r="D113" s="246"/>
      <c r="E113" s="240"/>
      <c r="F113" s="241"/>
      <c r="G113" s="247">
        <v>191.84</v>
      </c>
      <c r="H113" s="241"/>
      <c r="I113" s="247">
        <v>87.77</v>
      </c>
      <c r="J113" s="241"/>
      <c r="K113" s="247">
        <v>638.66999999999996</v>
      </c>
      <c r="L113" s="241"/>
      <c r="M113" s="247">
        <v>213.78</v>
      </c>
      <c r="N113" s="241"/>
      <c r="O113" s="247">
        <v>293.45</v>
      </c>
      <c r="P113" s="241"/>
      <c r="Q113" s="247">
        <v>112.71</v>
      </c>
      <c r="R113" s="241"/>
      <c r="S113" s="247">
        <v>17.329999999999998</v>
      </c>
      <c r="T113" s="241"/>
      <c r="U113" s="247">
        <v>263.87</v>
      </c>
      <c r="V113" s="241"/>
      <c r="W113" s="247">
        <v>174.45</v>
      </c>
      <c r="X113" s="241"/>
      <c r="Y113" s="247">
        <v>758.84</v>
      </c>
      <c r="Z113" s="241"/>
      <c r="AA113" s="247">
        <v>140.6</v>
      </c>
      <c r="AB113" s="241"/>
      <c r="AC113" s="247">
        <v>156.01</v>
      </c>
      <c r="AD113" s="241"/>
      <c r="AE113" s="247">
        <f t="shared" si="12"/>
        <v>3049.32</v>
      </c>
      <c r="AF113" s="248">
        <f t="shared" si="13"/>
        <v>1.3654403754236876E-4</v>
      </c>
      <c r="AG113" s="249"/>
    </row>
    <row r="114" spans="1:33" outlineLevel="1">
      <c r="A114" s="244">
        <v>52086</v>
      </c>
      <c r="B114" s="244" t="s">
        <v>755</v>
      </c>
      <c r="C114" s="245"/>
      <c r="D114" s="246"/>
      <c r="E114" s="240"/>
      <c r="F114" s="241"/>
      <c r="G114" s="247">
        <v>112.8</v>
      </c>
      <c r="H114" s="241"/>
      <c r="I114" s="247">
        <v>1298.8800000000001</v>
      </c>
      <c r="J114" s="241"/>
      <c r="K114" s="247">
        <v>0</v>
      </c>
      <c r="L114" s="241"/>
      <c r="M114" s="247">
        <v>237.17</v>
      </c>
      <c r="N114" s="241"/>
      <c r="O114" s="247">
        <v>514.63</v>
      </c>
      <c r="P114" s="241"/>
      <c r="Q114" s="247">
        <v>292.95</v>
      </c>
      <c r="R114" s="241"/>
      <c r="S114" s="247">
        <v>168</v>
      </c>
      <c r="T114" s="241"/>
      <c r="U114" s="247">
        <v>354.65</v>
      </c>
      <c r="V114" s="241"/>
      <c r="W114" s="247">
        <v>331.76</v>
      </c>
      <c r="X114" s="241"/>
      <c r="Y114" s="247">
        <v>0</v>
      </c>
      <c r="Z114" s="241"/>
      <c r="AA114" s="247">
        <v>290.86</v>
      </c>
      <c r="AB114" s="241"/>
      <c r="AC114" s="247">
        <v>4406.33</v>
      </c>
      <c r="AD114" s="241"/>
      <c r="AE114" s="247">
        <f t="shared" si="12"/>
        <v>8008.03</v>
      </c>
      <c r="AF114" s="248">
        <f t="shared" si="13"/>
        <v>3.5858773397361219E-4</v>
      </c>
      <c r="AG114" s="249"/>
    </row>
    <row r="115" spans="1:33" outlineLevel="1">
      <c r="A115" s="244">
        <v>52090</v>
      </c>
      <c r="B115" s="244" t="s">
        <v>756</v>
      </c>
      <c r="C115" s="245"/>
      <c r="D115" s="246"/>
      <c r="E115" s="240"/>
      <c r="F115" s="241"/>
      <c r="G115" s="247">
        <v>1417.86</v>
      </c>
      <c r="H115" s="241"/>
      <c r="I115" s="247">
        <v>-351.38</v>
      </c>
      <c r="J115" s="241"/>
      <c r="K115" s="247">
        <v>514.92999999999995</v>
      </c>
      <c r="L115" s="241"/>
      <c r="M115" s="247">
        <v>672.03</v>
      </c>
      <c r="N115" s="241"/>
      <c r="O115" s="247">
        <v>534.51</v>
      </c>
      <c r="P115" s="241"/>
      <c r="Q115" s="247">
        <v>536.6</v>
      </c>
      <c r="R115" s="241"/>
      <c r="S115" s="247">
        <v>666.51</v>
      </c>
      <c r="T115" s="241"/>
      <c r="U115" s="247">
        <v>620.66999999999996</v>
      </c>
      <c r="V115" s="241"/>
      <c r="W115" s="247">
        <v>745.28</v>
      </c>
      <c r="X115" s="241"/>
      <c r="Y115" s="247">
        <v>1107.6099999999999</v>
      </c>
      <c r="Z115" s="241"/>
      <c r="AA115" s="247">
        <v>2121.9899999999998</v>
      </c>
      <c r="AB115" s="241"/>
      <c r="AC115" s="247">
        <v>744.2</v>
      </c>
      <c r="AD115" s="241"/>
      <c r="AE115" s="247">
        <f t="shared" si="12"/>
        <v>9330.81</v>
      </c>
      <c r="AF115" s="248">
        <f t="shared" si="13"/>
        <v>4.1781986506523081E-4</v>
      </c>
      <c r="AG115" s="249"/>
    </row>
    <row r="116" spans="1:33" outlineLevel="1">
      <c r="A116" s="244">
        <v>52115</v>
      </c>
      <c r="B116" s="244" t="s">
        <v>757</v>
      </c>
      <c r="C116" s="245"/>
      <c r="D116" s="246"/>
      <c r="E116" s="240"/>
      <c r="F116" s="241"/>
      <c r="G116" s="247">
        <v>592.35</v>
      </c>
      <c r="H116" s="241"/>
      <c r="I116" s="247">
        <v>-39.24</v>
      </c>
      <c r="J116" s="241"/>
      <c r="K116" s="247">
        <v>870.95</v>
      </c>
      <c r="L116" s="241"/>
      <c r="M116" s="247">
        <v>555.96</v>
      </c>
      <c r="N116" s="241"/>
      <c r="O116" s="247">
        <v>564.03</v>
      </c>
      <c r="P116" s="241"/>
      <c r="Q116" s="247">
        <v>591.69000000000005</v>
      </c>
      <c r="R116" s="241"/>
      <c r="S116" s="247">
        <v>711.72</v>
      </c>
      <c r="T116" s="241"/>
      <c r="U116" s="247">
        <v>635.35</v>
      </c>
      <c r="V116" s="241"/>
      <c r="W116" s="247">
        <v>971.5</v>
      </c>
      <c r="X116" s="241"/>
      <c r="Y116" s="247">
        <v>594.67999999999995</v>
      </c>
      <c r="Z116" s="241"/>
      <c r="AA116" s="247">
        <v>604.94000000000005</v>
      </c>
      <c r="AB116" s="241"/>
      <c r="AC116" s="247">
        <v>745.11</v>
      </c>
      <c r="AD116" s="241"/>
      <c r="AE116" s="247">
        <f t="shared" si="12"/>
        <v>7399.04</v>
      </c>
      <c r="AF116" s="248">
        <f t="shared" si="13"/>
        <v>3.3131806289188673E-4</v>
      </c>
      <c r="AG116" s="249"/>
    </row>
    <row r="117" spans="1:33" outlineLevel="1">
      <c r="A117" s="244">
        <v>52120</v>
      </c>
      <c r="B117" s="244" t="s">
        <v>762</v>
      </c>
      <c r="C117" s="245"/>
      <c r="D117" s="246"/>
      <c r="E117" s="240"/>
      <c r="F117" s="241"/>
      <c r="G117" s="247">
        <v>46312.83</v>
      </c>
      <c r="H117" s="241"/>
      <c r="I117" s="247">
        <v>13427.13</v>
      </c>
      <c r="J117" s="241"/>
      <c r="K117" s="247">
        <v>27504.46</v>
      </c>
      <c r="L117" s="241"/>
      <c r="M117" s="247">
        <v>33253.96</v>
      </c>
      <c r="N117" s="241"/>
      <c r="O117" s="247">
        <v>55511.29</v>
      </c>
      <c r="P117" s="241"/>
      <c r="Q117" s="247">
        <v>57055.76</v>
      </c>
      <c r="R117" s="241"/>
      <c r="S117" s="247">
        <v>49406.31</v>
      </c>
      <c r="T117" s="241"/>
      <c r="U117" s="247">
        <v>45985.279999999999</v>
      </c>
      <c r="V117" s="241"/>
      <c r="W117" s="247">
        <v>24565.46</v>
      </c>
      <c r="X117" s="241"/>
      <c r="Y117" s="247">
        <v>64265.45</v>
      </c>
      <c r="Z117" s="241"/>
      <c r="AA117" s="247">
        <v>36556.370000000003</v>
      </c>
      <c r="AB117" s="241"/>
      <c r="AC117" s="247">
        <v>52968.69</v>
      </c>
      <c r="AD117" s="241"/>
      <c r="AE117" s="247">
        <f t="shared" si="12"/>
        <v>506812.99000000005</v>
      </c>
      <c r="AF117" s="248">
        <f t="shared" si="13"/>
        <v>2.2694335764537721E-2</v>
      </c>
      <c r="AG117" s="249"/>
    </row>
    <row r="118" spans="1:33" outlineLevel="1">
      <c r="A118" s="244">
        <v>52125</v>
      </c>
      <c r="B118" s="244" t="s">
        <v>763</v>
      </c>
      <c r="C118" s="245"/>
      <c r="D118" s="246"/>
      <c r="E118" s="240"/>
      <c r="F118" s="241"/>
      <c r="G118" s="247">
        <v>5856.6</v>
      </c>
      <c r="H118" s="241"/>
      <c r="I118" s="247">
        <v>2047.53</v>
      </c>
      <c r="J118" s="241"/>
      <c r="K118" s="247">
        <v>4681.3100000000004</v>
      </c>
      <c r="L118" s="241"/>
      <c r="M118" s="247">
        <v>6769.13</v>
      </c>
      <c r="N118" s="241"/>
      <c r="O118" s="247">
        <v>5224.78</v>
      </c>
      <c r="P118" s="241"/>
      <c r="Q118" s="247">
        <v>5896.74</v>
      </c>
      <c r="R118" s="241"/>
      <c r="S118" s="247">
        <v>12889.89</v>
      </c>
      <c r="T118" s="241"/>
      <c r="U118" s="247">
        <v>4724.6000000000004</v>
      </c>
      <c r="V118" s="241"/>
      <c r="W118" s="247">
        <v>7117.51</v>
      </c>
      <c r="X118" s="241"/>
      <c r="Y118" s="247">
        <v>6588.31</v>
      </c>
      <c r="Z118" s="241"/>
      <c r="AA118" s="247">
        <v>4089.64</v>
      </c>
      <c r="AB118" s="241"/>
      <c r="AC118" s="247">
        <v>3500.76</v>
      </c>
      <c r="AD118" s="241"/>
      <c r="AE118" s="247">
        <f t="shared" si="12"/>
        <v>69386.799999999988</v>
      </c>
      <c r="AF118" s="248">
        <f t="shared" si="13"/>
        <v>3.107038232833822E-3</v>
      </c>
      <c r="AG118" s="249"/>
    </row>
    <row r="119" spans="1:33" outlineLevel="1">
      <c r="A119" s="244">
        <v>52135</v>
      </c>
      <c r="B119" s="244" t="s">
        <v>764</v>
      </c>
      <c r="C119" s="245"/>
      <c r="D119" s="246"/>
      <c r="E119" s="240"/>
      <c r="F119" s="241"/>
      <c r="G119" s="247">
        <v>5196.2700000000004</v>
      </c>
      <c r="H119" s="241"/>
      <c r="I119" s="247">
        <v>-2467.3200000000002</v>
      </c>
      <c r="J119" s="241"/>
      <c r="K119" s="247">
        <v>6362.69</v>
      </c>
      <c r="L119" s="241"/>
      <c r="M119" s="247">
        <v>3409.46</v>
      </c>
      <c r="N119" s="241"/>
      <c r="O119" s="247">
        <v>1925.48</v>
      </c>
      <c r="P119" s="241"/>
      <c r="Q119" s="247">
        <v>6179.72</v>
      </c>
      <c r="R119" s="241"/>
      <c r="S119" s="247">
        <v>4563.25</v>
      </c>
      <c r="T119" s="241"/>
      <c r="U119" s="247">
        <v>3801.92</v>
      </c>
      <c r="V119" s="241"/>
      <c r="W119" s="247">
        <v>1804.88</v>
      </c>
      <c r="X119" s="241"/>
      <c r="Y119" s="247">
        <v>1734.79</v>
      </c>
      <c r="Z119" s="241"/>
      <c r="AA119" s="247">
        <v>3398.86</v>
      </c>
      <c r="AB119" s="241"/>
      <c r="AC119" s="247">
        <v>2273.79</v>
      </c>
      <c r="AD119" s="241"/>
      <c r="AE119" s="247">
        <f t="shared" si="12"/>
        <v>38183.789999999994</v>
      </c>
      <c r="AF119" s="248">
        <f t="shared" si="13"/>
        <v>1.7098136159110634E-3</v>
      </c>
      <c r="AG119" s="249"/>
    </row>
    <row r="120" spans="1:33" outlineLevel="1">
      <c r="A120" s="244">
        <v>52140</v>
      </c>
      <c r="B120" s="244" t="s">
        <v>765</v>
      </c>
      <c r="C120" s="245"/>
      <c r="D120" s="246"/>
      <c r="E120" s="240"/>
      <c r="F120" s="241"/>
      <c r="G120" s="247">
        <v>23897.91</v>
      </c>
      <c r="H120" s="241"/>
      <c r="I120" s="247">
        <v>-4579.3500000000004</v>
      </c>
      <c r="J120" s="241"/>
      <c r="K120" s="247">
        <v>10361.14</v>
      </c>
      <c r="L120" s="241"/>
      <c r="M120" s="247">
        <v>17454.79</v>
      </c>
      <c r="N120" s="241"/>
      <c r="O120" s="247">
        <v>9678.59</v>
      </c>
      <c r="P120" s="241"/>
      <c r="Q120" s="247">
        <v>2666.85</v>
      </c>
      <c r="R120" s="241"/>
      <c r="S120" s="247">
        <v>18710.61</v>
      </c>
      <c r="T120" s="241"/>
      <c r="U120" s="247">
        <v>12766.49</v>
      </c>
      <c r="V120" s="241"/>
      <c r="W120" s="247">
        <v>15599.32</v>
      </c>
      <c r="X120" s="241"/>
      <c r="Y120" s="247">
        <v>16084.09</v>
      </c>
      <c r="Z120" s="241"/>
      <c r="AA120" s="247">
        <v>10492.53</v>
      </c>
      <c r="AB120" s="241"/>
      <c r="AC120" s="247">
        <v>1618.31</v>
      </c>
      <c r="AD120" s="241"/>
      <c r="AE120" s="247">
        <f t="shared" si="12"/>
        <v>134751.28</v>
      </c>
      <c r="AF120" s="248">
        <f t="shared" si="13"/>
        <v>6.0339629278666207E-3</v>
      </c>
      <c r="AG120" s="249"/>
    </row>
    <row r="121" spans="1:33" outlineLevel="1">
      <c r="A121" s="244">
        <v>52142</v>
      </c>
      <c r="B121" s="244" t="s">
        <v>766</v>
      </c>
      <c r="C121" s="245"/>
      <c r="D121" s="246"/>
      <c r="E121" s="240"/>
      <c r="F121" s="241"/>
      <c r="G121" s="247">
        <v>64066.720000000001</v>
      </c>
      <c r="H121" s="241"/>
      <c r="I121" s="247">
        <v>49767.23</v>
      </c>
      <c r="J121" s="241"/>
      <c r="K121" s="247">
        <v>58952.88</v>
      </c>
      <c r="L121" s="241"/>
      <c r="M121" s="247">
        <v>61563.17</v>
      </c>
      <c r="N121" s="241"/>
      <c r="O121" s="247">
        <v>67306.600000000006</v>
      </c>
      <c r="P121" s="241"/>
      <c r="Q121" s="247">
        <v>72299.89</v>
      </c>
      <c r="R121" s="241"/>
      <c r="S121" s="247">
        <v>58642.76</v>
      </c>
      <c r="T121" s="241"/>
      <c r="U121" s="247">
        <v>54860.95</v>
      </c>
      <c r="V121" s="241"/>
      <c r="W121" s="247">
        <v>58367.78</v>
      </c>
      <c r="X121" s="241"/>
      <c r="Y121" s="247">
        <v>57582.86</v>
      </c>
      <c r="Z121" s="241"/>
      <c r="AA121" s="247">
        <v>53464.37</v>
      </c>
      <c r="AB121" s="241"/>
      <c r="AC121" s="247">
        <v>46549.57</v>
      </c>
      <c r="AD121" s="241"/>
      <c r="AE121" s="247">
        <f t="shared" si="12"/>
        <v>703424.78</v>
      </c>
      <c r="AF121" s="248">
        <f t="shared" si="13"/>
        <v>3.1498320795637219E-2</v>
      </c>
      <c r="AG121" s="249"/>
    </row>
    <row r="122" spans="1:33" outlineLevel="1">
      <c r="A122" s="244">
        <v>52144</v>
      </c>
      <c r="B122" s="244" t="s">
        <v>767</v>
      </c>
      <c r="C122" s="245"/>
      <c r="D122" s="246"/>
      <c r="E122" s="240"/>
      <c r="F122" s="241"/>
      <c r="G122" s="247">
        <v>171.14</v>
      </c>
      <c r="H122" s="241"/>
      <c r="I122" s="247">
        <v>570.61</v>
      </c>
      <c r="J122" s="241"/>
      <c r="K122" s="247">
        <v>246.24</v>
      </c>
      <c r="L122" s="241"/>
      <c r="M122" s="247">
        <v>442.04</v>
      </c>
      <c r="N122" s="241"/>
      <c r="O122" s="247">
        <v>269.95999999999998</v>
      </c>
      <c r="P122" s="241"/>
      <c r="Q122" s="247">
        <v>473.77</v>
      </c>
      <c r="R122" s="241"/>
      <c r="S122" s="247">
        <v>456.9</v>
      </c>
      <c r="T122" s="241"/>
      <c r="U122" s="247">
        <v>292.23</v>
      </c>
      <c r="V122" s="241"/>
      <c r="W122" s="247">
        <v>568.94000000000005</v>
      </c>
      <c r="X122" s="241"/>
      <c r="Y122" s="247">
        <v>383.26</v>
      </c>
      <c r="Z122" s="241"/>
      <c r="AA122" s="247">
        <v>413.33</v>
      </c>
      <c r="AB122" s="241"/>
      <c r="AC122" s="247">
        <v>385.51</v>
      </c>
      <c r="AD122" s="241"/>
      <c r="AE122" s="247">
        <f t="shared" si="12"/>
        <v>4673.93</v>
      </c>
      <c r="AF122" s="248">
        <f t="shared" si="13"/>
        <v>2.0929166941823212E-4</v>
      </c>
      <c r="AG122" s="249"/>
    </row>
    <row r="123" spans="1:33" outlineLevel="1">
      <c r="A123" s="244">
        <v>52146</v>
      </c>
      <c r="B123" s="244" t="s">
        <v>768</v>
      </c>
      <c r="C123" s="245"/>
      <c r="D123" s="246"/>
      <c r="E123" s="240"/>
      <c r="F123" s="241"/>
      <c r="G123" s="247">
        <v>4426.04</v>
      </c>
      <c r="H123" s="241"/>
      <c r="I123" s="247">
        <v>2800.44</v>
      </c>
      <c r="J123" s="241"/>
      <c r="K123" s="247">
        <v>6628.78</v>
      </c>
      <c r="L123" s="241"/>
      <c r="M123" s="247">
        <v>5484.49</v>
      </c>
      <c r="N123" s="241"/>
      <c r="O123" s="247">
        <v>4783.18</v>
      </c>
      <c r="P123" s="241"/>
      <c r="Q123" s="247">
        <v>4518.22</v>
      </c>
      <c r="R123" s="241"/>
      <c r="S123" s="247">
        <v>3703.12</v>
      </c>
      <c r="T123" s="241"/>
      <c r="U123" s="247">
        <v>4879.1400000000003</v>
      </c>
      <c r="V123" s="241"/>
      <c r="W123" s="247">
        <v>3460.35</v>
      </c>
      <c r="X123" s="241"/>
      <c r="Y123" s="247">
        <v>4134.97</v>
      </c>
      <c r="Z123" s="241"/>
      <c r="AA123" s="247">
        <v>2041.83</v>
      </c>
      <c r="AB123" s="241"/>
      <c r="AC123" s="247">
        <v>5214.87</v>
      </c>
      <c r="AD123" s="241"/>
      <c r="AE123" s="247">
        <f t="shared" si="12"/>
        <v>52075.43</v>
      </c>
      <c r="AF123" s="248">
        <f t="shared" si="13"/>
        <v>2.3318606997478112E-3</v>
      </c>
      <c r="AG123" s="249"/>
    </row>
    <row r="124" spans="1:33" outlineLevel="1">
      <c r="A124" s="244">
        <v>52147</v>
      </c>
      <c r="B124" s="244" t="s">
        <v>769</v>
      </c>
      <c r="C124" s="245"/>
      <c r="D124" s="246"/>
      <c r="E124" s="240"/>
      <c r="F124" s="241"/>
      <c r="G124" s="247">
        <v>-66.099999999999994</v>
      </c>
      <c r="H124" s="241"/>
      <c r="I124" s="247">
        <v>13899</v>
      </c>
      <c r="J124" s="241"/>
      <c r="K124" s="247">
        <v>11751.32</v>
      </c>
      <c r="L124" s="241"/>
      <c r="M124" s="247">
        <v>9132.89</v>
      </c>
      <c r="N124" s="241"/>
      <c r="O124" s="247">
        <v>13155.31</v>
      </c>
      <c r="P124" s="241"/>
      <c r="Q124" s="247">
        <v>4021.17</v>
      </c>
      <c r="R124" s="241"/>
      <c r="S124" s="247">
        <v>7151.07</v>
      </c>
      <c r="T124" s="241"/>
      <c r="U124" s="247">
        <v>11129.46</v>
      </c>
      <c r="V124" s="241"/>
      <c r="W124" s="247">
        <v>9405.92</v>
      </c>
      <c r="X124" s="241"/>
      <c r="Y124" s="247">
        <v>5553.7</v>
      </c>
      <c r="Z124" s="241"/>
      <c r="AA124" s="247">
        <v>8191</v>
      </c>
      <c r="AB124" s="241"/>
      <c r="AC124" s="247">
        <v>13026.27</v>
      </c>
      <c r="AD124" s="241"/>
      <c r="AE124" s="247">
        <f t="shared" si="12"/>
        <v>106351.00999999998</v>
      </c>
      <c r="AF124" s="248">
        <f t="shared" si="13"/>
        <v>4.7622408609489433E-3</v>
      </c>
      <c r="AG124" s="249"/>
    </row>
    <row r="125" spans="1:33" outlineLevel="1">
      <c r="A125" s="244">
        <v>52150</v>
      </c>
      <c r="B125" s="244" t="s">
        <v>770</v>
      </c>
      <c r="C125" s="245"/>
      <c r="D125" s="246"/>
      <c r="E125" s="240"/>
      <c r="F125" s="241"/>
      <c r="G125" s="247">
        <v>9267.57</v>
      </c>
      <c r="H125" s="241"/>
      <c r="I125" s="247">
        <v>-3305.35</v>
      </c>
      <c r="J125" s="241"/>
      <c r="K125" s="247">
        <v>1395.45</v>
      </c>
      <c r="L125" s="241"/>
      <c r="M125" s="247">
        <v>2821.29</v>
      </c>
      <c r="N125" s="241"/>
      <c r="O125" s="247">
        <v>2879.74</v>
      </c>
      <c r="P125" s="241"/>
      <c r="Q125" s="247">
        <v>1999.98</v>
      </c>
      <c r="R125" s="241"/>
      <c r="S125" s="247">
        <v>2610.9499999999998</v>
      </c>
      <c r="T125" s="241"/>
      <c r="U125" s="247">
        <v>1894.15</v>
      </c>
      <c r="V125" s="241"/>
      <c r="W125" s="247">
        <v>2074.5</v>
      </c>
      <c r="X125" s="241"/>
      <c r="Y125" s="247">
        <v>2898.99</v>
      </c>
      <c r="Z125" s="241"/>
      <c r="AA125" s="247">
        <v>2027.22</v>
      </c>
      <c r="AB125" s="241"/>
      <c r="AC125" s="247">
        <v>2795.82</v>
      </c>
      <c r="AD125" s="241"/>
      <c r="AE125" s="247">
        <f t="shared" si="12"/>
        <v>29360.31</v>
      </c>
      <c r="AF125" s="248">
        <f t="shared" si="13"/>
        <v>1.3147112375531543E-3</v>
      </c>
      <c r="AG125" s="249"/>
    </row>
    <row r="126" spans="1:33" outlineLevel="1">
      <c r="A126" s="244">
        <v>52165</v>
      </c>
      <c r="B126" s="244" t="s">
        <v>771</v>
      </c>
      <c r="C126" s="245"/>
      <c r="D126" s="246"/>
      <c r="E126" s="240"/>
      <c r="F126" s="241"/>
      <c r="G126" s="247">
        <v>2420.06</v>
      </c>
      <c r="H126" s="241"/>
      <c r="I126" s="247">
        <v>-311.92</v>
      </c>
      <c r="J126" s="241"/>
      <c r="K126" s="247">
        <v>1116.43</v>
      </c>
      <c r="L126" s="241"/>
      <c r="M126" s="247">
        <v>1029.47</v>
      </c>
      <c r="N126" s="241"/>
      <c r="O126" s="247">
        <v>1003.23</v>
      </c>
      <c r="P126" s="241"/>
      <c r="Q126" s="247">
        <v>1009.31</v>
      </c>
      <c r="R126" s="241"/>
      <c r="S126" s="247">
        <v>1032.32</v>
      </c>
      <c r="T126" s="241"/>
      <c r="U126" s="247">
        <v>783.72</v>
      </c>
      <c r="V126" s="241"/>
      <c r="W126" s="247">
        <v>1312.86</v>
      </c>
      <c r="X126" s="241"/>
      <c r="Y126" s="247">
        <v>1100.8900000000001</v>
      </c>
      <c r="Z126" s="241"/>
      <c r="AA126" s="247">
        <v>779.44</v>
      </c>
      <c r="AB126" s="241"/>
      <c r="AC126" s="247">
        <v>809.77</v>
      </c>
      <c r="AD126" s="241"/>
      <c r="AE126" s="247">
        <f t="shared" si="12"/>
        <v>12085.579999999998</v>
      </c>
      <c r="AF126" s="248">
        <f t="shared" si="13"/>
        <v>5.4117438945118935E-4</v>
      </c>
      <c r="AG126" s="249"/>
    </row>
    <row r="127" spans="1:33" outlineLevel="1">
      <c r="A127" s="244">
        <v>52170</v>
      </c>
      <c r="B127" s="244" t="s">
        <v>772</v>
      </c>
      <c r="C127" s="245"/>
      <c r="D127" s="246"/>
      <c r="E127" s="240"/>
      <c r="F127" s="241"/>
      <c r="G127" s="247">
        <v>2309.5700000000002</v>
      </c>
      <c r="H127" s="241"/>
      <c r="I127" s="247">
        <v>2444.75</v>
      </c>
      <c r="J127" s="241"/>
      <c r="K127" s="247">
        <v>2309.5700000000002</v>
      </c>
      <c r="L127" s="241"/>
      <c r="M127" s="247">
        <v>2309.5700000000002</v>
      </c>
      <c r="N127" s="241"/>
      <c r="O127" s="247">
        <v>2309.5700000000002</v>
      </c>
      <c r="P127" s="241"/>
      <c r="Q127" s="247">
        <v>2309.5700000000002</v>
      </c>
      <c r="R127" s="241"/>
      <c r="S127" s="247">
        <v>2309.5700000000002</v>
      </c>
      <c r="T127" s="241"/>
      <c r="U127" s="247">
        <v>2309.5700000000002</v>
      </c>
      <c r="V127" s="241"/>
      <c r="W127" s="247">
        <v>2309.5700000000002</v>
      </c>
      <c r="X127" s="241"/>
      <c r="Y127" s="247">
        <v>2309.5700000000002</v>
      </c>
      <c r="Z127" s="241"/>
      <c r="AA127" s="247">
        <v>2309.5700000000002</v>
      </c>
      <c r="AB127" s="241"/>
      <c r="AC127" s="247">
        <v>237.5</v>
      </c>
      <c r="AD127" s="241"/>
      <c r="AE127" s="247">
        <f t="shared" si="12"/>
        <v>25777.95</v>
      </c>
      <c r="AF127" s="248">
        <f t="shared" si="13"/>
        <v>1.1542984575463725E-3</v>
      </c>
      <c r="AG127" s="249"/>
    </row>
    <row r="128" spans="1:33" outlineLevel="1">
      <c r="A128" s="244">
        <v>52175</v>
      </c>
      <c r="B128" s="244" t="s">
        <v>773</v>
      </c>
      <c r="C128" s="245"/>
      <c r="D128" s="246"/>
      <c r="E128" s="240"/>
      <c r="F128" s="241"/>
      <c r="G128" s="247">
        <v>1895.3</v>
      </c>
      <c r="H128" s="241"/>
      <c r="I128" s="247">
        <v>-1065.98</v>
      </c>
      <c r="J128" s="241"/>
      <c r="K128" s="247">
        <v>0</v>
      </c>
      <c r="L128" s="241"/>
      <c r="M128" s="247">
        <v>102.6</v>
      </c>
      <c r="N128" s="241"/>
      <c r="O128" s="247">
        <v>79.33</v>
      </c>
      <c r="P128" s="241"/>
      <c r="Q128" s="247">
        <v>3051.68</v>
      </c>
      <c r="R128" s="241"/>
      <c r="S128" s="247">
        <v>73.2</v>
      </c>
      <c r="T128" s="241"/>
      <c r="U128" s="247">
        <v>0</v>
      </c>
      <c r="V128" s="241"/>
      <c r="W128" s="247">
        <v>173.26</v>
      </c>
      <c r="X128" s="241"/>
      <c r="Y128" s="247">
        <v>68.989999999999995</v>
      </c>
      <c r="Z128" s="241"/>
      <c r="AA128" s="247">
        <v>0</v>
      </c>
      <c r="AB128" s="241"/>
      <c r="AC128" s="247">
        <v>186.93</v>
      </c>
      <c r="AD128" s="241"/>
      <c r="AE128" s="247">
        <f t="shared" si="12"/>
        <v>4565.3099999999995</v>
      </c>
      <c r="AF128" s="248">
        <f t="shared" si="13"/>
        <v>2.0442782654249189E-4</v>
      </c>
      <c r="AG128" s="249"/>
    </row>
    <row r="129" spans="1:33" outlineLevel="1">
      <c r="A129" s="244">
        <v>52182</v>
      </c>
      <c r="B129" s="244" t="s">
        <v>774</v>
      </c>
      <c r="C129" s="245"/>
      <c r="D129" s="246"/>
      <c r="E129" s="240"/>
      <c r="F129" s="241"/>
      <c r="G129" s="247">
        <v>1538.96</v>
      </c>
      <c r="H129" s="241"/>
      <c r="I129" s="247">
        <v>586.66</v>
      </c>
      <c r="J129" s="241"/>
      <c r="K129" s="247">
        <v>693.32</v>
      </c>
      <c r="L129" s="241"/>
      <c r="M129" s="247">
        <v>0</v>
      </c>
      <c r="N129" s="241"/>
      <c r="O129" s="247">
        <v>1934.43</v>
      </c>
      <c r="P129" s="241"/>
      <c r="Q129" s="247">
        <v>3146.63</v>
      </c>
      <c r="R129" s="241"/>
      <c r="S129" s="247">
        <v>-693.33</v>
      </c>
      <c r="T129" s="241"/>
      <c r="U129" s="247">
        <v>426.66</v>
      </c>
      <c r="V129" s="241"/>
      <c r="W129" s="247">
        <v>0</v>
      </c>
      <c r="X129" s="241"/>
      <c r="Y129" s="247">
        <v>1454.5</v>
      </c>
      <c r="Z129" s="241"/>
      <c r="AA129" s="247">
        <v>2531.2399999999998</v>
      </c>
      <c r="AB129" s="241"/>
      <c r="AC129" s="247">
        <v>2803.51</v>
      </c>
      <c r="AD129" s="241"/>
      <c r="AE129" s="247">
        <f t="shared" si="12"/>
        <v>14422.579999999998</v>
      </c>
      <c r="AF129" s="248">
        <f t="shared" si="13"/>
        <v>6.4582179140851618E-4</v>
      </c>
      <c r="AG129" s="249"/>
    </row>
    <row r="130" spans="1:33" outlineLevel="1">
      <c r="A130" s="244">
        <v>52185</v>
      </c>
      <c r="B130" s="244" t="s">
        <v>775</v>
      </c>
      <c r="C130" s="245"/>
      <c r="D130" s="246"/>
      <c r="E130" s="240"/>
      <c r="F130" s="241"/>
      <c r="G130" s="247">
        <v>0</v>
      </c>
      <c r="H130" s="241"/>
      <c r="I130" s="247">
        <v>453.03</v>
      </c>
      <c r="J130" s="241"/>
      <c r="K130" s="247">
        <v>0</v>
      </c>
      <c r="L130" s="241"/>
      <c r="M130" s="247">
        <v>0</v>
      </c>
      <c r="N130" s="241"/>
      <c r="O130" s="247">
        <v>71.2</v>
      </c>
      <c r="P130" s="241"/>
      <c r="Q130" s="247">
        <v>0</v>
      </c>
      <c r="R130" s="241"/>
      <c r="S130" s="247">
        <v>0</v>
      </c>
      <c r="T130" s="241"/>
      <c r="U130" s="247">
        <v>0</v>
      </c>
      <c r="V130" s="241"/>
      <c r="W130" s="247">
        <v>0</v>
      </c>
      <c r="X130" s="241"/>
      <c r="Y130" s="247">
        <v>0</v>
      </c>
      <c r="Z130" s="241"/>
      <c r="AA130" s="247">
        <v>0</v>
      </c>
      <c r="AB130" s="241"/>
      <c r="AC130" s="247">
        <v>0</v>
      </c>
      <c r="AD130" s="241"/>
      <c r="AE130" s="247">
        <f t="shared" si="12"/>
        <v>524.23</v>
      </c>
      <c r="AF130" s="248">
        <f t="shared" si="13"/>
        <v>2.3474243700508957E-5</v>
      </c>
      <c r="AG130" s="249"/>
    </row>
    <row r="131" spans="1:33" outlineLevel="1">
      <c r="A131" s="244">
        <v>52200</v>
      </c>
      <c r="B131" s="244" t="s">
        <v>776</v>
      </c>
      <c r="C131" s="245"/>
      <c r="D131" s="246"/>
      <c r="E131" s="240"/>
      <c r="F131" s="241"/>
      <c r="G131" s="247">
        <v>909.73</v>
      </c>
      <c r="H131" s="241"/>
      <c r="I131" s="247">
        <v>-376.17</v>
      </c>
      <c r="J131" s="241"/>
      <c r="K131" s="247">
        <v>952.64</v>
      </c>
      <c r="L131" s="241"/>
      <c r="M131" s="247">
        <v>531.05999999999995</v>
      </c>
      <c r="N131" s="241"/>
      <c r="O131" s="247">
        <v>217.6</v>
      </c>
      <c r="P131" s="241"/>
      <c r="Q131" s="247">
        <v>331.09</v>
      </c>
      <c r="R131" s="241"/>
      <c r="S131" s="247">
        <v>538.36</v>
      </c>
      <c r="T131" s="241"/>
      <c r="U131" s="247">
        <v>510.11</v>
      </c>
      <c r="V131" s="241"/>
      <c r="W131" s="247">
        <v>366.45</v>
      </c>
      <c r="X131" s="241"/>
      <c r="Y131" s="247">
        <v>472.67</v>
      </c>
      <c r="Z131" s="241"/>
      <c r="AA131" s="247">
        <v>280.99</v>
      </c>
      <c r="AB131" s="241"/>
      <c r="AC131" s="247">
        <v>130.13999999999999</v>
      </c>
      <c r="AD131" s="241"/>
      <c r="AE131" s="247">
        <f t="shared" si="12"/>
        <v>4864.67</v>
      </c>
      <c r="AF131" s="248">
        <f t="shared" si="13"/>
        <v>2.1783272438157851E-4</v>
      </c>
      <c r="AG131" s="249"/>
    </row>
    <row r="132" spans="1:33" s="240" customFormat="1" ht="5.15" customHeight="1" outlineLevel="1">
      <c r="A132" s="245"/>
      <c r="B132" s="245"/>
      <c r="C132" s="245"/>
      <c r="D132" s="245"/>
      <c r="G132" s="255"/>
      <c r="H132" s="253"/>
      <c r="I132" s="255"/>
      <c r="J132" s="253"/>
      <c r="K132" s="255"/>
      <c r="L132" s="253"/>
      <c r="M132" s="255"/>
      <c r="N132" s="253"/>
      <c r="O132" s="255"/>
      <c r="P132" s="253"/>
      <c r="Q132" s="255"/>
      <c r="R132" s="253"/>
      <c r="S132" s="255"/>
      <c r="T132" s="253"/>
      <c r="U132" s="255"/>
      <c r="V132" s="253"/>
      <c r="W132" s="255"/>
      <c r="X132" s="253"/>
      <c r="Y132" s="255"/>
      <c r="Z132" s="253"/>
      <c r="AA132" s="255"/>
      <c r="AB132" s="253"/>
      <c r="AC132" s="255"/>
      <c r="AD132" s="253"/>
      <c r="AE132" s="255"/>
      <c r="AF132" s="243"/>
      <c r="AG132" s="222"/>
    </row>
    <row r="133" spans="1:33" s="240" customFormat="1" ht="15.5">
      <c r="C133" s="245" t="s">
        <v>777</v>
      </c>
      <c r="G133" s="252">
        <f>SUM(G103:G132)</f>
        <v>271884.83</v>
      </c>
      <c r="H133" s="253"/>
      <c r="I133" s="252">
        <f>SUM(I103:I132)</f>
        <v>77264.450000000012</v>
      </c>
      <c r="J133" s="253"/>
      <c r="K133" s="252">
        <f>SUM(K103:K132)</f>
        <v>189975.22000000003</v>
      </c>
      <c r="L133" s="253"/>
      <c r="M133" s="252">
        <f>SUM(M103:M132)</f>
        <v>202498.44999999998</v>
      </c>
      <c r="N133" s="253"/>
      <c r="O133" s="252">
        <f>SUM(O103:O132)</f>
        <v>227002.39</v>
      </c>
      <c r="P133" s="253"/>
      <c r="Q133" s="252">
        <f>SUM(Q103:Q132)</f>
        <v>226957.78</v>
      </c>
      <c r="R133" s="253"/>
      <c r="S133" s="252">
        <f>SUM(S103:S132)</f>
        <v>226351.32</v>
      </c>
      <c r="T133" s="253"/>
      <c r="U133" s="252">
        <f>SUM(U103:U132)</f>
        <v>203816.77</v>
      </c>
      <c r="V133" s="253"/>
      <c r="W133" s="252">
        <f>SUM(W103:W132)</f>
        <v>190763.09000000003</v>
      </c>
      <c r="X133" s="253"/>
      <c r="Y133" s="252">
        <f>SUM(Y103:Y132)</f>
        <v>227612.37000000005</v>
      </c>
      <c r="Z133" s="253"/>
      <c r="AA133" s="252">
        <f>SUM(AA103:AA132)</f>
        <v>187930.56999999995</v>
      </c>
      <c r="AB133" s="253"/>
      <c r="AC133" s="252">
        <f>SUM(AC103:AC132)</f>
        <v>202867.55</v>
      </c>
      <c r="AD133" s="253"/>
      <c r="AE133" s="252">
        <f>SUM(AE103:AE132)</f>
        <v>2434924.790000001</v>
      </c>
      <c r="AF133" s="248">
        <f>IF(AE$50=0,0,AE133/AE$50)</f>
        <v>0.10903232915489501</v>
      </c>
      <c r="AG133" s="222"/>
    </row>
    <row r="134" spans="1:33" s="240" customFormat="1" ht="15.5" outlineLevel="1">
      <c r="G134" s="254"/>
      <c r="H134" s="253"/>
      <c r="I134" s="254"/>
      <c r="J134" s="253"/>
      <c r="K134" s="254"/>
      <c r="L134" s="253"/>
      <c r="M134" s="254"/>
      <c r="N134" s="253"/>
      <c r="O134" s="254"/>
      <c r="P134" s="253"/>
      <c r="Q134" s="254"/>
      <c r="R134" s="253"/>
      <c r="S134" s="254"/>
      <c r="T134" s="253"/>
      <c r="U134" s="254"/>
      <c r="V134" s="253"/>
      <c r="W134" s="254"/>
      <c r="X134" s="253"/>
      <c r="Y134" s="254"/>
      <c r="Z134" s="253"/>
      <c r="AA134" s="254"/>
      <c r="AB134" s="253"/>
      <c r="AC134" s="254"/>
      <c r="AD134" s="253"/>
      <c r="AE134" s="254"/>
      <c r="AF134" s="243"/>
      <c r="AG134" s="222"/>
    </row>
    <row r="135" spans="1:33" s="240" customFormat="1" ht="15.5" outlineLevel="1">
      <c r="G135" s="254"/>
      <c r="H135" s="253"/>
      <c r="I135" s="254"/>
      <c r="J135" s="253"/>
      <c r="K135" s="254"/>
      <c r="L135" s="253"/>
      <c r="M135" s="254"/>
      <c r="N135" s="253"/>
      <c r="O135" s="254"/>
      <c r="P135" s="253"/>
      <c r="Q135" s="254"/>
      <c r="R135" s="253"/>
      <c r="S135" s="254"/>
      <c r="T135" s="253"/>
      <c r="U135" s="254"/>
      <c r="V135" s="253"/>
      <c r="W135" s="254"/>
      <c r="X135" s="253"/>
      <c r="Y135" s="254"/>
      <c r="Z135" s="253"/>
      <c r="AA135" s="254"/>
      <c r="AB135" s="253"/>
      <c r="AC135" s="254"/>
      <c r="AD135" s="253"/>
      <c r="AE135" s="254"/>
      <c r="AF135" s="243"/>
      <c r="AG135" s="222"/>
    </row>
    <row r="136" spans="1:33" outlineLevel="1">
      <c r="A136" s="244">
        <v>54275</v>
      </c>
      <c r="B136" s="244" t="s">
        <v>778</v>
      </c>
      <c r="C136" s="245"/>
      <c r="D136" s="246"/>
      <c r="E136" s="240"/>
      <c r="F136" s="241"/>
      <c r="G136" s="247">
        <v>4682.8500000000004</v>
      </c>
      <c r="H136" s="241"/>
      <c r="I136" s="247">
        <v>4682.8</v>
      </c>
      <c r="J136" s="241"/>
      <c r="K136" s="247">
        <v>4682.8599999999997</v>
      </c>
      <c r="L136" s="241"/>
      <c r="M136" s="247">
        <v>3544.44</v>
      </c>
      <c r="N136" s="241"/>
      <c r="O136" s="247">
        <v>3227.54</v>
      </c>
      <c r="P136" s="241"/>
      <c r="Q136" s="247">
        <v>1123.55</v>
      </c>
      <c r="R136" s="241"/>
      <c r="S136" s="247">
        <v>3227.54</v>
      </c>
      <c r="T136" s="241"/>
      <c r="U136" s="247">
        <v>3227.54</v>
      </c>
      <c r="V136" s="241"/>
      <c r="W136" s="247">
        <v>3227.54</v>
      </c>
      <c r="X136" s="241"/>
      <c r="Y136" s="247">
        <v>3227.54</v>
      </c>
      <c r="Z136" s="241"/>
      <c r="AA136" s="247">
        <v>3227.55</v>
      </c>
      <c r="AB136" s="241"/>
      <c r="AC136" s="247">
        <v>3227.54</v>
      </c>
      <c r="AD136" s="241"/>
      <c r="AE136" s="247">
        <f t="shared" ref="AE136:AE139" si="14">AC136+AA136+Y136+W136+U136+S136+Q136+O136+M136+K136+I136+G136</f>
        <v>41309.29</v>
      </c>
      <c r="AF136" s="248">
        <f t="shared" ref="AF136:AF139" si="15">IF(AE$50=0,0,AE136/AE$50)</f>
        <v>1.8497688811304153E-3</v>
      </c>
      <c r="AG136" s="249"/>
    </row>
    <row r="137" spans="1:33" outlineLevel="1">
      <c r="A137" s="244">
        <v>55120</v>
      </c>
      <c r="B137" s="244" t="s">
        <v>762</v>
      </c>
      <c r="C137" s="245"/>
      <c r="D137" s="246"/>
      <c r="E137" s="240"/>
      <c r="F137" s="241"/>
      <c r="G137" s="247">
        <v>2164.75</v>
      </c>
      <c r="H137" s="241"/>
      <c r="I137" s="247">
        <v>6962.98</v>
      </c>
      <c r="J137" s="241"/>
      <c r="K137" s="247">
        <v>2791.53</v>
      </c>
      <c r="L137" s="241"/>
      <c r="M137" s="247">
        <v>5538.31</v>
      </c>
      <c r="N137" s="241"/>
      <c r="O137" s="247">
        <v>3407.11</v>
      </c>
      <c r="P137" s="241"/>
      <c r="Q137" s="247">
        <v>3286.28</v>
      </c>
      <c r="R137" s="241"/>
      <c r="S137" s="247">
        <v>8361.09</v>
      </c>
      <c r="T137" s="241"/>
      <c r="U137" s="247">
        <v>8645.75</v>
      </c>
      <c r="V137" s="241"/>
      <c r="W137" s="247">
        <v>-14927.68</v>
      </c>
      <c r="X137" s="241"/>
      <c r="Y137" s="247">
        <v>2359.46</v>
      </c>
      <c r="Z137" s="241"/>
      <c r="AA137" s="247">
        <v>17029.400000000001</v>
      </c>
      <c r="AB137" s="241"/>
      <c r="AC137" s="247">
        <v>179.02</v>
      </c>
      <c r="AD137" s="241"/>
      <c r="AE137" s="247">
        <f t="shared" si="14"/>
        <v>45798</v>
      </c>
      <c r="AF137" s="248">
        <f t="shared" si="15"/>
        <v>2.0507666730173952E-3</v>
      </c>
      <c r="AG137" s="249"/>
    </row>
    <row r="138" spans="1:33" outlineLevel="1">
      <c r="A138" s="244">
        <v>55125</v>
      </c>
      <c r="B138" s="244" t="s">
        <v>763</v>
      </c>
      <c r="C138" s="245"/>
      <c r="D138" s="246"/>
      <c r="E138" s="240"/>
      <c r="F138" s="241"/>
      <c r="G138" s="247">
        <v>968.43</v>
      </c>
      <c r="H138" s="241"/>
      <c r="I138" s="247">
        <v>1580.81</v>
      </c>
      <c r="J138" s="241"/>
      <c r="K138" s="247">
        <v>1099.1199999999999</v>
      </c>
      <c r="L138" s="241"/>
      <c r="M138" s="247">
        <v>1728.22</v>
      </c>
      <c r="N138" s="241"/>
      <c r="O138" s="247">
        <v>1598.39</v>
      </c>
      <c r="P138" s="241"/>
      <c r="Q138" s="247">
        <v>2543.02</v>
      </c>
      <c r="R138" s="241"/>
      <c r="S138" s="247">
        <v>2016.06</v>
      </c>
      <c r="T138" s="241"/>
      <c r="U138" s="247">
        <v>1706.37</v>
      </c>
      <c r="V138" s="241"/>
      <c r="W138" s="247">
        <v>2317.16</v>
      </c>
      <c r="X138" s="241"/>
      <c r="Y138" s="247">
        <v>3047.94</v>
      </c>
      <c r="Z138" s="241"/>
      <c r="AA138" s="247">
        <v>2251.08</v>
      </c>
      <c r="AB138" s="241"/>
      <c r="AC138" s="247">
        <v>1426.64</v>
      </c>
      <c r="AD138" s="241"/>
      <c r="AE138" s="247">
        <f t="shared" si="14"/>
        <v>22283.24</v>
      </c>
      <c r="AF138" s="248">
        <f t="shared" si="15"/>
        <v>9.9781051484449431E-4</v>
      </c>
      <c r="AG138" s="249"/>
    </row>
    <row r="139" spans="1:33" outlineLevel="1">
      <c r="A139" s="244">
        <v>55143</v>
      </c>
      <c r="B139" s="244" t="s">
        <v>779</v>
      </c>
      <c r="C139" s="245"/>
      <c r="D139" s="246"/>
      <c r="E139" s="240"/>
      <c r="F139" s="241"/>
      <c r="G139" s="247">
        <v>321.64</v>
      </c>
      <c r="H139" s="241"/>
      <c r="I139" s="247">
        <v>0</v>
      </c>
      <c r="J139" s="241"/>
      <c r="K139" s="247">
        <v>4541.3</v>
      </c>
      <c r="L139" s="241"/>
      <c r="M139" s="247">
        <v>84.51</v>
      </c>
      <c r="N139" s="241"/>
      <c r="O139" s="247">
        <v>0</v>
      </c>
      <c r="P139" s="241"/>
      <c r="Q139" s="247">
        <v>2536.13</v>
      </c>
      <c r="R139" s="241"/>
      <c r="S139" s="247">
        <v>-2355.8200000000002</v>
      </c>
      <c r="T139" s="241"/>
      <c r="U139" s="247">
        <v>444.3</v>
      </c>
      <c r="V139" s="241"/>
      <c r="W139" s="247">
        <v>27.31</v>
      </c>
      <c r="X139" s="241"/>
      <c r="Y139" s="247">
        <v>0</v>
      </c>
      <c r="Z139" s="241"/>
      <c r="AA139" s="247">
        <v>0</v>
      </c>
      <c r="AB139" s="241"/>
      <c r="AC139" s="247">
        <v>0</v>
      </c>
      <c r="AD139" s="241"/>
      <c r="AE139" s="247">
        <f t="shared" si="14"/>
        <v>5599.3700000000008</v>
      </c>
      <c r="AF139" s="248">
        <f t="shared" si="15"/>
        <v>2.5073150325108991E-4</v>
      </c>
      <c r="AG139" s="249"/>
    </row>
    <row r="140" spans="1:33" s="240" customFormat="1" ht="5.15" customHeight="1" outlineLevel="1">
      <c r="A140" s="245"/>
      <c r="B140" s="245"/>
      <c r="C140" s="245"/>
      <c r="D140" s="245"/>
      <c r="G140" s="255"/>
      <c r="H140" s="253"/>
      <c r="I140" s="255"/>
      <c r="J140" s="253"/>
      <c r="K140" s="255"/>
      <c r="L140" s="253"/>
      <c r="M140" s="255"/>
      <c r="N140" s="253"/>
      <c r="O140" s="255"/>
      <c r="P140" s="253"/>
      <c r="Q140" s="255"/>
      <c r="R140" s="253"/>
      <c r="S140" s="255"/>
      <c r="T140" s="253"/>
      <c r="U140" s="255"/>
      <c r="V140" s="253"/>
      <c r="W140" s="255"/>
      <c r="X140" s="253"/>
      <c r="Y140" s="255"/>
      <c r="Z140" s="253"/>
      <c r="AA140" s="255"/>
      <c r="AB140" s="253"/>
      <c r="AC140" s="255"/>
      <c r="AD140" s="253"/>
      <c r="AE140" s="255"/>
      <c r="AF140" s="243"/>
      <c r="AG140" s="222"/>
    </row>
    <row r="141" spans="1:33" s="240" customFormat="1" ht="15.5">
      <c r="C141" s="245" t="s">
        <v>780</v>
      </c>
      <c r="G141" s="252">
        <f>SUM(G135:G140)</f>
        <v>8137.670000000001</v>
      </c>
      <c r="H141" s="253"/>
      <c r="I141" s="252">
        <f>SUM(I135:I140)</f>
        <v>13226.589999999998</v>
      </c>
      <c r="J141" s="253"/>
      <c r="K141" s="252">
        <f>SUM(K135:K140)</f>
        <v>13114.809999999998</v>
      </c>
      <c r="L141" s="253"/>
      <c r="M141" s="252">
        <f>SUM(M135:M140)</f>
        <v>10895.48</v>
      </c>
      <c r="N141" s="253"/>
      <c r="O141" s="252">
        <f>SUM(O135:O140)</f>
        <v>8233.0399999999991</v>
      </c>
      <c r="P141" s="253"/>
      <c r="Q141" s="252">
        <f>SUM(Q135:Q140)</f>
        <v>9488.98</v>
      </c>
      <c r="R141" s="253"/>
      <c r="S141" s="252">
        <f>SUM(S135:S140)</f>
        <v>11248.87</v>
      </c>
      <c r="T141" s="253"/>
      <c r="U141" s="252">
        <f>SUM(U135:U140)</f>
        <v>14023.96</v>
      </c>
      <c r="V141" s="253"/>
      <c r="W141" s="252">
        <f>SUM(W135:W140)</f>
        <v>-9355.67</v>
      </c>
      <c r="X141" s="253"/>
      <c r="Y141" s="252">
        <f>SUM(Y135:Y140)</f>
        <v>8634.94</v>
      </c>
      <c r="Z141" s="253"/>
      <c r="AA141" s="252">
        <f>SUM(AA135:AA140)</f>
        <v>22508.03</v>
      </c>
      <c r="AB141" s="253"/>
      <c r="AC141" s="252">
        <f>SUM(AC135:AC140)</f>
        <v>4833.2</v>
      </c>
      <c r="AD141" s="253"/>
      <c r="AE141" s="252">
        <f>SUM(AE135:AE140)</f>
        <v>114989.90000000001</v>
      </c>
      <c r="AF141" s="248">
        <f>IF(AE$50=0,0,AE141/AE$50)</f>
        <v>5.1490775722433952E-3</v>
      </c>
      <c r="AG141" s="222"/>
    </row>
    <row r="142" spans="1:33" s="240" customFormat="1" ht="15.5" outlineLevel="1">
      <c r="G142" s="254"/>
      <c r="H142" s="253"/>
      <c r="I142" s="254"/>
      <c r="J142" s="253"/>
      <c r="K142" s="254"/>
      <c r="L142" s="253"/>
      <c r="M142" s="254"/>
      <c r="N142" s="253"/>
      <c r="O142" s="254"/>
      <c r="P142" s="253"/>
      <c r="Q142" s="254"/>
      <c r="R142" s="253"/>
      <c r="S142" s="254"/>
      <c r="T142" s="253"/>
      <c r="U142" s="254"/>
      <c r="V142" s="253"/>
      <c r="W142" s="254"/>
      <c r="X142" s="253"/>
      <c r="Y142" s="254"/>
      <c r="Z142" s="253"/>
      <c r="AA142" s="254"/>
      <c r="AB142" s="253"/>
      <c r="AC142" s="254"/>
      <c r="AD142" s="253"/>
      <c r="AE142" s="254"/>
      <c r="AF142" s="243"/>
      <c r="AG142" s="222"/>
    </row>
    <row r="143" spans="1:33" s="240" customFormat="1" ht="15.5" outlineLevel="1">
      <c r="G143" s="254"/>
      <c r="H143" s="253"/>
      <c r="I143" s="254"/>
      <c r="J143" s="253"/>
      <c r="K143" s="254"/>
      <c r="L143" s="253"/>
      <c r="M143" s="254"/>
      <c r="N143" s="253"/>
      <c r="O143" s="254"/>
      <c r="P143" s="253"/>
      <c r="Q143" s="254"/>
      <c r="R143" s="253"/>
      <c r="S143" s="254"/>
      <c r="T143" s="253"/>
      <c r="U143" s="254"/>
      <c r="V143" s="253"/>
      <c r="W143" s="254"/>
      <c r="X143" s="253"/>
      <c r="Y143" s="254"/>
      <c r="Z143" s="253"/>
      <c r="AA143" s="254"/>
      <c r="AB143" s="253"/>
      <c r="AC143" s="254"/>
      <c r="AD143" s="253"/>
      <c r="AE143" s="254"/>
      <c r="AF143" s="243"/>
      <c r="AG143" s="222"/>
    </row>
    <row r="144" spans="1:33" outlineLevel="1">
      <c r="A144" s="244">
        <v>56010</v>
      </c>
      <c r="B144" s="244" t="s">
        <v>761</v>
      </c>
      <c r="C144" s="245"/>
      <c r="D144" s="246"/>
      <c r="E144" s="240"/>
      <c r="F144" s="241"/>
      <c r="G144" s="247">
        <v>22106.79</v>
      </c>
      <c r="H144" s="241"/>
      <c r="I144" s="247">
        <v>10439.700000000001</v>
      </c>
      <c r="J144" s="241"/>
      <c r="K144" s="247">
        <v>17075.37</v>
      </c>
      <c r="L144" s="241"/>
      <c r="M144" s="247">
        <v>17580.419999999998</v>
      </c>
      <c r="N144" s="241"/>
      <c r="O144" s="247">
        <v>18359.87</v>
      </c>
      <c r="P144" s="241"/>
      <c r="Q144" s="247">
        <v>18662.66</v>
      </c>
      <c r="R144" s="241"/>
      <c r="S144" s="247">
        <v>19254.04</v>
      </c>
      <c r="T144" s="241"/>
      <c r="U144" s="247">
        <v>18071.28</v>
      </c>
      <c r="V144" s="241"/>
      <c r="W144" s="247">
        <v>18662.66</v>
      </c>
      <c r="X144" s="241"/>
      <c r="Y144" s="247">
        <v>18514.38</v>
      </c>
      <c r="Z144" s="241"/>
      <c r="AA144" s="247">
        <v>17997.12</v>
      </c>
      <c r="AB144" s="241"/>
      <c r="AC144" s="247">
        <v>-22390.36</v>
      </c>
      <c r="AD144" s="241"/>
      <c r="AE144" s="247">
        <f t="shared" ref="AE144:AE159" si="16">AC144+AA144+Y144+W144+U144+S144+Q144+O144+M144+K144+I144+G144</f>
        <v>174333.93000000002</v>
      </c>
      <c r="AF144" s="248">
        <f t="shared" ref="AF144:AF159" si="17">IF(AE$50=0,0,AE144/AE$50)</f>
        <v>7.806415424694256E-3</v>
      </c>
      <c r="AG144" s="249"/>
    </row>
    <row r="145" spans="1:33" outlineLevel="1">
      <c r="A145" s="244">
        <v>56025</v>
      </c>
      <c r="B145" s="244" t="s">
        <v>747</v>
      </c>
      <c r="C145" s="245"/>
      <c r="D145" s="246"/>
      <c r="E145" s="240"/>
      <c r="F145" s="241"/>
      <c r="G145" s="247">
        <v>0</v>
      </c>
      <c r="H145" s="241"/>
      <c r="I145" s="247">
        <v>109.99</v>
      </c>
      <c r="J145" s="241"/>
      <c r="K145" s="247">
        <v>0</v>
      </c>
      <c r="L145" s="241"/>
      <c r="M145" s="247">
        <v>0</v>
      </c>
      <c r="N145" s="241"/>
      <c r="O145" s="247">
        <v>0</v>
      </c>
      <c r="P145" s="241"/>
      <c r="Q145" s="247">
        <v>0</v>
      </c>
      <c r="R145" s="241"/>
      <c r="S145" s="247">
        <v>0</v>
      </c>
      <c r="T145" s="241"/>
      <c r="U145" s="247">
        <v>0</v>
      </c>
      <c r="V145" s="241"/>
      <c r="W145" s="247">
        <v>0</v>
      </c>
      <c r="X145" s="241"/>
      <c r="Y145" s="247">
        <v>0</v>
      </c>
      <c r="Z145" s="241"/>
      <c r="AA145" s="247">
        <v>0</v>
      </c>
      <c r="AB145" s="241"/>
      <c r="AC145" s="247">
        <v>0</v>
      </c>
      <c r="AD145" s="241"/>
      <c r="AE145" s="247">
        <f t="shared" si="16"/>
        <v>109.99</v>
      </c>
      <c r="AF145" s="248">
        <f t="shared" si="17"/>
        <v>4.9251894485607076E-6</v>
      </c>
      <c r="AG145" s="249"/>
    </row>
    <row r="146" spans="1:33" outlineLevel="1">
      <c r="A146" s="244">
        <v>56036</v>
      </c>
      <c r="B146" s="244" t="s">
        <v>749</v>
      </c>
      <c r="C146" s="245"/>
      <c r="D146" s="246"/>
      <c r="E146" s="240"/>
      <c r="F146" s="241"/>
      <c r="G146" s="247">
        <v>0</v>
      </c>
      <c r="H146" s="241"/>
      <c r="I146" s="247">
        <v>0</v>
      </c>
      <c r="J146" s="241"/>
      <c r="K146" s="247">
        <v>375</v>
      </c>
      <c r="L146" s="241"/>
      <c r="M146" s="247">
        <v>0</v>
      </c>
      <c r="N146" s="241"/>
      <c r="O146" s="247">
        <v>0</v>
      </c>
      <c r="P146" s="241"/>
      <c r="Q146" s="247">
        <v>0</v>
      </c>
      <c r="R146" s="241"/>
      <c r="S146" s="247">
        <v>0</v>
      </c>
      <c r="T146" s="241"/>
      <c r="U146" s="247">
        <v>0</v>
      </c>
      <c r="V146" s="241"/>
      <c r="W146" s="247">
        <v>30</v>
      </c>
      <c r="X146" s="241"/>
      <c r="Y146" s="247">
        <v>15</v>
      </c>
      <c r="Z146" s="241"/>
      <c r="AA146" s="247">
        <v>0</v>
      </c>
      <c r="AB146" s="241"/>
      <c r="AC146" s="247">
        <v>15</v>
      </c>
      <c r="AD146" s="241"/>
      <c r="AE146" s="247">
        <f t="shared" si="16"/>
        <v>435</v>
      </c>
      <c r="AF146" s="248">
        <f t="shared" si="17"/>
        <v>1.9478656333520392E-5</v>
      </c>
      <c r="AG146" s="249"/>
    </row>
    <row r="147" spans="1:33" outlineLevel="1">
      <c r="A147" s="244">
        <v>56050</v>
      </c>
      <c r="B147" s="244" t="s">
        <v>751</v>
      </c>
      <c r="C147" s="245"/>
      <c r="D147" s="246"/>
      <c r="E147" s="240"/>
      <c r="F147" s="241"/>
      <c r="G147" s="247">
        <v>1524.97</v>
      </c>
      <c r="H147" s="241"/>
      <c r="I147" s="247">
        <v>541.38</v>
      </c>
      <c r="J147" s="241"/>
      <c r="K147" s="247">
        <v>854.64</v>
      </c>
      <c r="L147" s="241"/>
      <c r="M147" s="247">
        <v>990.42</v>
      </c>
      <c r="N147" s="241"/>
      <c r="O147" s="247">
        <v>1057.26</v>
      </c>
      <c r="P147" s="241"/>
      <c r="Q147" s="247">
        <v>1063.6099999999999</v>
      </c>
      <c r="R147" s="241"/>
      <c r="S147" s="247">
        <v>1060.6400000000001</v>
      </c>
      <c r="T147" s="241"/>
      <c r="U147" s="247">
        <v>939.99</v>
      </c>
      <c r="V147" s="241"/>
      <c r="W147" s="247">
        <v>601.9</v>
      </c>
      <c r="X147" s="241"/>
      <c r="Y147" s="247">
        <v>714.42</v>
      </c>
      <c r="Z147" s="241"/>
      <c r="AA147" s="247">
        <v>670.43</v>
      </c>
      <c r="AB147" s="241"/>
      <c r="AC147" s="247">
        <v>762.93</v>
      </c>
      <c r="AD147" s="241"/>
      <c r="AE147" s="247">
        <f t="shared" si="16"/>
        <v>10782.589999999998</v>
      </c>
      <c r="AF147" s="248">
        <f t="shared" si="17"/>
        <v>4.8282842527644511E-4</v>
      </c>
      <c r="AG147" s="249"/>
    </row>
    <row r="148" spans="1:33" outlineLevel="1">
      <c r="A148" s="244">
        <v>56060</v>
      </c>
      <c r="B148" s="244" t="s">
        <v>752</v>
      </c>
      <c r="C148" s="245"/>
      <c r="D148" s="246"/>
      <c r="E148" s="240"/>
      <c r="F148" s="241"/>
      <c r="G148" s="247">
        <v>2562.48</v>
      </c>
      <c r="H148" s="241"/>
      <c r="I148" s="247">
        <v>868.26</v>
      </c>
      <c r="J148" s="241"/>
      <c r="K148" s="247">
        <v>1436.77</v>
      </c>
      <c r="L148" s="241"/>
      <c r="M148" s="247">
        <v>1570.89</v>
      </c>
      <c r="N148" s="241"/>
      <c r="O148" s="247">
        <v>1877.39</v>
      </c>
      <c r="P148" s="241"/>
      <c r="Q148" s="247">
        <v>1864.38</v>
      </c>
      <c r="R148" s="241"/>
      <c r="S148" s="247">
        <v>1864.37</v>
      </c>
      <c r="T148" s="241"/>
      <c r="U148" s="247">
        <v>1864.37</v>
      </c>
      <c r="V148" s="241"/>
      <c r="W148" s="247">
        <v>1459.39</v>
      </c>
      <c r="X148" s="241"/>
      <c r="Y148" s="247">
        <v>1600.02</v>
      </c>
      <c r="Z148" s="241"/>
      <c r="AA148" s="247">
        <v>1600.01</v>
      </c>
      <c r="AB148" s="241"/>
      <c r="AC148" s="247">
        <v>1600.02</v>
      </c>
      <c r="AD148" s="241"/>
      <c r="AE148" s="247">
        <f t="shared" si="16"/>
        <v>20168.349999999999</v>
      </c>
      <c r="AF148" s="248">
        <f t="shared" si="17"/>
        <v>9.0310887003254255E-4</v>
      </c>
      <c r="AG148" s="249"/>
    </row>
    <row r="149" spans="1:33" outlineLevel="1">
      <c r="A149" s="244">
        <v>56065</v>
      </c>
      <c r="B149" s="244" t="s">
        <v>753</v>
      </c>
      <c r="C149" s="245"/>
      <c r="D149" s="246"/>
      <c r="E149" s="240"/>
      <c r="F149" s="241"/>
      <c r="G149" s="247">
        <v>3134.95</v>
      </c>
      <c r="H149" s="241"/>
      <c r="I149" s="247">
        <v>-1144.3499999999999</v>
      </c>
      <c r="J149" s="241"/>
      <c r="K149" s="247">
        <v>737.05</v>
      </c>
      <c r="L149" s="241"/>
      <c r="M149" s="247">
        <v>737.11</v>
      </c>
      <c r="N149" s="241"/>
      <c r="O149" s="247">
        <v>789.83</v>
      </c>
      <c r="P149" s="241"/>
      <c r="Q149" s="247">
        <v>78.02</v>
      </c>
      <c r="R149" s="241"/>
      <c r="S149" s="247">
        <v>-1300.71</v>
      </c>
      <c r="T149" s="241"/>
      <c r="U149" s="247">
        <v>789.83</v>
      </c>
      <c r="V149" s="241"/>
      <c r="W149" s="247">
        <v>764.34</v>
      </c>
      <c r="X149" s="241"/>
      <c r="Y149" s="247">
        <v>585.04</v>
      </c>
      <c r="Z149" s="241"/>
      <c r="AA149" s="247">
        <v>220.4</v>
      </c>
      <c r="AB149" s="241"/>
      <c r="AC149" s="247">
        <v>706.65</v>
      </c>
      <c r="AD149" s="241"/>
      <c r="AE149" s="247">
        <f t="shared" si="16"/>
        <v>6098.16</v>
      </c>
      <c r="AF149" s="248">
        <f t="shared" si="17"/>
        <v>2.7306658139499018E-4</v>
      </c>
      <c r="AG149" s="249"/>
    </row>
    <row r="150" spans="1:33" outlineLevel="1">
      <c r="A150" s="244">
        <v>56086</v>
      </c>
      <c r="B150" s="244" t="s">
        <v>755</v>
      </c>
      <c r="C150" s="245"/>
      <c r="D150" s="246"/>
      <c r="E150" s="240"/>
      <c r="F150" s="241"/>
      <c r="G150" s="247">
        <v>-5750</v>
      </c>
      <c r="H150" s="241"/>
      <c r="I150" s="247">
        <v>6033.92</v>
      </c>
      <c r="J150" s="241"/>
      <c r="K150" s="247">
        <v>47.12</v>
      </c>
      <c r="L150" s="241"/>
      <c r="M150" s="247">
        <v>1101.44</v>
      </c>
      <c r="N150" s="241"/>
      <c r="O150" s="247">
        <v>114.89</v>
      </c>
      <c r="P150" s="241"/>
      <c r="Q150" s="247">
        <v>160.91999999999999</v>
      </c>
      <c r="R150" s="241"/>
      <c r="S150" s="247">
        <v>97.35</v>
      </c>
      <c r="T150" s="241"/>
      <c r="U150" s="247">
        <v>151.44999999999999</v>
      </c>
      <c r="V150" s="241"/>
      <c r="W150" s="247">
        <v>0</v>
      </c>
      <c r="X150" s="241"/>
      <c r="Y150" s="247">
        <v>0</v>
      </c>
      <c r="Z150" s="241"/>
      <c r="AA150" s="247">
        <v>0</v>
      </c>
      <c r="AB150" s="241"/>
      <c r="AC150" s="247">
        <v>0</v>
      </c>
      <c r="AD150" s="241"/>
      <c r="AE150" s="247">
        <f t="shared" si="16"/>
        <v>1957.0900000000001</v>
      </c>
      <c r="AF150" s="248">
        <f t="shared" si="17"/>
        <v>8.763559430751593E-5</v>
      </c>
      <c r="AG150" s="249"/>
    </row>
    <row r="151" spans="1:33" outlineLevel="1">
      <c r="A151" s="244">
        <v>56090</v>
      </c>
      <c r="B151" s="244" t="s">
        <v>756</v>
      </c>
      <c r="C151" s="245"/>
      <c r="D151" s="246"/>
      <c r="E151" s="240"/>
      <c r="F151" s="241"/>
      <c r="G151" s="247">
        <v>-1956.84</v>
      </c>
      <c r="H151" s="241"/>
      <c r="I151" s="247">
        <v>1956.84</v>
      </c>
      <c r="J151" s="241"/>
      <c r="K151" s="247">
        <v>0</v>
      </c>
      <c r="L151" s="241"/>
      <c r="M151" s="247">
        <v>0</v>
      </c>
      <c r="N151" s="241"/>
      <c r="O151" s="247">
        <v>0</v>
      </c>
      <c r="P151" s="241"/>
      <c r="Q151" s="247">
        <v>0</v>
      </c>
      <c r="R151" s="241"/>
      <c r="S151" s="247">
        <v>0</v>
      </c>
      <c r="T151" s="241"/>
      <c r="U151" s="247">
        <v>0</v>
      </c>
      <c r="V151" s="241"/>
      <c r="W151" s="247">
        <v>434</v>
      </c>
      <c r="X151" s="241"/>
      <c r="Y151" s="247">
        <v>0</v>
      </c>
      <c r="Z151" s="241"/>
      <c r="AA151" s="247">
        <v>0</v>
      </c>
      <c r="AB151" s="241"/>
      <c r="AC151" s="247">
        <v>0</v>
      </c>
      <c r="AD151" s="241"/>
      <c r="AE151" s="247">
        <f t="shared" si="16"/>
        <v>434.00000000000023</v>
      </c>
      <c r="AF151" s="248">
        <f t="shared" si="17"/>
        <v>1.943387781321346E-5</v>
      </c>
      <c r="AG151" s="249"/>
    </row>
    <row r="152" spans="1:33" outlineLevel="1">
      <c r="A152" s="244">
        <v>56095</v>
      </c>
      <c r="B152" s="244" t="s">
        <v>781</v>
      </c>
      <c r="C152" s="245"/>
      <c r="D152" s="246"/>
      <c r="E152" s="240"/>
      <c r="F152" s="241"/>
      <c r="G152" s="247">
        <v>834.77</v>
      </c>
      <c r="H152" s="241"/>
      <c r="I152" s="247">
        <v>8982.56</v>
      </c>
      <c r="J152" s="241"/>
      <c r="K152" s="247">
        <v>26762.11</v>
      </c>
      <c r="L152" s="241"/>
      <c r="M152" s="247">
        <v>2610.23</v>
      </c>
      <c r="N152" s="241"/>
      <c r="O152" s="247">
        <v>3744.21</v>
      </c>
      <c r="P152" s="241"/>
      <c r="Q152" s="247">
        <v>8743.66</v>
      </c>
      <c r="R152" s="241"/>
      <c r="S152" s="247">
        <v>6226.98</v>
      </c>
      <c r="T152" s="241"/>
      <c r="U152" s="247">
        <v>3445.41</v>
      </c>
      <c r="V152" s="241"/>
      <c r="W152" s="247">
        <v>1865.07</v>
      </c>
      <c r="X152" s="241"/>
      <c r="Y152" s="247">
        <v>963.52</v>
      </c>
      <c r="Z152" s="241"/>
      <c r="AA152" s="247">
        <v>1748.92</v>
      </c>
      <c r="AB152" s="241"/>
      <c r="AC152" s="247">
        <v>1172.07</v>
      </c>
      <c r="AD152" s="241"/>
      <c r="AE152" s="247">
        <f t="shared" si="16"/>
        <v>67099.509999999995</v>
      </c>
      <c r="AF152" s="248">
        <f t="shared" si="17"/>
        <v>3.0046167711209539E-3</v>
      </c>
      <c r="AG152" s="249"/>
    </row>
    <row r="153" spans="1:33" outlineLevel="1">
      <c r="A153" s="244">
        <v>56105</v>
      </c>
      <c r="B153" s="244" t="s">
        <v>782</v>
      </c>
      <c r="C153" s="245"/>
      <c r="D153" s="246"/>
      <c r="E153" s="240"/>
      <c r="F153" s="241"/>
      <c r="G153" s="247">
        <v>0</v>
      </c>
      <c r="H153" s="241"/>
      <c r="I153" s="247">
        <v>0</v>
      </c>
      <c r="J153" s="241"/>
      <c r="K153" s="247">
        <v>0</v>
      </c>
      <c r="L153" s="241"/>
      <c r="M153" s="247">
        <v>0</v>
      </c>
      <c r="N153" s="241"/>
      <c r="O153" s="247">
        <v>0</v>
      </c>
      <c r="P153" s="241"/>
      <c r="Q153" s="247">
        <v>0</v>
      </c>
      <c r="R153" s="241"/>
      <c r="S153" s="247">
        <v>0</v>
      </c>
      <c r="T153" s="241"/>
      <c r="U153" s="247">
        <v>1713.8</v>
      </c>
      <c r="V153" s="241"/>
      <c r="W153" s="247">
        <v>0</v>
      </c>
      <c r="X153" s="241"/>
      <c r="Y153" s="247">
        <v>0</v>
      </c>
      <c r="Z153" s="241"/>
      <c r="AA153" s="247">
        <v>0</v>
      </c>
      <c r="AB153" s="241"/>
      <c r="AC153" s="247">
        <v>0</v>
      </c>
      <c r="AD153" s="241"/>
      <c r="AE153" s="247">
        <f t="shared" si="16"/>
        <v>1713.8</v>
      </c>
      <c r="AF153" s="248">
        <f t="shared" si="17"/>
        <v>7.6741428102039647E-5</v>
      </c>
      <c r="AG153" s="249"/>
    </row>
    <row r="154" spans="1:33" outlineLevel="1">
      <c r="A154" s="244">
        <v>56115</v>
      </c>
      <c r="B154" s="244" t="s">
        <v>757</v>
      </c>
      <c r="C154" s="245"/>
      <c r="D154" s="246"/>
      <c r="E154" s="240"/>
      <c r="F154" s="241"/>
      <c r="G154" s="247">
        <v>412.92</v>
      </c>
      <c r="H154" s="241"/>
      <c r="I154" s="247">
        <v>149.08000000000001</v>
      </c>
      <c r="J154" s="241"/>
      <c r="K154" s="247">
        <v>377.95</v>
      </c>
      <c r="L154" s="241"/>
      <c r="M154" s="247">
        <v>251.97</v>
      </c>
      <c r="N154" s="241"/>
      <c r="O154" s="247">
        <v>251.97</v>
      </c>
      <c r="P154" s="241"/>
      <c r="Q154" s="247">
        <v>251.97</v>
      </c>
      <c r="R154" s="241"/>
      <c r="S154" s="247">
        <v>251.96</v>
      </c>
      <c r="T154" s="241"/>
      <c r="U154" s="247">
        <v>251.97</v>
      </c>
      <c r="V154" s="241"/>
      <c r="W154" s="247">
        <v>333.47</v>
      </c>
      <c r="X154" s="241"/>
      <c r="Y154" s="247">
        <v>207.48</v>
      </c>
      <c r="Z154" s="241"/>
      <c r="AA154" s="247">
        <v>207.48</v>
      </c>
      <c r="AB154" s="241"/>
      <c r="AC154" s="247">
        <v>213.52</v>
      </c>
      <c r="AD154" s="241"/>
      <c r="AE154" s="247">
        <f t="shared" si="16"/>
        <v>3161.74</v>
      </c>
      <c r="AF154" s="248">
        <f t="shared" si="17"/>
        <v>1.4157803879527532E-4</v>
      </c>
      <c r="AG154" s="249"/>
    </row>
    <row r="155" spans="1:33" outlineLevel="1">
      <c r="A155" s="244">
        <v>56125</v>
      </c>
      <c r="B155" s="244" t="s">
        <v>763</v>
      </c>
      <c r="C155" s="245"/>
      <c r="D155" s="246"/>
      <c r="E155" s="240"/>
      <c r="F155" s="241"/>
      <c r="G155" s="247">
        <v>2998.4</v>
      </c>
      <c r="H155" s="241"/>
      <c r="I155" s="247">
        <v>327.48</v>
      </c>
      <c r="J155" s="241"/>
      <c r="K155" s="247">
        <v>1718.98</v>
      </c>
      <c r="L155" s="241"/>
      <c r="M155" s="247">
        <v>1753.65</v>
      </c>
      <c r="N155" s="241"/>
      <c r="O155" s="247">
        <v>2107.44</v>
      </c>
      <c r="P155" s="241"/>
      <c r="Q155" s="247">
        <v>3029.37</v>
      </c>
      <c r="R155" s="241"/>
      <c r="S155" s="247">
        <v>1796.44</v>
      </c>
      <c r="T155" s="241"/>
      <c r="U155" s="247">
        <v>2257.91</v>
      </c>
      <c r="V155" s="241"/>
      <c r="W155" s="247">
        <v>2185.5100000000002</v>
      </c>
      <c r="X155" s="241"/>
      <c r="Y155" s="247">
        <v>2675.93</v>
      </c>
      <c r="Z155" s="241"/>
      <c r="AA155" s="247">
        <v>3345.57</v>
      </c>
      <c r="AB155" s="241"/>
      <c r="AC155" s="247">
        <v>2339.89</v>
      </c>
      <c r="AD155" s="241"/>
      <c r="AE155" s="247">
        <f t="shared" si="16"/>
        <v>26536.57</v>
      </c>
      <c r="AF155" s="248">
        <f t="shared" si="17"/>
        <v>1.1882683386216259E-3</v>
      </c>
      <c r="AG155" s="249"/>
    </row>
    <row r="156" spans="1:33" outlineLevel="1">
      <c r="A156" s="244">
        <v>56165</v>
      </c>
      <c r="B156" s="244" t="s">
        <v>771</v>
      </c>
      <c r="C156" s="245"/>
      <c r="D156" s="246"/>
      <c r="E156" s="240"/>
      <c r="F156" s="241"/>
      <c r="G156" s="247">
        <v>389.3</v>
      </c>
      <c r="H156" s="241"/>
      <c r="I156" s="247">
        <v>1005.01</v>
      </c>
      <c r="J156" s="241"/>
      <c r="K156" s="247">
        <v>153.49</v>
      </c>
      <c r="L156" s="241"/>
      <c r="M156" s="247">
        <v>153.49</v>
      </c>
      <c r="N156" s="241"/>
      <c r="O156" s="247">
        <v>153.49</v>
      </c>
      <c r="P156" s="241"/>
      <c r="Q156" s="247">
        <v>153.49</v>
      </c>
      <c r="R156" s="241"/>
      <c r="S156" s="247">
        <v>153.53</v>
      </c>
      <c r="T156" s="241"/>
      <c r="U156" s="247">
        <v>153.80000000000001</v>
      </c>
      <c r="V156" s="241"/>
      <c r="W156" s="247">
        <v>153.80000000000001</v>
      </c>
      <c r="X156" s="241"/>
      <c r="Y156" s="247">
        <v>308.91000000000003</v>
      </c>
      <c r="Z156" s="241"/>
      <c r="AA156" s="247">
        <v>308.89999999999998</v>
      </c>
      <c r="AB156" s="241"/>
      <c r="AC156" s="247">
        <v>308.89999999999998</v>
      </c>
      <c r="AD156" s="241"/>
      <c r="AE156" s="247">
        <f t="shared" si="16"/>
        <v>3396.11</v>
      </c>
      <c r="AF156" s="248">
        <f t="shared" si="17"/>
        <v>1.5207278059961368E-4</v>
      </c>
      <c r="AG156" s="249"/>
    </row>
    <row r="157" spans="1:33" outlineLevel="1">
      <c r="A157" s="244">
        <v>56200</v>
      </c>
      <c r="B157" s="244" t="s">
        <v>775</v>
      </c>
      <c r="C157" s="245"/>
      <c r="D157" s="246"/>
      <c r="E157" s="240"/>
      <c r="F157" s="241"/>
      <c r="G157" s="247">
        <v>0</v>
      </c>
      <c r="H157" s="241"/>
      <c r="I157" s="247">
        <v>0</v>
      </c>
      <c r="J157" s="241"/>
      <c r="K157" s="247">
        <v>0</v>
      </c>
      <c r="L157" s="241"/>
      <c r="M157" s="247">
        <v>0</v>
      </c>
      <c r="N157" s="241"/>
      <c r="O157" s="247">
        <v>36.770000000000003</v>
      </c>
      <c r="P157" s="241"/>
      <c r="Q157" s="247">
        <v>469.98</v>
      </c>
      <c r="R157" s="241"/>
      <c r="S157" s="247">
        <v>0</v>
      </c>
      <c r="T157" s="241"/>
      <c r="U157" s="247">
        <v>0</v>
      </c>
      <c r="V157" s="241"/>
      <c r="W157" s="247">
        <v>0</v>
      </c>
      <c r="X157" s="241"/>
      <c r="Y157" s="247">
        <v>0</v>
      </c>
      <c r="Z157" s="241"/>
      <c r="AA157" s="247">
        <v>0</v>
      </c>
      <c r="AB157" s="241"/>
      <c r="AC157" s="247">
        <v>0</v>
      </c>
      <c r="AD157" s="241"/>
      <c r="AE157" s="247">
        <f t="shared" si="16"/>
        <v>506.75</v>
      </c>
      <c r="AF157" s="248">
        <f t="shared" si="17"/>
        <v>2.2691515165543586E-5</v>
      </c>
      <c r="AG157" s="249"/>
    </row>
    <row r="158" spans="1:33" outlineLevel="1">
      <c r="A158" s="244">
        <v>56201</v>
      </c>
      <c r="B158" s="244" t="s">
        <v>783</v>
      </c>
      <c r="C158" s="245"/>
      <c r="D158" s="246"/>
      <c r="E158" s="240"/>
      <c r="F158" s="241"/>
      <c r="G158" s="247">
        <v>0</v>
      </c>
      <c r="H158" s="241"/>
      <c r="I158" s="247">
        <v>76.38</v>
      </c>
      <c r="J158" s="241"/>
      <c r="K158" s="247">
        <v>292.36</v>
      </c>
      <c r="L158" s="241"/>
      <c r="M158" s="247">
        <v>26.25</v>
      </c>
      <c r="N158" s="241"/>
      <c r="O158" s="247">
        <v>130.97</v>
      </c>
      <c r="P158" s="241"/>
      <c r="Q158" s="247">
        <v>21.14</v>
      </c>
      <c r="R158" s="241"/>
      <c r="S158" s="247">
        <v>30.65</v>
      </c>
      <c r="T158" s="241"/>
      <c r="U158" s="247">
        <v>129.11000000000001</v>
      </c>
      <c r="V158" s="241"/>
      <c r="W158" s="247">
        <v>17.78</v>
      </c>
      <c r="X158" s="241"/>
      <c r="Y158" s="247">
        <v>271.20999999999998</v>
      </c>
      <c r="Z158" s="241"/>
      <c r="AA158" s="247">
        <v>249.63</v>
      </c>
      <c r="AB158" s="241"/>
      <c r="AC158" s="247">
        <v>12.18</v>
      </c>
      <c r="AD158" s="241"/>
      <c r="AE158" s="247">
        <f t="shared" si="16"/>
        <v>1257.6599999999999</v>
      </c>
      <c r="AF158" s="248">
        <f t="shared" si="17"/>
        <v>5.6316153849230469E-5</v>
      </c>
      <c r="AG158" s="249"/>
    </row>
    <row r="159" spans="1:33" outlineLevel="1">
      <c r="A159" s="244">
        <v>56210</v>
      </c>
      <c r="B159" s="244" t="s">
        <v>776</v>
      </c>
      <c r="C159" s="245"/>
      <c r="D159" s="246"/>
      <c r="E159" s="240"/>
      <c r="F159" s="241"/>
      <c r="G159" s="247">
        <v>0</v>
      </c>
      <c r="H159" s="241"/>
      <c r="I159" s="247">
        <v>5.03</v>
      </c>
      <c r="J159" s="241"/>
      <c r="K159" s="247">
        <v>0</v>
      </c>
      <c r="L159" s="241"/>
      <c r="M159" s="247">
        <v>5.07</v>
      </c>
      <c r="N159" s="241"/>
      <c r="O159" s="247">
        <v>0</v>
      </c>
      <c r="P159" s="241"/>
      <c r="Q159" s="247">
        <v>0</v>
      </c>
      <c r="R159" s="241"/>
      <c r="S159" s="247">
        <v>0</v>
      </c>
      <c r="T159" s="241"/>
      <c r="U159" s="247">
        <v>0</v>
      </c>
      <c r="V159" s="241"/>
      <c r="W159" s="247">
        <v>0</v>
      </c>
      <c r="X159" s="241"/>
      <c r="Y159" s="247">
        <v>0</v>
      </c>
      <c r="Z159" s="241"/>
      <c r="AA159" s="247">
        <v>0</v>
      </c>
      <c r="AB159" s="241"/>
      <c r="AC159" s="247">
        <v>252.99</v>
      </c>
      <c r="AD159" s="241"/>
      <c r="AE159" s="247">
        <f t="shared" si="16"/>
        <v>263.08999999999997</v>
      </c>
      <c r="AF159" s="248">
        <f t="shared" si="17"/>
        <v>1.1780780907553747E-5</v>
      </c>
      <c r="AG159" s="249"/>
    </row>
    <row r="160" spans="1:33" s="240" customFormat="1" ht="5.15" customHeight="1" outlineLevel="1">
      <c r="A160" s="245"/>
      <c r="B160" s="245"/>
      <c r="C160" s="245"/>
      <c r="D160" s="245"/>
      <c r="G160" s="255"/>
      <c r="H160" s="253"/>
      <c r="I160" s="255"/>
      <c r="J160" s="253"/>
      <c r="K160" s="255"/>
      <c r="L160" s="253"/>
      <c r="M160" s="255"/>
      <c r="N160" s="253"/>
      <c r="O160" s="255"/>
      <c r="P160" s="253"/>
      <c r="Q160" s="255"/>
      <c r="R160" s="253"/>
      <c r="S160" s="255"/>
      <c r="T160" s="253"/>
      <c r="U160" s="255"/>
      <c r="V160" s="253"/>
      <c r="W160" s="255"/>
      <c r="X160" s="253"/>
      <c r="Y160" s="255"/>
      <c r="Z160" s="253"/>
      <c r="AA160" s="255"/>
      <c r="AB160" s="253"/>
      <c r="AC160" s="255"/>
      <c r="AD160" s="253"/>
      <c r="AE160" s="255"/>
      <c r="AF160" s="243"/>
      <c r="AG160" s="222"/>
    </row>
    <row r="161" spans="1:33" s="240" customFormat="1" ht="15.5">
      <c r="C161" s="245" t="s">
        <v>784</v>
      </c>
      <c r="G161" s="252">
        <f>SUM(G143:G160)</f>
        <v>26257.74</v>
      </c>
      <c r="H161" s="253"/>
      <c r="I161" s="252">
        <f>SUM(I143:I160)</f>
        <v>29351.280000000002</v>
      </c>
      <c r="J161" s="253"/>
      <c r="K161" s="252">
        <f>SUM(K143:K160)</f>
        <v>49830.84</v>
      </c>
      <c r="L161" s="253"/>
      <c r="M161" s="252">
        <f>SUM(M143:M160)</f>
        <v>26780.94</v>
      </c>
      <c r="N161" s="253"/>
      <c r="O161" s="252">
        <f>SUM(O143:O160)</f>
        <v>28624.09</v>
      </c>
      <c r="P161" s="253"/>
      <c r="Q161" s="252">
        <f>SUM(Q143:Q160)</f>
        <v>34499.200000000004</v>
      </c>
      <c r="R161" s="253"/>
      <c r="S161" s="252">
        <f>SUM(S143:S160)</f>
        <v>29435.249999999996</v>
      </c>
      <c r="T161" s="253"/>
      <c r="U161" s="252">
        <f>SUM(U143:U160)</f>
        <v>29768.920000000002</v>
      </c>
      <c r="V161" s="253"/>
      <c r="W161" s="252">
        <f>SUM(W143:W160)</f>
        <v>26507.920000000002</v>
      </c>
      <c r="X161" s="253"/>
      <c r="Y161" s="252">
        <f>SUM(Y143:Y160)</f>
        <v>25855.91</v>
      </c>
      <c r="Z161" s="253"/>
      <c r="AA161" s="252">
        <f>SUM(AA143:AA160)</f>
        <v>26348.46</v>
      </c>
      <c r="AB161" s="253"/>
      <c r="AC161" s="252">
        <f>SUM(AC143:AC160)</f>
        <v>-15006.21</v>
      </c>
      <c r="AD161" s="253"/>
      <c r="AE161" s="252">
        <f>SUM(AE143:AE160)</f>
        <v>318254.33999999997</v>
      </c>
      <c r="AF161" s="248">
        <f>IF(AE$50=0,0,AE161/AE$50)</f>
        <v>1.4250958426462878E-2</v>
      </c>
      <c r="AG161" s="222"/>
    </row>
    <row r="162" spans="1:33" s="240" customFormat="1" ht="15.5" outlineLevel="1">
      <c r="G162" s="254"/>
      <c r="H162" s="253"/>
      <c r="I162" s="254"/>
      <c r="J162" s="253"/>
      <c r="K162" s="254"/>
      <c r="L162" s="253"/>
      <c r="M162" s="254"/>
      <c r="N162" s="253"/>
      <c r="O162" s="254"/>
      <c r="P162" s="253"/>
      <c r="Q162" s="254"/>
      <c r="R162" s="253"/>
      <c r="S162" s="254"/>
      <c r="T162" s="253"/>
      <c r="U162" s="254"/>
      <c r="V162" s="253"/>
      <c r="W162" s="254"/>
      <c r="X162" s="253"/>
      <c r="Y162" s="254"/>
      <c r="Z162" s="253"/>
      <c r="AA162" s="254"/>
      <c r="AB162" s="253"/>
      <c r="AC162" s="254"/>
      <c r="AD162" s="253"/>
      <c r="AE162" s="254"/>
      <c r="AF162" s="243"/>
      <c r="AG162" s="222"/>
    </row>
    <row r="163" spans="1:33" s="240" customFormat="1" ht="15.5" outlineLevel="1">
      <c r="G163" s="254"/>
      <c r="H163" s="253"/>
      <c r="I163" s="254"/>
      <c r="J163" s="253"/>
      <c r="K163" s="254"/>
      <c r="L163" s="253"/>
      <c r="M163" s="254"/>
      <c r="N163" s="253"/>
      <c r="O163" s="254"/>
      <c r="P163" s="253"/>
      <c r="Q163" s="254"/>
      <c r="R163" s="253"/>
      <c r="S163" s="254"/>
      <c r="T163" s="253"/>
      <c r="U163" s="254"/>
      <c r="V163" s="253"/>
      <c r="W163" s="254"/>
      <c r="X163" s="253"/>
      <c r="Y163" s="254"/>
      <c r="Z163" s="253"/>
      <c r="AA163" s="254"/>
      <c r="AB163" s="253"/>
      <c r="AC163" s="254"/>
      <c r="AD163" s="253"/>
      <c r="AE163" s="254"/>
      <c r="AF163" s="243"/>
      <c r="AG163" s="222"/>
    </row>
    <row r="164" spans="1:33" outlineLevel="1">
      <c r="A164" s="244">
        <v>57125</v>
      </c>
      <c r="B164" s="244" t="s">
        <v>763</v>
      </c>
      <c r="C164" s="245"/>
      <c r="D164" s="246"/>
      <c r="E164" s="240"/>
      <c r="F164" s="241"/>
      <c r="G164" s="247">
        <v>141.87</v>
      </c>
      <c r="H164" s="241"/>
      <c r="I164" s="247">
        <v>-69.010000000000005</v>
      </c>
      <c r="J164" s="241"/>
      <c r="K164" s="247">
        <v>0</v>
      </c>
      <c r="L164" s="241"/>
      <c r="M164" s="247">
        <v>161.19</v>
      </c>
      <c r="N164" s="241"/>
      <c r="O164" s="247">
        <v>329.06</v>
      </c>
      <c r="P164" s="241"/>
      <c r="Q164" s="247">
        <v>684.51</v>
      </c>
      <c r="R164" s="241"/>
      <c r="S164" s="247">
        <v>2350.85</v>
      </c>
      <c r="T164" s="241"/>
      <c r="U164" s="247">
        <v>2039.84</v>
      </c>
      <c r="V164" s="241"/>
      <c r="W164" s="247">
        <v>1632.17</v>
      </c>
      <c r="X164" s="241"/>
      <c r="Y164" s="247">
        <v>3485.36</v>
      </c>
      <c r="Z164" s="241"/>
      <c r="AA164" s="247">
        <v>561.52</v>
      </c>
      <c r="AB164" s="241"/>
      <c r="AC164" s="247">
        <v>3062.41</v>
      </c>
      <c r="AD164" s="241"/>
      <c r="AE164" s="247">
        <f t="shared" ref="AE164:AE172" si="18">AC164+AA164+Y164+W164+U164+S164+Q164+O164+M164+K164+I164+G164</f>
        <v>14379.77</v>
      </c>
      <c r="AF164" s="248">
        <f t="shared" ref="AF164:AF172" si="19">IF(AE$50=0,0,AE164/AE$50)</f>
        <v>6.4390482295417599E-4</v>
      </c>
      <c r="AG164" s="249"/>
    </row>
    <row r="165" spans="1:33" outlineLevel="1">
      <c r="A165" s="244">
        <v>57135</v>
      </c>
      <c r="B165" s="244" t="s">
        <v>785</v>
      </c>
      <c r="C165" s="245"/>
      <c r="D165" s="246"/>
      <c r="E165" s="240"/>
      <c r="F165" s="241"/>
      <c r="G165" s="247">
        <v>0</v>
      </c>
      <c r="H165" s="241"/>
      <c r="I165" s="247">
        <v>0</v>
      </c>
      <c r="J165" s="241"/>
      <c r="K165" s="247">
        <v>0</v>
      </c>
      <c r="L165" s="241"/>
      <c r="M165" s="247">
        <v>105.86</v>
      </c>
      <c r="N165" s="241"/>
      <c r="O165" s="247">
        <v>135.91</v>
      </c>
      <c r="P165" s="241"/>
      <c r="Q165" s="247">
        <v>0</v>
      </c>
      <c r="R165" s="241"/>
      <c r="S165" s="247">
        <v>0</v>
      </c>
      <c r="T165" s="241"/>
      <c r="U165" s="247">
        <v>0</v>
      </c>
      <c r="V165" s="241"/>
      <c r="W165" s="247">
        <v>0</v>
      </c>
      <c r="X165" s="241"/>
      <c r="Y165" s="247">
        <v>0</v>
      </c>
      <c r="Z165" s="241"/>
      <c r="AA165" s="247">
        <v>0</v>
      </c>
      <c r="AB165" s="241"/>
      <c r="AC165" s="247">
        <v>0</v>
      </c>
      <c r="AD165" s="241"/>
      <c r="AE165" s="247">
        <f t="shared" si="18"/>
        <v>241.76999999999998</v>
      </c>
      <c r="AF165" s="248">
        <f t="shared" si="19"/>
        <v>1.0826102854609713E-5</v>
      </c>
      <c r="AG165" s="249"/>
    </row>
    <row r="166" spans="1:33" outlineLevel="1">
      <c r="A166" s="244">
        <v>57147</v>
      </c>
      <c r="B166" s="244" t="s">
        <v>786</v>
      </c>
      <c r="C166" s="245"/>
      <c r="D166" s="246"/>
      <c r="E166" s="240"/>
      <c r="F166" s="241"/>
      <c r="G166" s="247">
        <v>30931.57</v>
      </c>
      <c r="H166" s="241"/>
      <c r="I166" s="247">
        <v>-2783.15</v>
      </c>
      <c r="J166" s="241"/>
      <c r="K166" s="247">
        <v>9049.2999999999993</v>
      </c>
      <c r="L166" s="241"/>
      <c r="M166" s="247">
        <v>16303.25</v>
      </c>
      <c r="N166" s="241"/>
      <c r="O166" s="247">
        <v>10524.46</v>
      </c>
      <c r="P166" s="241"/>
      <c r="Q166" s="247">
        <v>22592.69</v>
      </c>
      <c r="R166" s="241"/>
      <c r="S166" s="247">
        <v>9637.5400000000009</v>
      </c>
      <c r="T166" s="241"/>
      <c r="U166" s="247">
        <v>12878.48</v>
      </c>
      <c r="V166" s="241"/>
      <c r="W166" s="247">
        <v>7117.55</v>
      </c>
      <c r="X166" s="241"/>
      <c r="Y166" s="247">
        <v>15172.66</v>
      </c>
      <c r="Z166" s="241"/>
      <c r="AA166" s="247">
        <v>19862.060000000001</v>
      </c>
      <c r="AB166" s="241"/>
      <c r="AC166" s="247">
        <v>15024.7</v>
      </c>
      <c r="AD166" s="241"/>
      <c r="AE166" s="247">
        <f t="shared" si="18"/>
        <v>166311.10999999999</v>
      </c>
      <c r="AF166" s="248">
        <f t="shared" si="19"/>
        <v>7.4471654164053021E-3</v>
      </c>
      <c r="AG166" s="249"/>
    </row>
    <row r="167" spans="1:33" outlineLevel="1">
      <c r="A167" s="244">
        <v>57175</v>
      </c>
      <c r="B167" s="244" t="s">
        <v>787</v>
      </c>
      <c r="C167" s="245"/>
      <c r="D167" s="246"/>
      <c r="E167" s="240"/>
      <c r="F167" s="241"/>
      <c r="G167" s="247">
        <v>0</v>
      </c>
      <c r="H167" s="241"/>
      <c r="I167" s="247">
        <v>0</v>
      </c>
      <c r="J167" s="241"/>
      <c r="K167" s="247">
        <v>0</v>
      </c>
      <c r="L167" s="241"/>
      <c r="M167" s="247">
        <v>0</v>
      </c>
      <c r="N167" s="241"/>
      <c r="O167" s="247">
        <v>0</v>
      </c>
      <c r="P167" s="241"/>
      <c r="Q167" s="247">
        <v>0</v>
      </c>
      <c r="R167" s="241"/>
      <c r="S167" s="247">
        <v>0</v>
      </c>
      <c r="T167" s="241"/>
      <c r="U167" s="247">
        <v>240.71</v>
      </c>
      <c r="V167" s="241"/>
      <c r="W167" s="247">
        <v>550</v>
      </c>
      <c r="X167" s="241"/>
      <c r="Y167" s="247">
        <v>169.7</v>
      </c>
      <c r="Z167" s="241"/>
      <c r="AA167" s="247">
        <v>0</v>
      </c>
      <c r="AB167" s="241"/>
      <c r="AC167" s="247">
        <v>0</v>
      </c>
      <c r="AD167" s="241"/>
      <c r="AE167" s="247">
        <f t="shared" si="18"/>
        <v>960.41000000000008</v>
      </c>
      <c r="AF167" s="248">
        <f t="shared" si="19"/>
        <v>4.3005738687991545E-5</v>
      </c>
      <c r="AG167" s="249"/>
    </row>
    <row r="168" spans="1:33" outlineLevel="1">
      <c r="A168" s="244">
        <v>57254</v>
      </c>
      <c r="B168" s="244" t="s">
        <v>788</v>
      </c>
      <c r="C168" s="245"/>
      <c r="D168" s="246"/>
      <c r="E168" s="240"/>
      <c r="F168" s="241"/>
      <c r="G168" s="247">
        <v>4346.43</v>
      </c>
      <c r="H168" s="241"/>
      <c r="I168" s="247">
        <v>4153.26</v>
      </c>
      <c r="J168" s="241"/>
      <c r="K168" s="247">
        <v>3898.72</v>
      </c>
      <c r="L168" s="241"/>
      <c r="M168" s="247">
        <v>4197.03</v>
      </c>
      <c r="N168" s="241"/>
      <c r="O168" s="247">
        <v>4172.3</v>
      </c>
      <c r="P168" s="241"/>
      <c r="Q168" s="247">
        <v>4071.6</v>
      </c>
      <c r="R168" s="241"/>
      <c r="S168" s="247">
        <v>3983.79</v>
      </c>
      <c r="T168" s="241"/>
      <c r="U168" s="247">
        <v>4245.9399999999996</v>
      </c>
      <c r="V168" s="241"/>
      <c r="W168" s="247">
        <v>4133.47</v>
      </c>
      <c r="X168" s="241"/>
      <c r="Y168" s="247">
        <v>4640.99</v>
      </c>
      <c r="Z168" s="241"/>
      <c r="AA168" s="247">
        <v>3645.49</v>
      </c>
      <c r="AB168" s="241"/>
      <c r="AC168" s="247">
        <v>4151.18</v>
      </c>
      <c r="AD168" s="241"/>
      <c r="AE168" s="247">
        <f t="shared" si="18"/>
        <v>49640.200000000004</v>
      </c>
      <c r="AF168" s="248">
        <f t="shared" si="19"/>
        <v>2.2228147037407337E-3</v>
      </c>
      <c r="AG168" s="249"/>
    </row>
    <row r="169" spans="1:33" outlineLevel="1">
      <c r="A169" s="244">
        <v>57275</v>
      </c>
      <c r="B169" s="244" t="s">
        <v>778</v>
      </c>
      <c r="C169" s="245"/>
      <c r="D169" s="246"/>
      <c r="E169" s="240"/>
      <c r="F169" s="241"/>
      <c r="G169" s="247">
        <v>3121.9</v>
      </c>
      <c r="H169" s="241"/>
      <c r="I169" s="247">
        <v>3121.87</v>
      </c>
      <c r="J169" s="241"/>
      <c r="K169" s="247">
        <v>3121.9</v>
      </c>
      <c r="L169" s="241"/>
      <c r="M169" s="247">
        <v>5316.65</v>
      </c>
      <c r="N169" s="241"/>
      <c r="O169" s="247">
        <v>4841.32</v>
      </c>
      <c r="P169" s="241"/>
      <c r="Q169" s="247">
        <v>1685.32</v>
      </c>
      <c r="R169" s="241"/>
      <c r="S169" s="247">
        <v>4841.32</v>
      </c>
      <c r="T169" s="241"/>
      <c r="U169" s="247">
        <v>4841.3100000000004</v>
      </c>
      <c r="V169" s="241"/>
      <c r="W169" s="247">
        <v>4841.32</v>
      </c>
      <c r="X169" s="241"/>
      <c r="Y169" s="247">
        <v>4841.3100000000004</v>
      </c>
      <c r="Z169" s="241"/>
      <c r="AA169" s="247">
        <v>4841.32</v>
      </c>
      <c r="AB169" s="241"/>
      <c r="AC169" s="247">
        <v>4841.32</v>
      </c>
      <c r="AD169" s="241"/>
      <c r="AE169" s="247">
        <f t="shared" si="18"/>
        <v>50256.860000000008</v>
      </c>
      <c r="AF169" s="248">
        <f t="shared" si="19"/>
        <v>2.2504278260732135E-3</v>
      </c>
      <c r="AG169" s="249"/>
    </row>
    <row r="170" spans="1:33" outlineLevel="1">
      <c r="A170" s="244">
        <v>57324</v>
      </c>
      <c r="B170" s="244" t="s">
        <v>789</v>
      </c>
      <c r="C170" s="245"/>
      <c r="D170" s="246"/>
      <c r="E170" s="240"/>
      <c r="F170" s="241"/>
      <c r="G170" s="247">
        <v>0</v>
      </c>
      <c r="H170" s="241"/>
      <c r="I170" s="247">
        <v>0</v>
      </c>
      <c r="J170" s="241"/>
      <c r="K170" s="247">
        <v>0</v>
      </c>
      <c r="L170" s="241"/>
      <c r="M170" s="247">
        <v>0</v>
      </c>
      <c r="N170" s="241"/>
      <c r="O170" s="247">
        <v>9.75</v>
      </c>
      <c r="P170" s="241"/>
      <c r="Q170" s="247">
        <v>9.75</v>
      </c>
      <c r="R170" s="241"/>
      <c r="S170" s="247">
        <v>75</v>
      </c>
      <c r="T170" s="241"/>
      <c r="U170" s="247">
        <v>0</v>
      </c>
      <c r="V170" s="241"/>
      <c r="W170" s="247">
        <v>0</v>
      </c>
      <c r="X170" s="241"/>
      <c r="Y170" s="247">
        <v>453</v>
      </c>
      <c r="Z170" s="241"/>
      <c r="AA170" s="247">
        <v>10.5</v>
      </c>
      <c r="AB170" s="241"/>
      <c r="AC170" s="247">
        <v>66.5</v>
      </c>
      <c r="AD170" s="241"/>
      <c r="AE170" s="247">
        <f t="shared" si="18"/>
        <v>624.5</v>
      </c>
      <c r="AF170" s="248">
        <f t="shared" si="19"/>
        <v>2.7964185931686174E-5</v>
      </c>
      <c r="AG170" s="249"/>
    </row>
    <row r="171" spans="1:33" outlineLevel="1">
      <c r="A171" s="244">
        <v>57357</v>
      </c>
      <c r="B171" s="244" t="s">
        <v>790</v>
      </c>
      <c r="C171" s="245"/>
      <c r="D171" s="246"/>
      <c r="E171" s="240"/>
      <c r="F171" s="241"/>
      <c r="G171" s="247">
        <v>2431.35</v>
      </c>
      <c r="H171" s="241"/>
      <c r="I171" s="247">
        <v>4250.03</v>
      </c>
      <c r="J171" s="241"/>
      <c r="K171" s="247">
        <v>2357.35</v>
      </c>
      <c r="L171" s="241"/>
      <c r="M171" s="247">
        <v>5809.63</v>
      </c>
      <c r="N171" s="241"/>
      <c r="O171" s="247">
        <v>4600.29</v>
      </c>
      <c r="P171" s="241"/>
      <c r="Q171" s="247">
        <v>2010.77</v>
      </c>
      <c r="R171" s="241"/>
      <c r="S171" s="247">
        <v>4890.21</v>
      </c>
      <c r="T171" s="241"/>
      <c r="U171" s="247">
        <v>4589.22</v>
      </c>
      <c r="V171" s="241"/>
      <c r="W171" s="247">
        <v>4095.16</v>
      </c>
      <c r="X171" s="241"/>
      <c r="Y171" s="247">
        <v>3997.72</v>
      </c>
      <c r="Z171" s="241"/>
      <c r="AA171" s="247">
        <v>4216.03</v>
      </c>
      <c r="AB171" s="241"/>
      <c r="AC171" s="247">
        <v>3974.09</v>
      </c>
      <c r="AD171" s="241"/>
      <c r="AE171" s="247">
        <f t="shared" si="18"/>
        <v>47221.85</v>
      </c>
      <c r="AF171" s="248">
        <f t="shared" si="19"/>
        <v>2.1145245691564368E-3</v>
      </c>
      <c r="AG171" s="249"/>
    </row>
    <row r="172" spans="1:33" outlineLevel="1">
      <c r="A172" s="244">
        <v>57370</v>
      </c>
      <c r="B172" s="244" t="s">
        <v>791</v>
      </c>
      <c r="C172" s="245"/>
      <c r="D172" s="246"/>
      <c r="E172" s="240"/>
      <c r="F172" s="241"/>
      <c r="G172" s="247">
        <v>120.08</v>
      </c>
      <c r="H172" s="241"/>
      <c r="I172" s="247">
        <v>120.08</v>
      </c>
      <c r="J172" s="241"/>
      <c r="K172" s="247">
        <v>235.08</v>
      </c>
      <c r="L172" s="241"/>
      <c r="M172" s="247">
        <v>120.08</v>
      </c>
      <c r="N172" s="241"/>
      <c r="O172" s="247">
        <v>120.08</v>
      </c>
      <c r="P172" s="241"/>
      <c r="Q172" s="247">
        <v>120.08</v>
      </c>
      <c r="R172" s="241"/>
      <c r="S172" s="247">
        <v>120.08</v>
      </c>
      <c r="T172" s="241"/>
      <c r="U172" s="247">
        <v>120.08</v>
      </c>
      <c r="V172" s="241"/>
      <c r="W172" s="247">
        <v>120.08</v>
      </c>
      <c r="X172" s="241"/>
      <c r="Y172" s="247">
        <v>120.08</v>
      </c>
      <c r="Z172" s="241"/>
      <c r="AA172" s="247">
        <v>120.08</v>
      </c>
      <c r="AB172" s="241"/>
      <c r="AC172" s="247">
        <v>120.08</v>
      </c>
      <c r="AD172" s="241"/>
      <c r="AE172" s="247">
        <f t="shared" si="18"/>
        <v>1555.9599999999998</v>
      </c>
      <c r="AF172" s="248">
        <f t="shared" si="19"/>
        <v>6.9673586456791694E-5</v>
      </c>
      <c r="AG172" s="249"/>
    </row>
    <row r="173" spans="1:33" s="240" customFormat="1" ht="5.15" customHeight="1" outlineLevel="1">
      <c r="A173" s="245"/>
      <c r="B173" s="245"/>
      <c r="C173" s="245"/>
      <c r="D173" s="245"/>
      <c r="G173" s="255"/>
      <c r="H173" s="253"/>
      <c r="I173" s="255"/>
      <c r="J173" s="253"/>
      <c r="K173" s="255"/>
      <c r="L173" s="253"/>
      <c r="M173" s="255"/>
      <c r="N173" s="253"/>
      <c r="O173" s="255"/>
      <c r="P173" s="253"/>
      <c r="Q173" s="255"/>
      <c r="R173" s="253"/>
      <c r="S173" s="255"/>
      <c r="T173" s="253"/>
      <c r="U173" s="255"/>
      <c r="V173" s="253"/>
      <c r="W173" s="255"/>
      <c r="X173" s="253"/>
      <c r="Y173" s="255"/>
      <c r="Z173" s="253"/>
      <c r="AA173" s="255"/>
      <c r="AB173" s="253"/>
      <c r="AC173" s="255"/>
      <c r="AD173" s="253"/>
      <c r="AE173" s="255"/>
      <c r="AF173" s="243"/>
      <c r="AG173" s="222"/>
    </row>
    <row r="174" spans="1:33" s="240" customFormat="1" ht="15.5">
      <c r="C174" s="245" t="s">
        <v>792</v>
      </c>
      <c r="G174" s="252">
        <f>SUM(G163:G173)</f>
        <v>41093.199999999997</v>
      </c>
      <c r="H174" s="253"/>
      <c r="I174" s="252">
        <f>SUM(I163:I173)</f>
        <v>8793.08</v>
      </c>
      <c r="J174" s="253"/>
      <c r="K174" s="252">
        <f>SUM(K163:K173)</f>
        <v>18662.349999999999</v>
      </c>
      <c r="L174" s="253"/>
      <c r="M174" s="252">
        <f>SUM(M163:M173)</f>
        <v>32013.69</v>
      </c>
      <c r="N174" s="253"/>
      <c r="O174" s="252">
        <f>SUM(O163:O173)</f>
        <v>24733.170000000002</v>
      </c>
      <c r="P174" s="253"/>
      <c r="Q174" s="252">
        <f>SUM(Q163:Q173)</f>
        <v>31174.719999999998</v>
      </c>
      <c r="R174" s="253"/>
      <c r="S174" s="252">
        <f>SUM(S163:S173)</f>
        <v>25898.79</v>
      </c>
      <c r="T174" s="253"/>
      <c r="U174" s="252">
        <f>SUM(U163:U173)</f>
        <v>28955.58</v>
      </c>
      <c r="V174" s="253"/>
      <c r="W174" s="252">
        <f>SUM(W163:W173)</f>
        <v>22489.750000000004</v>
      </c>
      <c r="X174" s="253"/>
      <c r="Y174" s="252">
        <f>SUM(Y163:Y173)</f>
        <v>32880.82</v>
      </c>
      <c r="Z174" s="253"/>
      <c r="AA174" s="252">
        <f>SUM(AA163:AA173)</f>
        <v>33257</v>
      </c>
      <c r="AB174" s="253"/>
      <c r="AC174" s="252">
        <f>SUM(AC163:AC173)</f>
        <v>31240.280000000002</v>
      </c>
      <c r="AD174" s="253"/>
      <c r="AE174" s="252">
        <f>SUM(AE163:AE173)</f>
        <v>331192.43</v>
      </c>
      <c r="AF174" s="248">
        <f>IF(AE$50=0,0,AE174/AE$50)</f>
        <v>1.4830306952260942E-2</v>
      </c>
      <c r="AG174" s="222"/>
    </row>
    <row r="175" spans="1:33" s="240" customFormat="1" ht="15.5" outlineLevel="1">
      <c r="G175" s="254"/>
      <c r="H175" s="253"/>
      <c r="I175" s="254"/>
      <c r="J175" s="253"/>
      <c r="K175" s="254"/>
      <c r="L175" s="253"/>
      <c r="M175" s="254"/>
      <c r="N175" s="253"/>
      <c r="O175" s="254"/>
      <c r="P175" s="253"/>
      <c r="Q175" s="254"/>
      <c r="R175" s="253"/>
      <c r="S175" s="254"/>
      <c r="T175" s="253"/>
      <c r="U175" s="254"/>
      <c r="V175" s="253"/>
      <c r="W175" s="254"/>
      <c r="X175" s="253"/>
      <c r="Y175" s="254"/>
      <c r="Z175" s="253"/>
      <c r="AA175" s="254"/>
      <c r="AB175" s="253"/>
      <c r="AC175" s="254"/>
      <c r="AD175" s="253"/>
      <c r="AE175" s="254"/>
      <c r="AF175" s="243"/>
      <c r="AG175" s="222"/>
    </row>
    <row r="176" spans="1:33" s="240" customFormat="1" ht="14.5" outlineLevel="1">
      <c r="A176" s="261"/>
      <c r="B176" s="261"/>
      <c r="C176" s="261"/>
      <c r="D176" s="261"/>
      <c r="E176" s="261"/>
      <c r="F176" s="261"/>
      <c r="G176" s="262"/>
      <c r="H176" s="263"/>
      <c r="I176" s="262"/>
      <c r="J176" s="263"/>
      <c r="K176" s="262"/>
      <c r="L176" s="263"/>
      <c r="M176" s="262"/>
      <c r="N176" s="263"/>
      <c r="O176" s="262"/>
      <c r="P176" s="263"/>
      <c r="Q176" s="262"/>
      <c r="R176" s="263"/>
      <c r="S176" s="262"/>
      <c r="T176" s="263"/>
      <c r="U176" s="262"/>
      <c r="V176" s="263"/>
      <c r="W176" s="262"/>
      <c r="X176" s="263"/>
      <c r="Y176" s="262"/>
      <c r="Z176" s="263"/>
      <c r="AA176" s="262"/>
      <c r="AB176" s="263"/>
      <c r="AC176" s="262"/>
      <c r="AD176" s="263"/>
      <c r="AE176" s="262"/>
      <c r="AF176" s="261"/>
      <c r="AG176" s="261"/>
    </row>
    <row r="177" spans="1:33" s="240" customFormat="1" ht="4.5" customHeight="1" outlineLevel="1">
      <c r="A177" s="256"/>
      <c r="G177" s="255"/>
      <c r="H177" s="253"/>
      <c r="I177" s="255"/>
      <c r="J177" s="253"/>
      <c r="K177" s="255"/>
      <c r="L177" s="253"/>
      <c r="M177" s="255"/>
      <c r="N177" s="253"/>
      <c r="O177" s="255"/>
      <c r="P177" s="253"/>
      <c r="Q177" s="255"/>
      <c r="R177" s="253"/>
      <c r="S177" s="255"/>
      <c r="T177" s="253"/>
      <c r="U177" s="255"/>
      <c r="V177" s="253"/>
      <c r="W177" s="255"/>
      <c r="X177" s="253"/>
      <c r="Y177" s="255"/>
      <c r="Z177" s="253"/>
      <c r="AA177" s="255"/>
      <c r="AB177" s="253"/>
      <c r="AC177" s="255"/>
      <c r="AD177" s="253"/>
      <c r="AE177" s="255"/>
      <c r="AF177" s="243"/>
      <c r="AG177" s="222"/>
    </row>
    <row r="178" spans="1:33" s="240" customFormat="1" ht="15.5">
      <c r="C178" s="240" t="s">
        <v>793</v>
      </c>
      <c r="G178" s="252">
        <f>SUM(G176:G177)</f>
        <v>0</v>
      </c>
      <c r="H178" s="253"/>
      <c r="I178" s="252">
        <f>SUM(I176:I177)</f>
        <v>0</v>
      </c>
      <c r="J178" s="253"/>
      <c r="K178" s="252">
        <f>SUM(K176:K177)</f>
        <v>0</v>
      </c>
      <c r="L178" s="253"/>
      <c r="M178" s="252">
        <f>SUM(M176:M177)</f>
        <v>0</v>
      </c>
      <c r="N178" s="253"/>
      <c r="O178" s="252">
        <f>SUM(O176:O177)</f>
        <v>0</v>
      </c>
      <c r="P178" s="253"/>
      <c r="Q178" s="252">
        <f>SUM(Q176:Q177)</f>
        <v>0</v>
      </c>
      <c r="R178" s="253"/>
      <c r="S178" s="252">
        <f>SUM(S176:S177)</f>
        <v>0</v>
      </c>
      <c r="T178" s="253"/>
      <c r="U178" s="252">
        <f>SUM(U176:U177)</f>
        <v>0</v>
      </c>
      <c r="V178" s="253"/>
      <c r="W178" s="252">
        <f>SUM(W176:W177)</f>
        <v>0</v>
      </c>
      <c r="X178" s="253"/>
      <c r="Y178" s="252">
        <f>SUM(Y176:Y177)</f>
        <v>0</v>
      </c>
      <c r="Z178" s="253"/>
      <c r="AA178" s="252">
        <f>SUM(AA176:AA177)</f>
        <v>0</v>
      </c>
      <c r="AB178" s="253"/>
      <c r="AC178" s="252">
        <f>SUM(AC176:AC177)</f>
        <v>0</v>
      </c>
      <c r="AD178" s="253"/>
      <c r="AE178" s="252">
        <f>SUM(AE176:AE177)</f>
        <v>0</v>
      </c>
      <c r="AF178" s="248">
        <f>IF(AE$50=0,0,AE178/AE$50)</f>
        <v>0</v>
      </c>
      <c r="AG178" s="222"/>
    </row>
    <row r="179" spans="1:33" s="240" customFormat="1" ht="15.5" outlineLevel="1">
      <c r="G179" s="254"/>
      <c r="H179" s="253"/>
      <c r="I179" s="254"/>
      <c r="J179" s="253"/>
      <c r="K179" s="254"/>
      <c r="L179" s="253"/>
      <c r="M179" s="254"/>
      <c r="N179" s="253"/>
      <c r="O179" s="254"/>
      <c r="P179" s="253"/>
      <c r="Q179" s="254"/>
      <c r="R179" s="253"/>
      <c r="S179" s="254"/>
      <c r="T179" s="253"/>
      <c r="U179" s="254"/>
      <c r="V179" s="253"/>
      <c r="W179" s="254"/>
      <c r="X179" s="253"/>
      <c r="Y179" s="254"/>
      <c r="Z179" s="253"/>
      <c r="AA179" s="254"/>
      <c r="AB179" s="253"/>
      <c r="AC179" s="254"/>
      <c r="AD179" s="253"/>
      <c r="AE179" s="254"/>
      <c r="AF179" s="243"/>
      <c r="AG179" s="222"/>
    </row>
    <row r="180" spans="1:33" s="240" customFormat="1" ht="15.5" outlineLevel="1">
      <c r="G180" s="254"/>
      <c r="H180" s="253"/>
      <c r="I180" s="254"/>
      <c r="J180" s="253"/>
      <c r="K180" s="254"/>
      <c r="L180" s="253"/>
      <c r="M180" s="254"/>
      <c r="N180" s="253"/>
      <c r="O180" s="254"/>
      <c r="P180" s="253"/>
      <c r="Q180" s="254"/>
      <c r="R180" s="253"/>
      <c r="S180" s="254"/>
      <c r="T180" s="253"/>
      <c r="U180" s="254"/>
      <c r="V180" s="253"/>
      <c r="W180" s="254"/>
      <c r="X180" s="253"/>
      <c r="Y180" s="254"/>
      <c r="Z180" s="253"/>
      <c r="AA180" s="254"/>
      <c r="AB180" s="253"/>
      <c r="AC180" s="254"/>
      <c r="AD180" s="253"/>
      <c r="AE180" s="254"/>
      <c r="AF180" s="243"/>
      <c r="AG180" s="222"/>
    </row>
    <row r="181" spans="1:33" outlineLevel="1">
      <c r="A181" s="244">
        <v>59340</v>
      </c>
      <c r="B181" s="244" t="s">
        <v>794</v>
      </c>
      <c r="C181" s="245"/>
      <c r="D181" s="246"/>
      <c r="E181" s="240"/>
      <c r="F181" s="241"/>
      <c r="G181" s="247">
        <v>7804.47</v>
      </c>
      <c r="H181" s="241"/>
      <c r="I181" s="247">
        <v>7804.47</v>
      </c>
      <c r="J181" s="241"/>
      <c r="K181" s="247">
        <v>7804.47</v>
      </c>
      <c r="L181" s="241"/>
      <c r="M181" s="247">
        <v>7804.47</v>
      </c>
      <c r="N181" s="241"/>
      <c r="O181" s="247">
        <v>7804.47</v>
      </c>
      <c r="P181" s="241"/>
      <c r="Q181" s="247">
        <v>7804.47</v>
      </c>
      <c r="R181" s="241"/>
      <c r="S181" s="247">
        <v>7804.47</v>
      </c>
      <c r="T181" s="241"/>
      <c r="U181" s="247">
        <v>7804.47</v>
      </c>
      <c r="V181" s="241"/>
      <c r="W181" s="247">
        <v>7804.47</v>
      </c>
      <c r="X181" s="241"/>
      <c r="Y181" s="247">
        <v>7804.47</v>
      </c>
      <c r="Z181" s="241"/>
      <c r="AA181" s="247">
        <v>7804.47</v>
      </c>
      <c r="AB181" s="241"/>
      <c r="AC181" s="247">
        <v>7804.47</v>
      </c>
      <c r="AD181" s="241"/>
      <c r="AE181" s="247">
        <f t="shared" ref="AE181:AE185" si="20">AC181+AA181+Y181+W181+U181+S181+Q181+O181+M181+K181+I181+G181</f>
        <v>93653.64</v>
      </c>
      <c r="AF181" s="248">
        <f t="shared" ref="AF181:AF185" si="21">IF(AE$50=0,0,AE181/AE$50)</f>
        <v>4.1936714205591695E-3</v>
      </c>
      <c r="AG181" s="249"/>
    </row>
    <row r="182" spans="1:33" outlineLevel="1">
      <c r="A182" s="244">
        <v>59343</v>
      </c>
      <c r="B182" s="244" t="s">
        <v>795</v>
      </c>
      <c r="C182" s="245"/>
      <c r="D182" s="246"/>
      <c r="E182" s="240"/>
      <c r="F182" s="241"/>
      <c r="G182" s="247">
        <v>0</v>
      </c>
      <c r="H182" s="241"/>
      <c r="I182" s="247">
        <v>0</v>
      </c>
      <c r="J182" s="241"/>
      <c r="K182" s="247">
        <v>0</v>
      </c>
      <c r="L182" s="241"/>
      <c r="M182" s="247">
        <v>0</v>
      </c>
      <c r="N182" s="241"/>
      <c r="O182" s="247">
        <v>11.55</v>
      </c>
      <c r="P182" s="241"/>
      <c r="Q182" s="247">
        <v>4800</v>
      </c>
      <c r="R182" s="241"/>
      <c r="S182" s="247">
        <v>4360.28</v>
      </c>
      <c r="T182" s="241"/>
      <c r="U182" s="247">
        <v>4900.76</v>
      </c>
      <c r="V182" s="241"/>
      <c r="W182" s="247">
        <v>2438</v>
      </c>
      <c r="X182" s="241"/>
      <c r="Y182" s="247">
        <v>-1750</v>
      </c>
      <c r="Z182" s="241"/>
      <c r="AA182" s="247">
        <v>0</v>
      </c>
      <c r="AB182" s="241"/>
      <c r="AC182" s="247">
        <v>-4986.33</v>
      </c>
      <c r="AD182" s="241"/>
      <c r="AE182" s="247">
        <f t="shared" si="20"/>
        <v>9774.2599999999984</v>
      </c>
      <c r="AF182" s="248">
        <f t="shared" si="21"/>
        <v>4.3767689989534483E-4</v>
      </c>
      <c r="AG182" s="249"/>
    </row>
    <row r="183" spans="1:33" outlineLevel="1">
      <c r="A183" s="244">
        <v>59344</v>
      </c>
      <c r="B183" s="244" t="s">
        <v>796</v>
      </c>
      <c r="C183" s="245"/>
      <c r="D183" s="246"/>
      <c r="E183" s="240"/>
      <c r="F183" s="241"/>
      <c r="G183" s="247">
        <v>320</v>
      </c>
      <c r="H183" s="241"/>
      <c r="I183" s="247">
        <v>2054.94</v>
      </c>
      <c r="J183" s="241"/>
      <c r="K183" s="247">
        <v>-44135</v>
      </c>
      <c r="L183" s="241"/>
      <c r="M183" s="247">
        <v>2112.3200000000002</v>
      </c>
      <c r="N183" s="241"/>
      <c r="O183" s="247">
        <v>-4326.59</v>
      </c>
      <c r="P183" s="241"/>
      <c r="Q183" s="247">
        <v>-2405.0300000000002</v>
      </c>
      <c r="R183" s="241"/>
      <c r="S183" s="247">
        <v>642.24</v>
      </c>
      <c r="T183" s="241"/>
      <c r="U183" s="247">
        <v>-9683.61</v>
      </c>
      <c r="V183" s="241"/>
      <c r="W183" s="247">
        <v>24905.200000000001</v>
      </c>
      <c r="X183" s="241"/>
      <c r="Y183" s="247">
        <v>65607.77</v>
      </c>
      <c r="Z183" s="241"/>
      <c r="AA183" s="247">
        <v>0</v>
      </c>
      <c r="AB183" s="241"/>
      <c r="AC183" s="247">
        <v>17.739999999999998</v>
      </c>
      <c r="AD183" s="241"/>
      <c r="AE183" s="247">
        <f t="shared" si="20"/>
        <v>35109.980000000025</v>
      </c>
      <c r="AF183" s="248">
        <f t="shared" si="21"/>
        <v>1.572172952406379E-3</v>
      </c>
      <c r="AG183" s="249"/>
    </row>
    <row r="184" spans="1:33" outlineLevel="1">
      <c r="A184" s="244">
        <v>59400</v>
      </c>
      <c r="B184" s="244" t="s">
        <v>797</v>
      </c>
      <c r="C184" s="245"/>
      <c r="D184" s="246"/>
      <c r="E184" s="240"/>
      <c r="F184" s="241"/>
      <c r="G184" s="247">
        <v>0</v>
      </c>
      <c r="H184" s="241"/>
      <c r="I184" s="247">
        <v>0</v>
      </c>
      <c r="J184" s="241"/>
      <c r="K184" s="247">
        <v>0</v>
      </c>
      <c r="L184" s="241"/>
      <c r="M184" s="247">
        <v>728.17</v>
      </c>
      <c r="N184" s="241"/>
      <c r="O184" s="247">
        <v>0</v>
      </c>
      <c r="P184" s="241"/>
      <c r="Q184" s="247">
        <v>0</v>
      </c>
      <c r="R184" s="241"/>
      <c r="S184" s="247">
        <v>11000</v>
      </c>
      <c r="T184" s="241"/>
      <c r="U184" s="247">
        <v>2000</v>
      </c>
      <c r="V184" s="241"/>
      <c r="W184" s="247">
        <v>-2000</v>
      </c>
      <c r="X184" s="241"/>
      <c r="Y184" s="247">
        <v>10430.84</v>
      </c>
      <c r="Z184" s="241"/>
      <c r="AA184" s="247">
        <v>-9844.15</v>
      </c>
      <c r="AB184" s="241"/>
      <c r="AC184" s="247">
        <v>0</v>
      </c>
      <c r="AD184" s="241"/>
      <c r="AE184" s="247">
        <f t="shared" si="20"/>
        <v>12314.86</v>
      </c>
      <c r="AF184" s="248">
        <f t="shared" si="21"/>
        <v>5.514412085871654E-4</v>
      </c>
      <c r="AG184" s="249"/>
    </row>
    <row r="185" spans="1:33" outlineLevel="1">
      <c r="A185" s="244">
        <v>59500</v>
      </c>
      <c r="B185" s="244" t="s">
        <v>798</v>
      </c>
      <c r="C185" s="245"/>
      <c r="D185" s="246"/>
      <c r="E185" s="240"/>
      <c r="F185" s="241"/>
      <c r="G185" s="247">
        <v>2234.1</v>
      </c>
      <c r="H185" s="241"/>
      <c r="I185" s="247">
        <v>3268.18</v>
      </c>
      <c r="J185" s="241"/>
      <c r="K185" s="247">
        <v>1893.43</v>
      </c>
      <c r="L185" s="241"/>
      <c r="M185" s="247">
        <v>2287.19</v>
      </c>
      <c r="N185" s="241"/>
      <c r="O185" s="247">
        <v>-318</v>
      </c>
      <c r="P185" s="241"/>
      <c r="Q185" s="247">
        <v>2090.5300000000002</v>
      </c>
      <c r="R185" s="241"/>
      <c r="S185" s="247">
        <v>2224.64</v>
      </c>
      <c r="T185" s="241"/>
      <c r="U185" s="247">
        <v>2210.37</v>
      </c>
      <c r="V185" s="241"/>
      <c r="W185" s="247">
        <v>1812.1</v>
      </c>
      <c r="X185" s="241"/>
      <c r="Y185" s="247">
        <v>1571.25</v>
      </c>
      <c r="Z185" s="241"/>
      <c r="AA185" s="247">
        <v>2047.89</v>
      </c>
      <c r="AB185" s="241"/>
      <c r="AC185" s="247">
        <v>2046.42</v>
      </c>
      <c r="AD185" s="241"/>
      <c r="AE185" s="247">
        <f t="shared" si="20"/>
        <v>23368.1</v>
      </c>
      <c r="AF185" s="248">
        <f t="shared" si="21"/>
        <v>1.0463889403846847E-3</v>
      </c>
      <c r="AG185" s="249"/>
    </row>
    <row r="186" spans="1:33" s="240" customFormat="1" ht="5.15" customHeight="1" outlineLevel="1">
      <c r="A186" s="245"/>
      <c r="B186" s="245"/>
      <c r="C186" s="245"/>
      <c r="D186" s="245"/>
      <c r="G186" s="255"/>
      <c r="H186" s="253"/>
      <c r="I186" s="255"/>
      <c r="J186" s="253"/>
      <c r="K186" s="255"/>
      <c r="L186" s="253"/>
      <c r="M186" s="255"/>
      <c r="N186" s="253"/>
      <c r="O186" s="255"/>
      <c r="P186" s="253"/>
      <c r="Q186" s="255"/>
      <c r="R186" s="253"/>
      <c r="S186" s="255"/>
      <c r="T186" s="253"/>
      <c r="U186" s="255"/>
      <c r="V186" s="253"/>
      <c r="W186" s="255"/>
      <c r="X186" s="253"/>
      <c r="Y186" s="255"/>
      <c r="Z186" s="253"/>
      <c r="AA186" s="255"/>
      <c r="AB186" s="253"/>
      <c r="AC186" s="255"/>
      <c r="AD186" s="253"/>
      <c r="AE186" s="255"/>
      <c r="AF186" s="243"/>
      <c r="AG186" s="222"/>
    </row>
    <row r="187" spans="1:33" s="240" customFormat="1" ht="15.5">
      <c r="C187" s="245" t="s">
        <v>799</v>
      </c>
      <c r="G187" s="252">
        <f>SUM(G180:G186)</f>
        <v>10358.57</v>
      </c>
      <c r="H187" s="253"/>
      <c r="I187" s="252">
        <f>SUM(I180:I186)</f>
        <v>13127.59</v>
      </c>
      <c r="J187" s="253"/>
      <c r="K187" s="252">
        <f>SUM(K180:K186)</f>
        <v>-34437.1</v>
      </c>
      <c r="L187" s="253"/>
      <c r="M187" s="252">
        <f>SUM(M180:M186)</f>
        <v>12932.150000000001</v>
      </c>
      <c r="N187" s="253"/>
      <c r="O187" s="252">
        <f>SUM(O180:O186)</f>
        <v>3171.4300000000003</v>
      </c>
      <c r="P187" s="253"/>
      <c r="Q187" s="252">
        <f>SUM(Q180:Q186)</f>
        <v>12289.970000000001</v>
      </c>
      <c r="R187" s="253"/>
      <c r="S187" s="252">
        <f>SUM(S180:S186)</f>
        <v>26031.629999999997</v>
      </c>
      <c r="T187" s="253"/>
      <c r="U187" s="252">
        <f>SUM(U180:U186)</f>
        <v>7231.9899999999989</v>
      </c>
      <c r="V187" s="253"/>
      <c r="W187" s="252">
        <f>SUM(W180:W186)</f>
        <v>34959.769999999997</v>
      </c>
      <c r="X187" s="253"/>
      <c r="Y187" s="252">
        <f>SUM(Y180:Y186)</f>
        <v>83664.33</v>
      </c>
      <c r="Z187" s="253"/>
      <c r="AA187" s="252">
        <f>SUM(AA180:AA186)</f>
        <v>8.2100000000007185</v>
      </c>
      <c r="AB187" s="253"/>
      <c r="AC187" s="252">
        <f>SUM(AC180:AC186)</f>
        <v>4882.3</v>
      </c>
      <c r="AD187" s="253"/>
      <c r="AE187" s="252">
        <f>SUM(AE180:AE186)</f>
        <v>174220.84</v>
      </c>
      <c r="AF187" s="248">
        <f>IF(AE$50=0,0,AE187/AE$50)</f>
        <v>7.8013514218327421E-3</v>
      </c>
      <c r="AG187" s="222"/>
    </row>
    <row r="188" spans="1:33" s="240" customFormat="1" ht="15.5" outlineLevel="1">
      <c r="G188" s="254"/>
      <c r="H188" s="253"/>
      <c r="I188" s="254"/>
      <c r="J188" s="253"/>
      <c r="K188" s="254"/>
      <c r="L188" s="253"/>
      <c r="M188" s="254"/>
      <c r="N188" s="253"/>
      <c r="O188" s="254"/>
      <c r="P188" s="253"/>
      <c r="Q188" s="254"/>
      <c r="R188" s="253"/>
      <c r="S188" s="254"/>
      <c r="T188" s="253"/>
      <c r="U188" s="254"/>
      <c r="V188" s="253"/>
      <c r="W188" s="254"/>
      <c r="X188" s="253"/>
      <c r="Y188" s="254"/>
      <c r="Z188" s="253"/>
      <c r="AA188" s="254"/>
      <c r="AB188" s="253"/>
      <c r="AC188" s="254"/>
      <c r="AD188" s="253"/>
      <c r="AE188" s="254"/>
      <c r="AF188" s="243"/>
      <c r="AG188" s="222"/>
    </row>
    <row r="189" spans="1:33" outlineLevel="1">
      <c r="A189" s="244">
        <v>91010</v>
      </c>
      <c r="B189" s="244" t="s">
        <v>800</v>
      </c>
      <c r="C189" s="245"/>
      <c r="D189" s="246"/>
      <c r="E189" s="240"/>
      <c r="F189" s="241"/>
      <c r="G189" s="247">
        <v>0</v>
      </c>
      <c r="H189" s="241"/>
      <c r="I189" s="247">
        <v>0</v>
      </c>
      <c r="J189" s="241"/>
      <c r="K189" s="247">
        <v>0</v>
      </c>
      <c r="L189" s="241"/>
      <c r="M189" s="247">
        <v>-3333.33</v>
      </c>
      <c r="N189" s="241"/>
      <c r="O189" s="247">
        <v>0</v>
      </c>
      <c r="P189" s="241"/>
      <c r="Q189" s="247">
        <v>0</v>
      </c>
      <c r="R189" s="241"/>
      <c r="S189" s="247">
        <v>0</v>
      </c>
      <c r="T189" s="241"/>
      <c r="U189" s="247">
        <v>0</v>
      </c>
      <c r="V189" s="241"/>
      <c r="W189" s="247">
        <v>0</v>
      </c>
      <c r="X189" s="241"/>
      <c r="Y189" s="247">
        <v>-4500</v>
      </c>
      <c r="Z189" s="241"/>
      <c r="AA189" s="247">
        <v>0</v>
      </c>
      <c r="AB189" s="241"/>
      <c r="AC189" s="247">
        <v>-1000</v>
      </c>
      <c r="AD189" s="241"/>
      <c r="AE189" s="247">
        <f>AC189+AA189+Y189+W189+U189+S189+Q189+O189+M189+K189+I189+G189</f>
        <v>-8833.33</v>
      </c>
      <c r="AF189" s="248">
        <f>IF(AE$50=0,0,AE189/AE$50)</f>
        <v>-3.9554344678293264E-4</v>
      </c>
      <c r="AG189" s="249"/>
    </row>
    <row r="190" spans="1:33" s="240" customFormat="1" ht="5.15" customHeight="1" outlineLevel="1">
      <c r="A190" s="245"/>
      <c r="B190" s="245"/>
      <c r="C190" s="245"/>
      <c r="D190" s="245"/>
      <c r="G190" s="255"/>
      <c r="H190" s="253"/>
      <c r="I190" s="255"/>
      <c r="J190" s="253"/>
      <c r="K190" s="255"/>
      <c r="L190" s="253"/>
      <c r="M190" s="255"/>
      <c r="N190" s="253"/>
      <c r="O190" s="255"/>
      <c r="P190" s="253"/>
      <c r="Q190" s="255"/>
      <c r="R190" s="253"/>
      <c r="S190" s="255"/>
      <c r="T190" s="253"/>
      <c r="U190" s="255"/>
      <c r="V190" s="253"/>
      <c r="W190" s="255"/>
      <c r="X190" s="253"/>
      <c r="Y190" s="255"/>
      <c r="Z190" s="253"/>
      <c r="AA190" s="255"/>
      <c r="AB190" s="253"/>
      <c r="AC190" s="255"/>
      <c r="AD190" s="253"/>
      <c r="AE190" s="255"/>
      <c r="AF190" s="243"/>
      <c r="AG190" s="222"/>
    </row>
    <row r="191" spans="1:33" s="240" customFormat="1" ht="15.5">
      <c r="C191" s="244" t="s">
        <v>801</v>
      </c>
      <c r="G191" s="252">
        <f>SUM(G189:G190)</f>
        <v>0</v>
      </c>
      <c r="H191" s="253"/>
      <c r="I191" s="252">
        <f>SUM(I189:I190)</f>
        <v>0</v>
      </c>
      <c r="J191" s="253"/>
      <c r="K191" s="252">
        <f>SUM(K189:K190)</f>
        <v>0</v>
      </c>
      <c r="L191" s="253"/>
      <c r="M191" s="252">
        <f>SUM(M189:M190)</f>
        <v>-3333.33</v>
      </c>
      <c r="N191" s="253"/>
      <c r="O191" s="252">
        <f>SUM(O189:O190)</f>
        <v>0</v>
      </c>
      <c r="P191" s="253"/>
      <c r="Q191" s="252">
        <f>SUM(Q189:Q190)</f>
        <v>0</v>
      </c>
      <c r="R191" s="253"/>
      <c r="S191" s="252">
        <f>SUM(S189:S190)</f>
        <v>0</v>
      </c>
      <c r="T191" s="253"/>
      <c r="U191" s="252">
        <f>SUM(U189:U190)</f>
        <v>0</v>
      </c>
      <c r="V191" s="253"/>
      <c r="W191" s="252">
        <f>SUM(W189:W190)</f>
        <v>0</v>
      </c>
      <c r="X191" s="253"/>
      <c r="Y191" s="252">
        <f>SUM(Y189:Y190)</f>
        <v>-4500</v>
      </c>
      <c r="Z191" s="253"/>
      <c r="AA191" s="252">
        <f>SUM(AA189:AA190)</f>
        <v>0</v>
      </c>
      <c r="AB191" s="253"/>
      <c r="AC191" s="252">
        <f>SUM(AC189:AC190)</f>
        <v>-1000</v>
      </c>
      <c r="AD191" s="253"/>
      <c r="AE191" s="252">
        <f>SUM(AE189:AE190)</f>
        <v>-8833.33</v>
      </c>
      <c r="AF191" s="248">
        <f>IF(AE$50=0,0,AE191/AE$50)</f>
        <v>-3.9554344678293264E-4</v>
      </c>
      <c r="AG191" s="222"/>
    </row>
    <row r="192" spans="1:33" s="240" customFormat="1" ht="7.5" customHeight="1">
      <c r="G192" s="254"/>
      <c r="H192" s="253"/>
      <c r="I192" s="254"/>
      <c r="J192" s="253"/>
      <c r="K192" s="254"/>
      <c r="L192" s="253"/>
      <c r="M192" s="254"/>
      <c r="N192" s="253"/>
      <c r="O192" s="254"/>
      <c r="P192" s="253"/>
      <c r="Q192" s="254"/>
      <c r="R192" s="253"/>
      <c r="S192" s="254"/>
      <c r="T192" s="253"/>
      <c r="U192" s="254"/>
      <c r="V192" s="253"/>
      <c r="W192" s="254"/>
      <c r="X192" s="253"/>
      <c r="Y192" s="254"/>
      <c r="Z192" s="253"/>
      <c r="AA192" s="254"/>
      <c r="AB192" s="253"/>
      <c r="AC192" s="254"/>
      <c r="AD192" s="253"/>
      <c r="AE192" s="254"/>
      <c r="AF192" s="243"/>
      <c r="AG192" s="222"/>
    </row>
    <row r="193" spans="1:33" s="240" customFormat="1" ht="15.5">
      <c r="B193" s="260" t="s">
        <v>802</v>
      </c>
      <c r="G193" s="258">
        <f>+G97+G101+G133+G141+G161+G174+G187+G178+G191</f>
        <v>792283.47</v>
      </c>
      <c r="H193" s="253"/>
      <c r="I193" s="258">
        <f>+I97+I101+I133+I141+I161+I174+I187+I178+I191</f>
        <v>241261.29</v>
      </c>
      <c r="J193" s="253"/>
      <c r="K193" s="258">
        <f>+K97+K101+K133+K141+K161+K174+K187+K178+K191</f>
        <v>512435.12</v>
      </c>
      <c r="L193" s="253"/>
      <c r="M193" s="258">
        <f>+M97+M101+M133+M141+M161+M174+M187+M178+M191</f>
        <v>561728.82000000007</v>
      </c>
      <c r="N193" s="253"/>
      <c r="O193" s="258">
        <f>+O97+O101+O133+O141+O161+O174+O187+O178+O191</f>
        <v>581538.74000000011</v>
      </c>
      <c r="P193" s="253"/>
      <c r="Q193" s="258">
        <f>+Q97+Q101+Q133+Q141+Q161+Q174+Q187+Q178+Q191</f>
        <v>608418.00999999989</v>
      </c>
      <c r="R193" s="253"/>
      <c r="S193" s="258">
        <f>+S97+S101+S133+S141+S161+S174+S187+S178+S191</f>
        <v>629596.79</v>
      </c>
      <c r="T193" s="253"/>
      <c r="U193" s="258">
        <f>+U97+U101+U133+U141+U161+U174+U187+U178+U191</f>
        <v>562650.13</v>
      </c>
      <c r="V193" s="253"/>
      <c r="W193" s="258">
        <f>+W97+W101+W133+W141+W161+W174+W187+W178+W191</f>
        <v>559686.34000000008</v>
      </c>
      <c r="X193" s="253"/>
      <c r="Y193" s="258">
        <f>+Y97+Y101+Y133+Y141+Y161+Y174+Y187+Y178+Y191</f>
        <v>672429.90999999992</v>
      </c>
      <c r="Z193" s="253"/>
      <c r="AA193" s="258">
        <f>+AA97+AA101+AA133+AA141+AA161+AA174+AA187+AA178+AA191</f>
        <v>543428.66999999993</v>
      </c>
      <c r="AB193" s="253"/>
      <c r="AC193" s="258">
        <f>+AC97+AC101+AC133+AC141+AC161+AC174+AC187+AC178+AC191</f>
        <v>524116.28</v>
      </c>
      <c r="AD193" s="253"/>
      <c r="AE193" s="258">
        <f>+AE97+AE101+AE133+AE141+AE161+AE174+AE187+AE178+AE191</f>
        <v>6789573.5700000022</v>
      </c>
      <c r="AF193" s="248">
        <f>IF(AE$50=0,0,AE193/AE$50)</f>
        <v>0.30402705797973151</v>
      </c>
      <c r="AG193" s="222"/>
    </row>
    <row r="194" spans="1:33" s="240" customFormat="1" ht="7.5" customHeight="1">
      <c r="G194" s="254"/>
      <c r="H194" s="253"/>
      <c r="I194" s="254"/>
      <c r="J194" s="253"/>
      <c r="K194" s="254"/>
      <c r="L194" s="253"/>
      <c r="M194" s="254"/>
      <c r="N194" s="253"/>
      <c r="O194" s="254"/>
      <c r="P194" s="253"/>
      <c r="Q194" s="254"/>
      <c r="R194" s="253"/>
      <c r="S194" s="254"/>
      <c r="T194" s="253"/>
      <c r="U194" s="254"/>
      <c r="V194" s="253"/>
      <c r="W194" s="254"/>
      <c r="X194" s="253"/>
      <c r="Y194" s="254"/>
      <c r="Z194" s="253"/>
      <c r="AA194" s="254"/>
      <c r="AB194" s="253"/>
      <c r="AC194" s="254"/>
      <c r="AD194" s="253"/>
      <c r="AE194" s="254"/>
      <c r="AF194" s="243"/>
      <c r="AG194" s="222"/>
    </row>
    <row r="195" spans="1:33" s="240" customFormat="1" ht="15.5">
      <c r="B195" s="260" t="s">
        <v>803</v>
      </c>
      <c r="G195" s="258">
        <f>G81-G193</f>
        <v>203178.74</v>
      </c>
      <c r="H195" s="253"/>
      <c r="I195" s="258">
        <f>I81-I193</f>
        <v>738995.00000000012</v>
      </c>
      <c r="J195" s="253"/>
      <c r="K195" s="258">
        <f>K81-K193</f>
        <v>306118.37000000011</v>
      </c>
      <c r="L195" s="253"/>
      <c r="M195" s="258">
        <f>M81-M193</f>
        <v>502561.40999999992</v>
      </c>
      <c r="N195" s="253"/>
      <c r="O195" s="258">
        <f>O81-O193</f>
        <v>387018.96999999986</v>
      </c>
      <c r="P195" s="253"/>
      <c r="Q195" s="258">
        <f>Q81-Q193</f>
        <v>303566.15000000037</v>
      </c>
      <c r="R195" s="253"/>
      <c r="S195" s="258">
        <f>S81-S193</f>
        <v>327768.83999999997</v>
      </c>
      <c r="T195" s="253"/>
      <c r="U195" s="258">
        <f>U81-U193</f>
        <v>440181.75999999989</v>
      </c>
      <c r="V195" s="253"/>
      <c r="W195" s="258">
        <f>W81-W193</f>
        <v>484814.9500000003</v>
      </c>
      <c r="X195" s="253"/>
      <c r="Y195" s="258">
        <f>Y81-Y193</f>
        <v>322881.67000000027</v>
      </c>
      <c r="Z195" s="253"/>
      <c r="AA195" s="258">
        <f>AA81-AA193</f>
        <v>409230.83000000007</v>
      </c>
      <c r="AB195" s="253"/>
      <c r="AC195" s="258">
        <f>AC81-AC193</f>
        <v>381907.6</v>
      </c>
      <c r="AD195" s="253"/>
      <c r="AE195" s="258">
        <f>AE81-AE193</f>
        <v>4808224.2899999954</v>
      </c>
      <c r="AF195" s="248">
        <f>IF(AE$50=0,0,AE195/AE$50)</f>
        <v>0.21530516901010346</v>
      </c>
      <c r="AG195" s="222"/>
    </row>
    <row r="196" spans="1:33" s="240" customFormat="1" ht="7.5" customHeight="1">
      <c r="G196" s="254"/>
      <c r="H196" s="253"/>
      <c r="I196" s="254"/>
      <c r="J196" s="253"/>
      <c r="K196" s="254"/>
      <c r="L196" s="253"/>
      <c r="M196" s="254"/>
      <c r="N196" s="253"/>
      <c r="O196" s="254"/>
      <c r="P196" s="253"/>
      <c r="Q196" s="254"/>
      <c r="R196" s="253"/>
      <c r="S196" s="254"/>
      <c r="T196" s="253"/>
      <c r="U196" s="254"/>
      <c r="V196" s="253"/>
      <c r="W196" s="254"/>
      <c r="X196" s="253"/>
      <c r="Y196" s="254"/>
      <c r="Z196" s="253"/>
      <c r="AA196" s="254"/>
      <c r="AB196" s="253"/>
      <c r="AC196" s="254"/>
      <c r="AD196" s="253"/>
      <c r="AE196" s="254"/>
      <c r="AF196" s="243"/>
      <c r="AG196" s="222"/>
    </row>
    <row r="197" spans="1:33" s="240" customFormat="1" ht="15.5" outlineLevel="1">
      <c r="G197" s="254"/>
      <c r="H197" s="253"/>
      <c r="I197" s="254"/>
      <c r="J197" s="253"/>
      <c r="K197" s="254"/>
      <c r="L197" s="253"/>
      <c r="M197" s="254"/>
      <c r="N197" s="253"/>
      <c r="O197" s="254"/>
      <c r="P197" s="253"/>
      <c r="Q197" s="254"/>
      <c r="R197" s="253"/>
      <c r="S197" s="254"/>
      <c r="T197" s="253"/>
      <c r="U197" s="254"/>
      <c r="V197" s="253"/>
      <c r="W197" s="254"/>
      <c r="X197" s="253"/>
      <c r="Y197" s="254"/>
      <c r="Z197" s="253"/>
      <c r="AA197" s="254"/>
      <c r="AB197" s="253"/>
      <c r="AC197" s="254"/>
      <c r="AD197" s="253"/>
      <c r="AE197" s="254"/>
      <c r="AF197" s="243"/>
      <c r="AG197" s="222"/>
    </row>
    <row r="198" spans="1:33" outlineLevel="1">
      <c r="A198" s="244">
        <v>60010</v>
      </c>
      <c r="B198" s="244" t="s">
        <v>761</v>
      </c>
      <c r="C198" s="245"/>
      <c r="D198" s="246"/>
      <c r="E198" s="240"/>
      <c r="F198" s="241"/>
      <c r="G198" s="247">
        <v>0</v>
      </c>
      <c r="H198" s="241"/>
      <c r="I198" s="247">
        <v>1001.45</v>
      </c>
      <c r="J198" s="241"/>
      <c r="K198" s="247">
        <v>3215.39</v>
      </c>
      <c r="L198" s="241"/>
      <c r="M198" s="247">
        <v>369.06</v>
      </c>
      <c r="N198" s="241"/>
      <c r="O198" s="247">
        <v>2948.16</v>
      </c>
      <c r="P198" s="241"/>
      <c r="Q198" s="247">
        <v>1534.55</v>
      </c>
      <c r="R198" s="241"/>
      <c r="S198" s="247">
        <v>2448.58</v>
      </c>
      <c r="T198" s="241"/>
      <c r="U198" s="247">
        <v>1897.94</v>
      </c>
      <c r="V198" s="241"/>
      <c r="W198" s="247">
        <v>2105.04</v>
      </c>
      <c r="X198" s="241"/>
      <c r="Y198" s="247">
        <v>2555.6999999999998</v>
      </c>
      <c r="Z198" s="241"/>
      <c r="AA198" s="247">
        <v>2002.26</v>
      </c>
      <c r="AB198" s="241"/>
      <c r="AC198" s="247">
        <v>2840.79</v>
      </c>
      <c r="AD198" s="241"/>
      <c r="AE198" s="247">
        <f t="shared" ref="AE198:AE205" si="22">AC198+AA198+Y198+W198+U198+S198+Q198+O198+M198+K198+I198+G198</f>
        <v>22918.920000000002</v>
      </c>
      <c r="AF198" s="248">
        <f t="shared" ref="AF198:AF205" si="23">IF(AE$50=0,0,AE198/AE$50)</f>
        <v>1.0262753246332121E-3</v>
      </c>
      <c r="AG198" s="249"/>
    </row>
    <row r="199" spans="1:33" outlineLevel="1">
      <c r="A199" s="244">
        <v>60030</v>
      </c>
      <c r="B199" s="244" t="s">
        <v>804</v>
      </c>
      <c r="C199" s="245"/>
      <c r="D199" s="246"/>
      <c r="E199" s="240"/>
      <c r="F199" s="241"/>
      <c r="G199" s="247">
        <v>0</v>
      </c>
      <c r="H199" s="241"/>
      <c r="I199" s="247">
        <v>0</v>
      </c>
      <c r="J199" s="241"/>
      <c r="K199" s="247">
        <v>0</v>
      </c>
      <c r="L199" s="241"/>
      <c r="M199" s="247">
        <v>0</v>
      </c>
      <c r="N199" s="241"/>
      <c r="O199" s="247">
        <v>192.65</v>
      </c>
      <c r="P199" s="241"/>
      <c r="Q199" s="247">
        <v>234.78</v>
      </c>
      <c r="R199" s="241"/>
      <c r="S199" s="247">
        <v>713.01</v>
      </c>
      <c r="T199" s="241"/>
      <c r="U199" s="247">
        <v>410.62</v>
      </c>
      <c r="V199" s="241"/>
      <c r="W199" s="247">
        <v>143.57</v>
      </c>
      <c r="X199" s="241"/>
      <c r="Y199" s="247">
        <v>546.65</v>
      </c>
      <c r="Z199" s="241"/>
      <c r="AA199" s="247">
        <v>331.31</v>
      </c>
      <c r="AB199" s="241"/>
      <c r="AC199" s="247">
        <v>967.99</v>
      </c>
      <c r="AD199" s="241"/>
      <c r="AE199" s="247">
        <f t="shared" si="22"/>
        <v>3540.58</v>
      </c>
      <c r="AF199" s="248">
        <f t="shared" si="23"/>
        <v>1.5854193342835777E-4</v>
      </c>
      <c r="AG199" s="249"/>
    </row>
    <row r="200" spans="1:33" outlineLevel="1">
      <c r="A200" s="244">
        <v>60050</v>
      </c>
      <c r="B200" s="244" t="s">
        <v>751</v>
      </c>
      <c r="C200" s="245"/>
      <c r="D200" s="246"/>
      <c r="E200" s="240"/>
      <c r="F200" s="241"/>
      <c r="G200" s="247">
        <v>0</v>
      </c>
      <c r="H200" s="241"/>
      <c r="I200" s="247">
        <v>93.99</v>
      </c>
      <c r="J200" s="241"/>
      <c r="K200" s="247">
        <v>294.08</v>
      </c>
      <c r="L200" s="241"/>
      <c r="M200" s="247">
        <v>33.53</v>
      </c>
      <c r="N200" s="241"/>
      <c r="O200" s="247">
        <v>274.8</v>
      </c>
      <c r="P200" s="241"/>
      <c r="Q200" s="247">
        <v>149.27000000000001</v>
      </c>
      <c r="R200" s="241"/>
      <c r="S200" s="247">
        <v>237.51</v>
      </c>
      <c r="T200" s="241"/>
      <c r="U200" s="247">
        <v>188.13</v>
      </c>
      <c r="V200" s="241"/>
      <c r="W200" s="247">
        <v>605.26</v>
      </c>
      <c r="X200" s="241"/>
      <c r="Y200" s="247">
        <v>368.12</v>
      </c>
      <c r="Z200" s="241"/>
      <c r="AA200" s="247">
        <v>481.12</v>
      </c>
      <c r="AB200" s="241"/>
      <c r="AC200" s="247">
        <v>476.62</v>
      </c>
      <c r="AD200" s="241"/>
      <c r="AE200" s="247">
        <f t="shared" si="22"/>
        <v>3202.4300000000003</v>
      </c>
      <c r="AF200" s="248">
        <f t="shared" si="23"/>
        <v>1.4340007678656486E-4</v>
      </c>
      <c r="AG200" s="249"/>
    </row>
    <row r="201" spans="1:33" outlineLevel="1">
      <c r="A201" s="244">
        <v>60060</v>
      </c>
      <c r="B201" s="244" t="s">
        <v>752</v>
      </c>
      <c r="C201" s="245"/>
      <c r="D201" s="246"/>
      <c r="E201" s="240"/>
      <c r="F201" s="241"/>
      <c r="G201" s="247">
        <v>0</v>
      </c>
      <c r="H201" s="241"/>
      <c r="I201" s="247">
        <v>0</v>
      </c>
      <c r="J201" s="241"/>
      <c r="K201" s="247">
        <v>1000</v>
      </c>
      <c r="L201" s="241"/>
      <c r="M201" s="247">
        <v>-86.4</v>
      </c>
      <c r="N201" s="241"/>
      <c r="O201" s="247">
        <v>1003.5</v>
      </c>
      <c r="P201" s="241"/>
      <c r="Q201" s="247">
        <v>358.13</v>
      </c>
      <c r="R201" s="241"/>
      <c r="S201" s="247">
        <v>706.71</v>
      </c>
      <c r="T201" s="241"/>
      <c r="U201" s="247">
        <v>517.36</v>
      </c>
      <c r="V201" s="241"/>
      <c r="W201" s="247">
        <v>1460.11</v>
      </c>
      <c r="X201" s="241"/>
      <c r="Y201" s="247">
        <v>943.75</v>
      </c>
      <c r="Z201" s="241"/>
      <c r="AA201" s="247">
        <v>1251.05</v>
      </c>
      <c r="AB201" s="241"/>
      <c r="AC201" s="247">
        <v>1084.1300000000001</v>
      </c>
      <c r="AD201" s="241"/>
      <c r="AE201" s="247">
        <f t="shared" si="22"/>
        <v>8238.34</v>
      </c>
      <c r="AF201" s="248">
        <f t="shared" si="23"/>
        <v>3.6890067498550436E-4</v>
      </c>
      <c r="AG201" s="249"/>
    </row>
    <row r="202" spans="1:33" outlineLevel="1">
      <c r="A202" s="244">
        <v>60065</v>
      </c>
      <c r="B202" s="244" t="s">
        <v>753</v>
      </c>
      <c r="C202" s="245"/>
      <c r="D202" s="246"/>
      <c r="E202" s="240"/>
      <c r="F202" s="241"/>
      <c r="G202" s="247">
        <v>0</v>
      </c>
      <c r="H202" s="241"/>
      <c r="I202" s="247">
        <v>-0.23</v>
      </c>
      <c r="J202" s="241"/>
      <c r="K202" s="247">
        <v>106.9</v>
      </c>
      <c r="L202" s="241"/>
      <c r="M202" s="247">
        <v>-10.97</v>
      </c>
      <c r="N202" s="241"/>
      <c r="O202" s="247">
        <v>110.99</v>
      </c>
      <c r="P202" s="241"/>
      <c r="Q202" s="247">
        <v>45.03</v>
      </c>
      <c r="R202" s="241"/>
      <c r="S202" s="247">
        <v>80.569999999999993</v>
      </c>
      <c r="T202" s="241"/>
      <c r="U202" s="247">
        <v>63.13</v>
      </c>
      <c r="V202" s="241"/>
      <c r="W202" s="247">
        <v>71.03</v>
      </c>
      <c r="X202" s="241"/>
      <c r="Y202" s="247">
        <v>64.87</v>
      </c>
      <c r="Z202" s="241"/>
      <c r="AA202" s="247">
        <v>-73.95</v>
      </c>
      <c r="AB202" s="241"/>
      <c r="AC202" s="247">
        <v>-23.86</v>
      </c>
      <c r="AD202" s="241"/>
      <c r="AE202" s="247">
        <f t="shared" si="22"/>
        <v>433.51</v>
      </c>
      <c r="AF202" s="248">
        <f t="shared" si="23"/>
        <v>1.9411936338263046E-5</v>
      </c>
      <c r="AG202" s="249"/>
    </row>
    <row r="203" spans="1:33" outlineLevel="1">
      <c r="A203" s="244">
        <v>60195</v>
      </c>
      <c r="B203" s="244" t="s">
        <v>805</v>
      </c>
      <c r="C203" s="245"/>
      <c r="D203" s="246"/>
      <c r="E203" s="240"/>
      <c r="F203" s="241"/>
      <c r="G203" s="247">
        <v>32.81</v>
      </c>
      <c r="H203" s="241"/>
      <c r="I203" s="247">
        <v>1456.73</v>
      </c>
      <c r="J203" s="241"/>
      <c r="K203" s="247">
        <v>0</v>
      </c>
      <c r="L203" s="241"/>
      <c r="M203" s="247">
        <v>0</v>
      </c>
      <c r="N203" s="241"/>
      <c r="O203" s="247">
        <v>0</v>
      </c>
      <c r="P203" s="241"/>
      <c r="Q203" s="247">
        <v>0</v>
      </c>
      <c r="R203" s="241"/>
      <c r="S203" s="247">
        <v>0</v>
      </c>
      <c r="T203" s="241"/>
      <c r="U203" s="247">
        <v>0</v>
      </c>
      <c r="V203" s="241"/>
      <c r="W203" s="247">
        <v>0</v>
      </c>
      <c r="X203" s="241"/>
      <c r="Y203" s="247">
        <v>0</v>
      </c>
      <c r="Z203" s="241"/>
      <c r="AA203" s="247">
        <v>0</v>
      </c>
      <c r="AB203" s="241"/>
      <c r="AC203" s="247">
        <v>0</v>
      </c>
      <c r="AD203" s="241"/>
      <c r="AE203" s="247">
        <f t="shared" si="22"/>
        <v>1489.54</v>
      </c>
      <c r="AF203" s="248">
        <f t="shared" si="23"/>
        <v>6.6699397138004522E-5</v>
      </c>
      <c r="AG203" s="249"/>
    </row>
    <row r="204" spans="1:33" outlineLevel="1">
      <c r="A204" s="244">
        <v>60205</v>
      </c>
      <c r="B204" s="244" t="s">
        <v>806</v>
      </c>
      <c r="C204" s="245"/>
      <c r="D204" s="246"/>
      <c r="E204" s="240"/>
      <c r="F204" s="241"/>
      <c r="G204" s="247">
        <v>0</v>
      </c>
      <c r="H204" s="241"/>
      <c r="I204" s="247">
        <v>238.16</v>
      </c>
      <c r="J204" s="241"/>
      <c r="K204" s="247">
        <v>0</v>
      </c>
      <c r="L204" s="241"/>
      <c r="M204" s="247">
        <v>0</v>
      </c>
      <c r="N204" s="241"/>
      <c r="O204" s="247">
        <v>0</v>
      </c>
      <c r="P204" s="241"/>
      <c r="Q204" s="247">
        <v>0</v>
      </c>
      <c r="R204" s="241"/>
      <c r="S204" s="247">
        <v>0</v>
      </c>
      <c r="T204" s="241"/>
      <c r="U204" s="247">
        <v>0</v>
      </c>
      <c r="V204" s="241"/>
      <c r="W204" s="247">
        <v>0</v>
      </c>
      <c r="X204" s="241"/>
      <c r="Y204" s="247">
        <v>0</v>
      </c>
      <c r="Z204" s="241"/>
      <c r="AA204" s="247">
        <v>0</v>
      </c>
      <c r="AB204" s="241"/>
      <c r="AC204" s="247">
        <v>0</v>
      </c>
      <c r="AD204" s="241"/>
      <c r="AE204" s="247">
        <f t="shared" si="22"/>
        <v>238.16</v>
      </c>
      <c r="AF204" s="248">
        <f t="shared" si="23"/>
        <v>1.0664452396301649E-5</v>
      </c>
      <c r="AG204" s="249"/>
    </row>
    <row r="205" spans="1:33" outlineLevel="1">
      <c r="A205" s="244">
        <v>60225</v>
      </c>
      <c r="B205" s="244" t="s">
        <v>807</v>
      </c>
      <c r="C205" s="245"/>
      <c r="D205" s="246"/>
      <c r="E205" s="240"/>
      <c r="F205" s="241"/>
      <c r="G205" s="247">
        <v>1139.8</v>
      </c>
      <c r="H205" s="241"/>
      <c r="I205" s="247">
        <v>199</v>
      </c>
      <c r="J205" s="241"/>
      <c r="K205" s="247">
        <v>-2478</v>
      </c>
      <c r="L205" s="241"/>
      <c r="M205" s="247">
        <v>0</v>
      </c>
      <c r="N205" s="241"/>
      <c r="O205" s="247">
        <v>0</v>
      </c>
      <c r="P205" s="241"/>
      <c r="Q205" s="247">
        <v>0</v>
      </c>
      <c r="R205" s="241"/>
      <c r="S205" s="247">
        <v>0</v>
      </c>
      <c r="T205" s="241"/>
      <c r="U205" s="247">
        <v>169.2</v>
      </c>
      <c r="V205" s="241"/>
      <c r="W205" s="247">
        <v>0</v>
      </c>
      <c r="X205" s="241"/>
      <c r="Y205" s="247">
        <v>0</v>
      </c>
      <c r="Z205" s="241"/>
      <c r="AA205" s="247">
        <v>0</v>
      </c>
      <c r="AB205" s="241"/>
      <c r="AC205" s="247">
        <v>0</v>
      </c>
      <c r="AD205" s="241"/>
      <c r="AE205" s="247">
        <f t="shared" si="22"/>
        <v>-970.00000000000023</v>
      </c>
      <c r="AF205" s="248">
        <f t="shared" si="23"/>
        <v>-4.3435164697735139E-5</v>
      </c>
      <c r="AG205" s="249"/>
    </row>
    <row r="206" spans="1:33" s="240" customFormat="1" ht="5.15" customHeight="1" outlineLevel="1">
      <c r="A206" s="245"/>
      <c r="B206" s="245"/>
      <c r="C206" s="245"/>
      <c r="D206" s="245"/>
      <c r="G206" s="255"/>
      <c r="H206" s="253"/>
      <c r="I206" s="255"/>
      <c r="J206" s="253"/>
      <c r="K206" s="255"/>
      <c r="L206" s="253"/>
      <c r="M206" s="255"/>
      <c r="N206" s="253"/>
      <c r="O206" s="255"/>
      <c r="P206" s="253"/>
      <c r="Q206" s="255"/>
      <c r="R206" s="253"/>
      <c r="S206" s="255"/>
      <c r="T206" s="253"/>
      <c r="U206" s="255"/>
      <c r="V206" s="253"/>
      <c r="W206" s="255"/>
      <c r="X206" s="253"/>
      <c r="Y206" s="255"/>
      <c r="Z206" s="253"/>
      <c r="AA206" s="255"/>
      <c r="AB206" s="253"/>
      <c r="AC206" s="255"/>
      <c r="AD206" s="253"/>
      <c r="AE206" s="255"/>
      <c r="AF206" s="243"/>
      <c r="AG206" s="222"/>
    </row>
    <row r="207" spans="1:33" s="240" customFormat="1" ht="15.5">
      <c r="C207" s="245" t="s">
        <v>808</v>
      </c>
      <c r="G207" s="252">
        <f>SUM(G197:G206)</f>
        <v>1172.6099999999999</v>
      </c>
      <c r="H207" s="253"/>
      <c r="I207" s="252">
        <f>SUM(I197:I206)</f>
        <v>2989.1</v>
      </c>
      <c r="J207" s="253"/>
      <c r="K207" s="252">
        <f>SUM(K197:K206)</f>
        <v>2138.369999999999</v>
      </c>
      <c r="L207" s="253"/>
      <c r="M207" s="252">
        <f>SUM(M197:M206)</f>
        <v>305.22000000000003</v>
      </c>
      <c r="N207" s="253"/>
      <c r="O207" s="252">
        <f>SUM(O197:O206)</f>
        <v>4530.1000000000004</v>
      </c>
      <c r="P207" s="253"/>
      <c r="Q207" s="252">
        <f>SUM(Q197:Q206)</f>
        <v>2321.7600000000002</v>
      </c>
      <c r="R207" s="253"/>
      <c r="S207" s="252">
        <f>SUM(S197:S206)</f>
        <v>4186.38</v>
      </c>
      <c r="T207" s="253"/>
      <c r="U207" s="252">
        <f>SUM(U197:U206)</f>
        <v>3246.38</v>
      </c>
      <c r="V207" s="253"/>
      <c r="W207" s="252">
        <f>SUM(W197:W206)</f>
        <v>4385.0099999999993</v>
      </c>
      <c r="X207" s="253"/>
      <c r="Y207" s="252">
        <f>SUM(Y197:Y206)</f>
        <v>4479.0899999999992</v>
      </c>
      <c r="Z207" s="253"/>
      <c r="AA207" s="252">
        <f>SUM(AA197:AA206)</f>
        <v>3991.79</v>
      </c>
      <c r="AB207" s="253"/>
      <c r="AC207" s="252">
        <f>SUM(AC197:AC206)</f>
        <v>5345.67</v>
      </c>
      <c r="AD207" s="253"/>
      <c r="AE207" s="252">
        <f>SUM(AE197:AE206)</f>
        <v>39091.48000000001</v>
      </c>
      <c r="AF207" s="248">
        <f>IF(AE$50=0,0,AE207/AE$50)</f>
        <v>1.7504586310084734E-3</v>
      </c>
      <c r="AG207" s="222"/>
    </row>
    <row r="208" spans="1:33" s="240" customFormat="1" ht="15.5" outlineLevel="1">
      <c r="G208" s="254"/>
      <c r="H208" s="253"/>
      <c r="I208" s="254"/>
      <c r="J208" s="253"/>
      <c r="K208" s="254"/>
      <c r="L208" s="253"/>
      <c r="M208" s="254"/>
      <c r="N208" s="253"/>
      <c r="O208" s="254"/>
      <c r="P208" s="253"/>
      <c r="Q208" s="254"/>
      <c r="R208" s="253"/>
      <c r="S208" s="254"/>
      <c r="T208" s="253"/>
      <c r="U208" s="254"/>
      <c r="V208" s="253"/>
      <c r="W208" s="254"/>
      <c r="X208" s="253"/>
      <c r="Y208" s="254"/>
      <c r="Z208" s="253"/>
      <c r="AA208" s="254"/>
      <c r="AB208" s="253"/>
      <c r="AC208" s="254"/>
      <c r="AD208" s="253"/>
      <c r="AE208" s="254"/>
      <c r="AF208" s="243"/>
      <c r="AG208" s="222"/>
    </row>
    <row r="209" spans="1:33" s="240" customFormat="1" ht="15.5" outlineLevel="1">
      <c r="G209" s="254"/>
      <c r="H209" s="253"/>
      <c r="I209" s="254"/>
      <c r="J209" s="253"/>
      <c r="K209" s="254"/>
      <c r="L209" s="253"/>
      <c r="M209" s="254"/>
      <c r="N209" s="253"/>
      <c r="O209" s="254"/>
      <c r="P209" s="253"/>
      <c r="Q209" s="254"/>
      <c r="R209" s="253"/>
      <c r="S209" s="254"/>
      <c r="T209" s="253"/>
      <c r="U209" s="254"/>
      <c r="V209" s="253"/>
      <c r="W209" s="254"/>
      <c r="X209" s="253"/>
      <c r="Y209" s="254"/>
      <c r="Z209" s="253"/>
      <c r="AA209" s="254"/>
      <c r="AB209" s="253"/>
      <c r="AC209" s="254"/>
      <c r="AD209" s="253"/>
      <c r="AE209" s="254"/>
      <c r="AF209" s="243"/>
      <c r="AG209" s="222"/>
    </row>
    <row r="210" spans="1:33" outlineLevel="1">
      <c r="A210" s="244">
        <v>70010</v>
      </c>
      <c r="B210" s="244" t="s">
        <v>761</v>
      </c>
      <c r="C210" s="245"/>
      <c r="D210" s="246"/>
      <c r="E210" s="240"/>
      <c r="F210" s="241"/>
      <c r="G210" s="247">
        <v>25122.12</v>
      </c>
      <c r="H210" s="241"/>
      <c r="I210" s="247">
        <v>22890.240000000002</v>
      </c>
      <c r="J210" s="241"/>
      <c r="K210" s="247">
        <v>24464.6</v>
      </c>
      <c r="L210" s="241"/>
      <c r="M210" s="247">
        <v>24419.08</v>
      </c>
      <c r="N210" s="241"/>
      <c r="O210" s="247">
        <v>23502.1</v>
      </c>
      <c r="P210" s="241"/>
      <c r="Q210" s="247">
        <v>24868.98</v>
      </c>
      <c r="R210" s="241"/>
      <c r="S210" s="247">
        <v>26901.33</v>
      </c>
      <c r="T210" s="241"/>
      <c r="U210" s="247">
        <v>26002.45</v>
      </c>
      <c r="V210" s="241"/>
      <c r="W210" s="247">
        <v>25494.09</v>
      </c>
      <c r="X210" s="241"/>
      <c r="Y210" s="247">
        <v>25331</v>
      </c>
      <c r="Z210" s="241"/>
      <c r="AA210" s="247">
        <v>25000.799999999999</v>
      </c>
      <c r="AB210" s="241"/>
      <c r="AC210" s="247">
        <v>4985.01</v>
      </c>
      <c r="AD210" s="241"/>
      <c r="AE210" s="247">
        <f t="shared" ref="AE210:AE258" si="24">AC210+AA210+Y210+W210+U210+S210+Q210+O210+M210+K210+I210+G210</f>
        <v>278981.80000000005</v>
      </c>
      <c r="AF210" s="248">
        <f t="shared" ref="AF210:AF258" si="25">IF(AE$50=0,0,AE210/AE$50)</f>
        <v>1.2492392196567633E-2</v>
      </c>
      <c r="AG210" s="249"/>
    </row>
    <row r="211" spans="1:33" outlineLevel="1">
      <c r="A211" s="244">
        <v>70020</v>
      </c>
      <c r="B211" s="244" t="s">
        <v>746</v>
      </c>
      <c r="C211" s="245"/>
      <c r="D211" s="246"/>
      <c r="E211" s="240"/>
      <c r="F211" s="241"/>
      <c r="G211" s="247">
        <v>35555.5</v>
      </c>
      <c r="H211" s="241"/>
      <c r="I211" s="247">
        <v>10054.799999999999</v>
      </c>
      <c r="J211" s="241"/>
      <c r="K211" s="247">
        <v>25436.86</v>
      </c>
      <c r="L211" s="241"/>
      <c r="M211" s="247">
        <v>23162.58</v>
      </c>
      <c r="N211" s="241"/>
      <c r="O211" s="247">
        <v>23057.82</v>
      </c>
      <c r="P211" s="241"/>
      <c r="Q211" s="247">
        <v>22858.81</v>
      </c>
      <c r="R211" s="241"/>
      <c r="S211" s="247">
        <v>25922.66</v>
      </c>
      <c r="T211" s="241"/>
      <c r="U211" s="247">
        <v>22650.36</v>
      </c>
      <c r="V211" s="241"/>
      <c r="W211" s="247">
        <v>28128.2</v>
      </c>
      <c r="X211" s="241"/>
      <c r="Y211" s="247">
        <v>26147.91</v>
      </c>
      <c r="Z211" s="241"/>
      <c r="AA211" s="247">
        <v>28054.76</v>
      </c>
      <c r="AB211" s="241"/>
      <c r="AC211" s="247">
        <v>31588.55</v>
      </c>
      <c r="AD211" s="241"/>
      <c r="AE211" s="247">
        <f t="shared" si="24"/>
        <v>302618.81</v>
      </c>
      <c r="AF211" s="248">
        <f t="shared" si="25"/>
        <v>1.3550822528848056E-2</v>
      </c>
      <c r="AG211" s="249"/>
    </row>
    <row r="212" spans="1:33" outlineLevel="1">
      <c r="A212" s="244">
        <v>70025</v>
      </c>
      <c r="B212" s="244" t="s">
        <v>747</v>
      </c>
      <c r="C212" s="245"/>
      <c r="D212" s="246"/>
      <c r="E212" s="240"/>
      <c r="F212" s="241"/>
      <c r="G212" s="247">
        <v>6238.63</v>
      </c>
      <c r="H212" s="241"/>
      <c r="I212" s="247">
        <v>619.83000000000004</v>
      </c>
      <c r="J212" s="241"/>
      <c r="K212" s="247">
        <v>3017.1</v>
      </c>
      <c r="L212" s="241"/>
      <c r="M212" s="247">
        <v>3560.85</v>
      </c>
      <c r="N212" s="241"/>
      <c r="O212" s="247">
        <v>2913.3</v>
      </c>
      <c r="P212" s="241"/>
      <c r="Q212" s="247">
        <v>3295.59</v>
      </c>
      <c r="R212" s="241"/>
      <c r="S212" s="247">
        <v>4042.98</v>
      </c>
      <c r="T212" s="241"/>
      <c r="U212" s="247">
        <v>3868.91</v>
      </c>
      <c r="V212" s="241"/>
      <c r="W212" s="247">
        <v>3221.26</v>
      </c>
      <c r="X212" s="241"/>
      <c r="Y212" s="247">
        <v>3753.74</v>
      </c>
      <c r="Z212" s="241"/>
      <c r="AA212" s="247">
        <v>3103</v>
      </c>
      <c r="AB212" s="241"/>
      <c r="AC212" s="247">
        <v>3530.82</v>
      </c>
      <c r="AD212" s="241"/>
      <c r="AE212" s="247">
        <f t="shared" si="24"/>
        <v>41166.009999999995</v>
      </c>
      <c r="AF212" s="248">
        <f t="shared" si="25"/>
        <v>1.8433530147408362E-3</v>
      </c>
      <c r="AG212" s="249"/>
    </row>
    <row r="213" spans="1:33" outlineLevel="1">
      <c r="A213" s="244">
        <v>70035</v>
      </c>
      <c r="B213" s="244" t="s">
        <v>748</v>
      </c>
      <c r="C213" s="245"/>
      <c r="D213" s="246"/>
      <c r="E213" s="240"/>
      <c r="F213" s="241"/>
      <c r="G213" s="247">
        <v>0</v>
      </c>
      <c r="H213" s="241"/>
      <c r="I213" s="247">
        <v>0</v>
      </c>
      <c r="J213" s="241"/>
      <c r="K213" s="247">
        <v>0</v>
      </c>
      <c r="L213" s="241"/>
      <c r="M213" s="247">
        <v>0</v>
      </c>
      <c r="N213" s="241"/>
      <c r="O213" s="247">
        <v>0</v>
      </c>
      <c r="P213" s="241"/>
      <c r="Q213" s="247">
        <v>0</v>
      </c>
      <c r="R213" s="241"/>
      <c r="S213" s="247">
        <v>0</v>
      </c>
      <c r="T213" s="241"/>
      <c r="U213" s="247">
        <v>0</v>
      </c>
      <c r="V213" s="241"/>
      <c r="W213" s="247">
        <v>0</v>
      </c>
      <c r="X213" s="241"/>
      <c r="Y213" s="247">
        <v>0</v>
      </c>
      <c r="Z213" s="241"/>
      <c r="AA213" s="247">
        <v>0</v>
      </c>
      <c r="AB213" s="241"/>
      <c r="AC213" s="247">
        <v>800</v>
      </c>
      <c r="AD213" s="241"/>
      <c r="AE213" s="247">
        <f t="shared" si="24"/>
        <v>800</v>
      </c>
      <c r="AF213" s="248">
        <f t="shared" si="25"/>
        <v>3.5822816245554745E-5</v>
      </c>
      <c r="AG213" s="249"/>
    </row>
    <row r="214" spans="1:33" outlineLevel="1">
      <c r="A214" s="244">
        <v>70036</v>
      </c>
      <c r="B214" s="244" t="s">
        <v>749</v>
      </c>
      <c r="C214" s="245"/>
      <c r="D214" s="246"/>
      <c r="E214" s="240"/>
      <c r="F214" s="241"/>
      <c r="G214" s="247">
        <v>0</v>
      </c>
      <c r="H214" s="241"/>
      <c r="I214" s="247">
        <v>2.21</v>
      </c>
      <c r="J214" s="241"/>
      <c r="K214" s="247">
        <v>4382.8900000000003</v>
      </c>
      <c r="L214" s="241"/>
      <c r="M214" s="247">
        <v>2118.9499999999998</v>
      </c>
      <c r="N214" s="241"/>
      <c r="O214" s="247">
        <v>-629.65</v>
      </c>
      <c r="P214" s="241"/>
      <c r="Q214" s="247">
        <v>108.32</v>
      </c>
      <c r="R214" s="241"/>
      <c r="S214" s="247">
        <v>-618.54999999999995</v>
      </c>
      <c r="T214" s="241"/>
      <c r="U214" s="247">
        <v>1643.56</v>
      </c>
      <c r="V214" s="241"/>
      <c r="W214" s="247">
        <v>385.16</v>
      </c>
      <c r="X214" s="241"/>
      <c r="Y214" s="247">
        <v>-181.78</v>
      </c>
      <c r="Z214" s="241"/>
      <c r="AA214" s="247">
        <v>652.15</v>
      </c>
      <c r="AB214" s="241"/>
      <c r="AC214" s="247">
        <v>141.49</v>
      </c>
      <c r="AD214" s="241"/>
      <c r="AE214" s="247">
        <f t="shared" si="24"/>
        <v>8004.75</v>
      </c>
      <c r="AF214" s="248">
        <f t="shared" si="25"/>
        <v>3.5844086042700543E-4</v>
      </c>
      <c r="AG214" s="249"/>
    </row>
    <row r="215" spans="1:33" outlineLevel="1">
      <c r="A215" s="244">
        <v>70045</v>
      </c>
      <c r="B215" s="244" t="s">
        <v>750</v>
      </c>
      <c r="C215" s="245"/>
      <c r="D215" s="246"/>
      <c r="E215" s="240"/>
      <c r="F215" s="241"/>
      <c r="G215" s="247">
        <v>3897.41</v>
      </c>
      <c r="H215" s="241"/>
      <c r="I215" s="247">
        <v>-369.34</v>
      </c>
      <c r="J215" s="241"/>
      <c r="K215" s="247">
        <v>3074.34</v>
      </c>
      <c r="L215" s="241"/>
      <c r="M215" s="247">
        <v>843.55</v>
      </c>
      <c r="N215" s="241"/>
      <c r="O215" s="247">
        <v>1361.96</v>
      </c>
      <c r="P215" s="241"/>
      <c r="Q215" s="247">
        <v>1957.54</v>
      </c>
      <c r="R215" s="241"/>
      <c r="S215" s="247">
        <v>1930.32</v>
      </c>
      <c r="T215" s="241"/>
      <c r="U215" s="247">
        <v>1572.93</v>
      </c>
      <c r="V215" s="241"/>
      <c r="W215" s="247">
        <v>1167.6600000000001</v>
      </c>
      <c r="X215" s="241"/>
      <c r="Y215" s="247">
        <v>3088.03</v>
      </c>
      <c r="Z215" s="241"/>
      <c r="AA215" s="247">
        <v>1494.21</v>
      </c>
      <c r="AB215" s="241"/>
      <c r="AC215" s="247">
        <v>1772.32</v>
      </c>
      <c r="AD215" s="241"/>
      <c r="AE215" s="247">
        <f t="shared" si="24"/>
        <v>21790.929999999997</v>
      </c>
      <c r="AF215" s="248">
        <f t="shared" si="25"/>
        <v>9.7576560151218269E-4</v>
      </c>
      <c r="AG215" s="249"/>
    </row>
    <row r="216" spans="1:33" outlineLevel="1">
      <c r="A216" s="244">
        <v>70050</v>
      </c>
      <c r="B216" s="244" t="s">
        <v>751</v>
      </c>
      <c r="C216" s="245"/>
      <c r="D216" s="246"/>
      <c r="E216" s="240"/>
      <c r="F216" s="241"/>
      <c r="G216" s="247">
        <v>6581.95</v>
      </c>
      <c r="H216" s="241"/>
      <c r="I216" s="247">
        <v>2314.08</v>
      </c>
      <c r="J216" s="241"/>
      <c r="K216" s="247">
        <v>4046.73</v>
      </c>
      <c r="L216" s="241"/>
      <c r="M216" s="247">
        <v>4369.74</v>
      </c>
      <c r="N216" s="241"/>
      <c r="O216" s="247">
        <v>3931.36</v>
      </c>
      <c r="P216" s="241"/>
      <c r="Q216" s="247">
        <v>4091.99</v>
      </c>
      <c r="R216" s="241"/>
      <c r="S216" s="247">
        <v>4417.26</v>
      </c>
      <c r="T216" s="241"/>
      <c r="U216" s="247">
        <v>4285.34</v>
      </c>
      <c r="V216" s="241"/>
      <c r="W216" s="247">
        <v>4375.54</v>
      </c>
      <c r="X216" s="241"/>
      <c r="Y216" s="247">
        <v>4209.7299999999996</v>
      </c>
      <c r="Z216" s="241"/>
      <c r="AA216" s="247">
        <v>4075.03</v>
      </c>
      <c r="AB216" s="241"/>
      <c r="AC216" s="247">
        <v>4262.1899999999996</v>
      </c>
      <c r="AD216" s="241"/>
      <c r="AE216" s="247">
        <f t="shared" si="24"/>
        <v>50960.939999999995</v>
      </c>
      <c r="AF216" s="248">
        <f t="shared" si="25"/>
        <v>2.2819554866509257E-3</v>
      </c>
      <c r="AG216" s="249"/>
    </row>
    <row r="217" spans="1:33" outlineLevel="1">
      <c r="A217" s="244">
        <v>70060</v>
      </c>
      <c r="B217" s="244" t="s">
        <v>752</v>
      </c>
      <c r="C217" s="245"/>
      <c r="D217" s="246"/>
      <c r="E217" s="240"/>
      <c r="F217" s="241"/>
      <c r="G217" s="247">
        <v>14601.36</v>
      </c>
      <c r="H217" s="241"/>
      <c r="I217" s="247">
        <v>8276.24</v>
      </c>
      <c r="J217" s="241"/>
      <c r="K217" s="247">
        <v>11332.17</v>
      </c>
      <c r="L217" s="241"/>
      <c r="M217" s="247">
        <v>12146.84</v>
      </c>
      <c r="N217" s="241"/>
      <c r="O217" s="247">
        <v>12066.11</v>
      </c>
      <c r="P217" s="241"/>
      <c r="Q217" s="247">
        <v>11543.95</v>
      </c>
      <c r="R217" s="241"/>
      <c r="S217" s="247">
        <v>11211.53</v>
      </c>
      <c r="T217" s="241"/>
      <c r="U217" s="247">
        <v>12085.8</v>
      </c>
      <c r="V217" s="241"/>
      <c r="W217" s="247">
        <v>10870.7</v>
      </c>
      <c r="X217" s="241"/>
      <c r="Y217" s="247">
        <v>12145.73</v>
      </c>
      <c r="Z217" s="241"/>
      <c r="AA217" s="247">
        <v>12218.79</v>
      </c>
      <c r="AB217" s="241"/>
      <c r="AC217" s="247">
        <v>12911.83</v>
      </c>
      <c r="AD217" s="241"/>
      <c r="AE217" s="247">
        <f t="shared" si="24"/>
        <v>141411.04999999999</v>
      </c>
      <c r="AF217" s="248">
        <f t="shared" si="25"/>
        <v>6.3321775740511925E-3</v>
      </c>
      <c r="AG217" s="249"/>
    </row>
    <row r="218" spans="1:33" outlineLevel="1">
      <c r="A218" s="244">
        <v>70065</v>
      </c>
      <c r="B218" s="244" t="s">
        <v>753</v>
      </c>
      <c r="C218" s="245"/>
      <c r="D218" s="246"/>
      <c r="E218" s="240"/>
      <c r="F218" s="241"/>
      <c r="G218" s="247">
        <v>2817.13</v>
      </c>
      <c r="H218" s="241"/>
      <c r="I218" s="247">
        <v>1420.55</v>
      </c>
      <c r="J218" s="241"/>
      <c r="K218" s="247">
        <v>1782.42</v>
      </c>
      <c r="L218" s="241"/>
      <c r="M218" s="247">
        <v>2477.3000000000002</v>
      </c>
      <c r="N218" s="241"/>
      <c r="O218" s="247">
        <v>2148.87</v>
      </c>
      <c r="P218" s="241"/>
      <c r="Q218" s="247">
        <v>1958.54</v>
      </c>
      <c r="R218" s="241"/>
      <c r="S218" s="247">
        <v>1936.61</v>
      </c>
      <c r="T218" s="241"/>
      <c r="U218" s="247">
        <v>1484.93</v>
      </c>
      <c r="V218" s="241"/>
      <c r="W218" s="247">
        <v>3015.43</v>
      </c>
      <c r="X218" s="241"/>
      <c r="Y218" s="247">
        <v>2763</v>
      </c>
      <c r="Z218" s="241"/>
      <c r="AA218" s="247">
        <v>804.72</v>
      </c>
      <c r="AB218" s="241"/>
      <c r="AC218" s="247">
        <v>1184.44</v>
      </c>
      <c r="AD218" s="241"/>
      <c r="AE218" s="247">
        <f t="shared" si="24"/>
        <v>23793.940000000002</v>
      </c>
      <c r="AF218" s="248">
        <f t="shared" si="25"/>
        <v>1.0654574254721936E-3</v>
      </c>
      <c r="AG218" s="249"/>
    </row>
    <row r="219" spans="1:33" outlineLevel="1">
      <c r="A219" s="244">
        <v>70070</v>
      </c>
      <c r="B219" s="244" t="s">
        <v>754</v>
      </c>
      <c r="C219" s="245"/>
      <c r="D219" s="246"/>
      <c r="E219" s="240"/>
      <c r="F219" s="241"/>
      <c r="G219" s="247">
        <v>-111.84</v>
      </c>
      <c r="H219" s="241"/>
      <c r="I219" s="247">
        <v>1101.5999999999999</v>
      </c>
      <c r="J219" s="241"/>
      <c r="K219" s="247">
        <v>295.49</v>
      </c>
      <c r="L219" s="241"/>
      <c r="M219" s="247">
        <v>1365.62</v>
      </c>
      <c r="N219" s="241"/>
      <c r="O219" s="247">
        <v>543.51</v>
      </c>
      <c r="P219" s="241"/>
      <c r="Q219" s="247">
        <v>337.03</v>
      </c>
      <c r="R219" s="241"/>
      <c r="S219" s="247">
        <v>1485.46</v>
      </c>
      <c r="T219" s="241"/>
      <c r="U219" s="247">
        <v>323.3</v>
      </c>
      <c r="V219" s="241"/>
      <c r="W219" s="247">
        <v>58.5</v>
      </c>
      <c r="X219" s="241"/>
      <c r="Y219" s="247">
        <v>35.14</v>
      </c>
      <c r="Z219" s="241"/>
      <c r="AA219" s="247">
        <v>98.14</v>
      </c>
      <c r="AB219" s="241"/>
      <c r="AC219" s="247">
        <v>346.54</v>
      </c>
      <c r="AD219" s="241"/>
      <c r="AE219" s="247">
        <f t="shared" si="24"/>
        <v>5878.49</v>
      </c>
      <c r="AF219" s="248">
        <f t="shared" si="25"/>
        <v>2.632300838391639E-4</v>
      </c>
      <c r="AG219" s="249"/>
    </row>
    <row r="220" spans="1:33" outlineLevel="1">
      <c r="A220" s="244">
        <v>70086</v>
      </c>
      <c r="B220" s="244" t="s">
        <v>755</v>
      </c>
      <c r="C220" s="245"/>
      <c r="D220" s="246"/>
      <c r="E220" s="240"/>
      <c r="F220" s="241"/>
      <c r="G220" s="247">
        <v>0</v>
      </c>
      <c r="H220" s="241"/>
      <c r="I220" s="247">
        <v>144.58000000000001</v>
      </c>
      <c r="J220" s="241"/>
      <c r="K220" s="247">
        <v>272.64999999999998</v>
      </c>
      <c r="L220" s="241"/>
      <c r="M220" s="247">
        <v>1710.74</v>
      </c>
      <c r="N220" s="241"/>
      <c r="O220" s="247">
        <v>-1096</v>
      </c>
      <c r="P220" s="241"/>
      <c r="Q220" s="247">
        <v>852.79</v>
      </c>
      <c r="R220" s="241"/>
      <c r="S220" s="247">
        <v>693.6</v>
      </c>
      <c r="T220" s="241"/>
      <c r="U220" s="247">
        <v>455.38</v>
      </c>
      <c r="V220" s="241"/>
      <c r="W220" s="247">
        <v>371.01</v>
      </c>
      <c r="X220" s="241"/>
      <c r="Y220" s="247">
        <v>262.81</v>
      </c>
      <c r="Z220" s="241"/>
      <c r="AA220" s="247">
        <v>386</v>
      </c>
      <c r="AB220" s="241"/>
      <c r="AC220" s="247">
        <v>282.61</v>
      </c>
      <c r="AD220" s="241"/>
      <c r="AE220" s="247">
        <f t="shared" si="24"/>
        <v>4336.1699999999992</v>
      </c>
      <c r="AF220" s="248">
        <f t="shared" si="25"/>
        <v>1.9416727639935886E-4</v>
      </c>
      <c r="AG220" s="249"/>
    </row>
    <row r="221" spans="1:33" outlineLevel="1">
      <c r="A221" s="244">
        <v>70095</v>
      </c>
      <c r="B221" s="244" t="s">
        <v>781</v>
      </c>
      <c r="C221" s="245"/>
      <c r="D221" s="246"/>
      <c r="E221" s="240"/>
      <c r="F221" s="241"/>
      <c r="G221" s="247">
        <v>-624.72</v>
      </c>
      <c r="H221" s="241"/>
      <c r="I221" s="247">
        <v>1371.34</v>
      </c>
      <c r="J221" s="241"/>
      <c r="K221" s="247">
        <v>1285.56</v>
      </c>
      <c r="L221" s="241"/>
      <c r="M221" s="247">
        <v>232.71</v>
      </c>
      <c r="N221" s="241"/>
      <c r="O221" s="247">
        <v>3448.33</v>
      </c>
      <c r="P221" s="241"/>
      <c r="Q221" s="247">
        <v>1662.36</v>
      </c>
      <c r="R221" s="241"/>
      <c r="S221" s="247">
        <v>2689.23</v>
      </c>
      <c r="T221" s="241"/>
      <c r="U221" s="247">
        <v>937.47</v>
      </c>
      <c r="V221" s="241"/>
      <c r="W221" s="247">
        <v>436.36</v>
      </c>
      <c r="X221" s="241"/>
      <c r="Y221" s="247">
        <v>907.65</v>
      </c>
      <c r="Z221" s="241"/>
      <c r="AA221" s="247">
        <v>1813.81</v>
      </c>
      <c r="AB221" s="241"/>
      <c r="AC221" s="247">
        <v>4118.72</v>
      </c>
      <c r="AD221" s="241"/>
      <c r="AE221" s="247">
        <f t="shared" si="24"/>
        <v>18278.82</v>
      </c>
      <c r="AF221" s="248">
        <f t="shared" si="25"/>
        <v>8.1849851255696375E-4</v>
      </c>
      <c r="AG221" s="249"/>
    </row>
    <row r="222" spans="1:33" outlineLevel="1">
      <c r="A222" s="244">
        <v>70105</v>
      </c>
      <c r="B222" s="244" t="s">
        <v>782</v>
      </c>
      <c r="C222" s="245"/>
      <c r="D222" s="246"/>
      <c r="E222" s="240"/>
      <c r="F222" s="241"/>
      <c r="G222" s="247">
        <v>0</v>
      </c>
      <c r="H222" s="241"/>
      <c r="I222" s="247">
        <v>0</v>
      </c>
      <c r="J222" s="241"/>
      <c r="K222" s="247">
        <v>0</v>
      </c>
      <c r="L222" s="241"/>
      <c r="M222" s="247">
        <v>0</v>
      </c>
      <c r="N222" s="241"/>
      <c r="O222" s="247">
        <v>0</v>
      </c>
      <c r="P222" s="241"/>
      <c r="Q222" s="247">
        <v>0</v>
      </c>
      <c r="R222" s="241"/>
      <c r="S222" s="247">
        <v>0</v>
      </c>
      <c r="T222" s="241"/>
      <c r="U222" s="247">
        <v>0</v>
      </c>
      <c r="V222" s="241"/>
      <c r="W222" s="247">
        <v>0</v>
      </c>
      <c r="X222" s="241"/>
      <c r="Y222" s="247">
        <v>0</v>
      </c>
      <c r="Z222" s="241"/>
      <c r="AA222" s="247">
        <v>670.96</v>
      </c>
      <c r="AB222" s="241"/>
      <c r="AC222" s="247">
        <v>670.96</v>
      </c>
      <c r="AD222" s="241"/>
      <c r="AE222" s="247">
        <f t="shared" si="24"/>
        <v>1341.92</v>
      </c>
      <c r="AF222" s="248">
        <f t="shared" si="25"/>
        <v>6.0089191970293537E-5</v>
      </c>
      <c r="AG222" s="249"/>
    </row>
    <row r="223" spans="1:33" outlineLevel="1">
      <c r="A223" s="244">
        <v>70110</v>
      </c>
      <c r="B223" s="244" t="s">
        <v>809</v>
      </c>
      <c r="C223" s="245"/>
      <c r="D223" s="246"/>
      <c r="E223" s="240"/>
      <c r="F223" s="241"/>
      <c r="G223" s="247">
        <v>483.34</v>
      </c>
      <c r="H223" s="241"/>
      <c r="I223" s="247">
        <v>-122.26</v>
      </c>
      <c r="J223" s="241"/>
      <c r="K223" s="247">
        <v>116.67</v>
      </c>
      <c r="L223" s="241"/>
      <c r="M223" s="247">
        <v>116.67</v>
      </c>
      <c r="N223" s="241"/>
      <c r="O223" s="247">
        <v>5148.34</v>
      </c>
      <c r="P223" s="241"/>
      <c r="Q223" s="247">
        <v>3450</v>
      </c>
      <c r="R223" s="241"/>
      <c r="S223" s="247">
        <v>116.67</v>
      </c>
      <c r="T223" s="241"/>
      <c r="U223" s="247">
        <v>133.34</v>
      </c>
      <c r="V223" s="241"/>
      <c r="W223" s="247">
        <v>0</v>
      </c>
      <c r="X223" s="241"/>
      <c r="Y223" s="247">
        <v>116.67</v>
      </c>
      <c r="Z223" s="241"/>
      <c r="AA223" s="247">
        <v>116.67</v>
      </c>
      <c r="AB223" s="241"/>
      <c r="AC223" s="247">
        <v>116.67</v>
      </c>
      <c r="AD223" s="241"/>
      <c r="AE223" s="247">
        <f t="shared" si="24"/>
        <v>9792.7800000000007</v>
      </c>
      <c r="AF223" s="248">
        <f t="shared" si="25"/>
        <v>4.3850619809142956E-4</v>
      </c>
      <c r="AG223" s="249"/>
    </row>
    <row r="224" spans="1:33" outlineLevel="1">
      <c r="A224" s="244">
        <v>70112</v>
      </c>
      <c r="B224" s="244" t="s">
        <v>810</v>
      </c>
      <c r="C224" s="245"/>
      <c r="D224" s="246"/>
      <c r="E224" s="240"/>
      <c r="F224" s="241"/>
      <c r="G224" s="247">
        <v>0</v>
      </c>
      <c r="H224" s="241"/>
      <c r="I224" s="247">
        <v>0</v>
      </c>
      <c r="J224" s="241"/>
      <c r="K224" s="247">
        <v>0</v>
      </c>
      <c r="L224" s="241"/>
      <c r="M224" s="247">
        <v>0</v>
      </c>
      <c r="N224" s="241"/>
      <c r="O224" s="247">
        <v>0</v>
      </c>
      <c r="P224" s="241"/>
      <c r="Q224" s="247">
        <v>0</v>
      </c>
      <c r="R224" s="241"/>
      <c r="S224" s="247">
        <v>0</v>
      </c>
      <c r="T224" s="241"/>
      <c r="U224" s="247">
        <v>0</v>
      </c>
      <c r="V224" s="241"/>
      <c r="W224" s="247">
        <v>0</v>
      </c>
      <c r="X224" s="241"/>
      <c r="Y224" s="247">
        <v>940</v>
      </c>
      <c r="Z224" s="241"/>
      <c r="AA224" s="247">
        <v>277.77999999999997</v>
      </c>
      <c r="AB224" s="241"/>
      <c r="AC224" s="247">
        <v>0</v>
      </c>
      <c r="AD224" s="241"/>
      <c r="AE224" s="247">
        <f t="shared" si="24"/>
        <v>1217.78</v>
      </c>
      <c r="AF224" s="248">
        <f t="shared" si="25"/>
        <v>5.453038645938957E-5</v>
      </c>
      <c r="AG224" s="249"/>
    </row>
    <row r="225" spans="1:33" outlineLevel="1">
      <c r="A225" s="244">
        <v>70116</v>
      </c>
      <c r="B225" s="244" t="s">
        <v>757</v>
      </c>
      <c r="C225" s="245"/>
      <c r="D225" s="246"/>
      <c r="E225" s="240"/>
      <c r="F225" s="241"/>
      <c r="G225" s="247">
        <v>873.23</v>
      </c>
      <c r="H225" s="241"/>
      <c r="I225" s="247">
        <v>729.32</v>
      </c>
      <c r="J225" s="241"/>
      <c r="K225" s="247">
        <v>921.29</v>
      </c>
      <c r="L225" s="241"/>
      <c r="M225" s="247">
        <v>727.05</v>
      </c>
      <c r="N225" s="241"/>
      <c r="O225" s="247">
        <v>679.95</v>
      </c>
      <c r="P225" s="241"/>
      <c r="Q225" s="247">
        <v>749.5</v>
      </c>
      <c r="R225" s="241"/>
      <c r="S225" s="247">
        <v>633.19000000000005</v>
      </c>
      <c r="T225" s="241"/>
      <c r="U225" s="247">
        <v>622.1</v>
      </c>
      <c r="V225" s="241"/>
      <c r="W225" s="247">
        <v>644.94000000000005</v>
      </c>
      <c r="X225" s="241"/>
      <c r="Y225" s="247">
        <v>652.11</v>
      </c>
      <c r="Z225" s="241"/>
      <c r="AA225" s="247">
        <v>681.47</v>
      </c>
      <c r="AB225" s="241"/>
      <c r="AC225" s="247">
        <v>731.27</v>
      </c>
      <c r="AD225" s="241"/>
      <c r="AE225" s="247">
        <f t="shared" si="24"/>
        <v>8645.42</v>
      </c>
      <c r="AF225" s="248">
        <f t="shared" si="25"/>
        <v>3.871291150320549E-4</v>
      </c>
      <c r="AG225" s="249"/>
    </row>
    <row r="226" spans="1:33" outlineLevel="1">
      <c r="A226" s="244">
        <v>70148</v>
      </c>
      <c r="B226" s="244" t="s">
        <v>811</v>
      </c>
      <c r="C226" s="245"/>
      <c r="D226" s="246"/>
      <c r="E226" s="240"/>
      <c r="F226" s="241"/>
      <c r="G226" s="247">
        <v>10019.09</v>
      </c>
      <c r="H226" s="241"/>
      <c r="I226" s="247">
        <v>6040.82</v>
      </c>
      <c r="J226" s="241"/>
      <c r="K226" s="247">
        <v>4869.09</v>
      </c>
      <c r="L226" s="241"/>
      <c r="M226" s="247">
        <v>6072.67</v>
      </c>
      <c r="N226" s="241"/>
      <c r="O226" s="247">
        <v>5338.11</v>
      </c>
      <c r="P226" s="241"/>
      <c r="Q226" s="247">
        <v>13382.44</v>
      </c>
      <c r="R226" s="241"/>
      <c r="S226" s="247">
        <v>17307.28</v>
      </c>
      <c r="T226" s="241"/>
      <c r="U226" s="247">
        <v>7631.93</v>
      </c>
      <c r="V226" s="241"/>
      <c r="W226" s="247">
        <v>3354.77</v>
      </c>
      <c r="X226" s="241"/>
      <c r="Y226" s="247">
        <v>3642.32</v>
      </c>
      <c r="Z226" s="241"/>
      <c r="AA226" s="247">
        <v>3388.96</v>
      </c>
      <c r="AB226" s="241"/>
      <c r="AC226" s="247">
        <v>4913.0200000000004</v>
      </c>
      <c r="AD226" s="241"/>
      <c r="AE226" s="247">
        <f t="shared" si="24"/>
        <v>85960.5</v>
      </c>
      <c r="AF226" s="248">
        <f t="shared" si="25"/>
        <v>3.849183994845011E-3</v>
      </c>
      <c r="AG226" s="249"/>
    </row>
    <row r="227" spans="1:33" outlineLevel="1">
      <c r="A227" s="244">
        <v>70150</v>
      </c>
      <c r="B227" s="244" t="s">
        <v>770</v>
      </c>
      <c r="C227" s="245"/>
      <c r="D227" s="246"/>
      <c r="E227" s="240"/>
      <c r="F227" s="241"/>
      <c r="G227" s="247">
        <v>0</v>
      </c>
      <c r="H227" s="241"/>
      <c r="I227" s="247">
        <v>0</v>
      </c>
      <c r="J227" s="241"/>
      <c r="K227" s="247">
        <v>0</v>
      </c>
      <c r="L227" s="241"/>
      <c r="M227" s="247">
        <v>0</v>
      </c>
      <c r="N227" s="241"/>
      <c r="O227" s="247">
        <v>0</v>
      </c>
      <c r="P227" s="241"/>
      <c r="Q227" s="247">
        <v>0</v>
      </c>
      <c r="R227" s="241"/>
      <c r="S227" s="247">
        <v>2087.25</v>
      </c>
      <c r="T227" s="241"/>
      <c r="U227" s="247">
        <v>-2087.25</v>
      </c>
      <c r="V227" s="241"/>
      <c r="W227" s="247">
        <v>0</v>
      </c>
      <c r="X227" s="241"/>
      <c r="Y227" s="247">
        <v>1265.1500000000001</v>
      </c>
      <c r="Z227" s="241"/>
      <c r="AA227" s="247">
        <v>-1265.1500000000001</v>
      </c>
      <c r="AB227" s="241"/>
      <c r="AC227" s="247">
        <v>0</v>
      </c>
      <c r="AD227" s="241"/>
      <c r="AE227" s="247">
        <f t="shared" si="24"/>
        <v>0</v>
      </c>
      <c r="AF227" s="248">
        <f t="shared" si="25"/>
        <v>0</v>
      </c>
      <c r="AG227" s="249"/>
    </row>
    <row r="228" spans="1:33" outlineLevel="1">
      <c r="A228" s="244">
        <v>70165</v>
      </c>
      <c r="B228" s="244" t="s">
        <v>771</v>
      </c>
      <c r="C228" s="245"/>
      <c r="D228" s="246"/>
      <c r="E228" s="240"/>
      <c r="F228" s="241"/>
      <c r="G228" s="247">
        <v>1293.8399999999999</v>
      </c>
      <c r="H228" s="241"/>
      <c r="I228" s="247">
        <v>1036.19</v>
      </c>
      <c r="J228" s="241"/>
      <c r="K228" s="247">
        <v>1380.17</v>
      </c>
      <c r="L228" s="241"/>
      <c r="M228" s="247">
        <v>1272.08</v>
      </c>
      <c r="N228" s="241"/>
      <c r="O228" s="247">
        <v>1374.24</v>
      </c>
      <c r="P228" s="241"/>
      <c r="Q228" s="247">
        <v>1476.9</v>
      </c>
      <c r="R228" s="241"/>
      <c r="S228" s="247">
        <v>1444.65</v>
      </c>
      <c r="T228" s="241"/>
      <c r="U228" s="247">
        <v>1253.3800000000001</v>
      </c>
      <c r="V228" s="241"/>
      <c r="W228" s="247">
        <v>3071.31</v>
      </c>
      <c r="X228" s="241"/>
      <c r="Y228" s="247">
        <v>2102.4699999999998</v>
      </c>
      <c r="Z228" s="241"/>
      <c r="AA228" s="247">
        <v>1278.19</v>
      </c>
      <c r="AB228" s="241"/>
      <c r="AC228" s="247">
        <v>1659.18</v>
      </c>
      <c r="AD228" s="241"/>
      <c r="AE228" s="247">
        <f t="shared" si="24"/>
        <v>18642.599999999999</v>
      </c>
      <c r="AF228" s="248">
        <f t="shared" si="25"/>
        <v>8.3478804267422357E-4</v>
      </c>
      <c r="AG228" s="249"/>
    </row>
    <row r="229" spans="1:33" outlineLevel="1">
      <c r="A229" s="244">
        <v>70167</v>
      </c>
      <c r="B229" s="244" t="s">
        <v>812</v>
      </c>
      <c r="C229" s="245"/>
      <c r="D229" s="246"/>
      <c r="E229" s="240"/>
      <c r="F229" s="241"/>
      <c r="G229" s="247">
        <v>3153.89</v>
      </c>
      <c r="H229" s="241"/>
      <c r="I229" s="247">
        <v>2223.67</v>
      </c>
      <c r="J229" s="241"/>
      <c r="K229" s="247">
        <v>3328.97</v>
      </c>
      <c r="L229" s="241"/>
      <c r="M229" s="247">
        <v>3368.01</v>
      </c>
      <c r="N229" s="241"/>
      <c r="O229" s="247">
        <v>1181.5999999999999</v>
      </c>
      <c r="P229" s="241"/>
      <c r="Q229" s="247">
        <v>2879.54</v>
      </c>
      <c r="R229" s="241"/>
      <c r="S229" s="247">
        <v>2774.6</v>
      </c>
      <c r="T229" s="241"/>
      <c r="U229" s="247">
        <v>2891.59</v>
      </c>
      <c r="V229" s="241"/>
      <c r="W229" s="247">
        <v>2847.78</v>
      </c>
      <c r="X229" s="241"/>
      <c r="Y229" s="247">
        <v>2992.79</v>
      </c>
      <c r="Z229" s="241"/>
      <c r="AA229" s="247">
        <v>2765.32</v>
      </c>
      <c r="AB229" s="241"/>
      <c r="AC229" s="247">
        <v>2447.58</v>
      </c>
      <c r="AD229" s="241"/>
      <c r="AE229" s="247">
        <f t="shared" si="24"/>
        <v>32855.339999999997</v>
      </c>
      <c r="AF229" s="248">
        <f t="shared" si="25"/>
        <v>1.4712135093815307E-3</v>
      </c>
      <c r="AG229" s="249"/>
    </row>
    <row r="230" spans="1:33" outlineLevel="1">
      <c r="A230" s="244">
        <v>70175</v>
      </c>
      <c r="B230" s="244" t="s">
        <v>773</v>
      </c>
      <c r="C230" s="245"/>
      <c r="D230" s="246"/>
      <c r="E230" s="240"/>
      <c r="F230" s="241"/>
      <c r="G230" s="247">
        <v>1310.76</v>
      </c>
      <c r="H230" s="241"/>
      <c r="I230" s="247">
        <v>1597.87</v>
      </c>
      <c r="J230" s="241"/>
      <c r="K230" s="247">
        <v>-1335.49</v>
      </c>
      <c r="L230" s="241"/>
      <c r="M230" s="247">
        <v>1885.7</v>
      </c>
      <c r="N230" s="241"/>
      <c r="O230" s="247">
        <v>1682.53</v>
      </c>
      <c r="P230" s="241"/>
      <c r="Q230" s="247">
        <v>2031.32</v>
      </c>
      <c r="R230" s="241"/>
      <c r="S230" s="247">
        <v>1554.52</v>
      </c>
      <c r="T230" s="241"/>
      <c r="U230" s="247">
        <v>1486.8</v>
      </c>
      <c r="V230" s="241"/>
      <c r="W230" s="247">
        <v>1514.1</v>
      </c>
      <c r="X230" s="241"/>
      <c r="Y230" s="247">
        <v>1554.52</v>
      </c>
      <c r="Z230" s="241"/>
      <c r="AA230" s="247">
        <v>1504.04</v>
      </c>
      <c r="AB230" s="241"/>
      <c r="AC230" s="247">
        <v>1674.05</v>
      </c>
      <c r="AD230" s="241"/>
      <c r="AE230" s="247">
        <f t="shared" si="24"/>
        <v>16460.72</v>
      </c>
      <c r="AF230" s="248">
        <f t="shared" si="25"/>
        <v>7.3708668478690998E-4</v>
      </c>
      <c r="AG230" s="249"/>
    </row>
    <row r="231" spans="1:33" outlineLevel="1">
      <c r="A231" s="244">
        <v>70185</v>
      </c>
      <c r="B231" s="244" t="s">
        <v>813</v>
      </c>
      <c r="C231" s="245"/>
      <c r="D231" s="246"/>
      <c r="E231" s="240"/>
      <c r="F231" s="241"/>
      <c r="G231" s="247">
        <v>513.17999999999995</v>
      </c>
      <c r="H231" s="241"/>
      <c r="I231" s="247">
        <v>574.16</v>
      </c>
      <c r="J231" s="241"/>
      <c r="K231" s="247">
        <v>2132.4699999999998</v>
      </c>
      <c r="L231" s="241"/>
      <c r="M231" s="247">
        <v>-36</v>
      </c>
      <c r="N231" s="241"/>
      <c r="O231" s="247">
        <v>142.25</v>
      </c>
      <c r="P231" s="241"/>
      <c r="Q231" s="247">
        <v>2555.9699999999998</v>
      </c>
      <c r="R231" s="241"/>
      <c r="S231" s="247">
        <v>192.63</v>
      </c>
      <c r="T231" s="241"/>
      <c r="U231" s="247">
        <v>124.25</v>
      </c>
      <c r="V231" s="241"/>
      <c r="W231" s="247">
        <v>1013.88</v>
      </c>
      <c r="X231" s="241"/>
      <c r="Y231" s="247">
        <v>2052.35</v>
      </c>
      <c r="Z231" s="241"/>
      <c r="AA231" s="247">
        <v>80.55</v>
      </c>
      <c r="AB231" s="241"/>
      <c r="AC231" s="247">
        <v>889.09</v>
      </c>
      <c r="AD231" s="241"/>
      <c r="AE231" s="247">
        <f t="shared" si="24"/>
        <v>10234.779999999999</v>
      </c>
      <c r="AF231" s="248">
        <f t="shared" si="25"/>
        <v>4.5829830406709848E-4</v>
      </c>
      <c r="AG231" s="249"/>
    </row>
    <row r="232" spans="1:33" outlineLevel="1">
      <c r="A232" s="244">
        <v>70195</v>
      </c>
      <c r="B232" s="244" t="s">
        <v>805</v>
      </c>
      <c r="C232" s="245"/>
      <c r="D232" s="246"/>
      <c r="E232" s="240"/>
      <c r="F232" s="241"/>
      <c r="G232" s="247">
        <v>5543.67</v>
      </c>
      <c r="H232" s="241"/>
      <c r="I232" s="247">
        <v>1519.12</v>
      </c>
      <c r="J232" s="241"/>
      <c r="K232" s="247">
        <v>1633.92</v>
      </c>
      <c r="L232" s="241"/>
      <c r="M232" s="247">
        <v>2207.92</v>
      </c>
      <c r="N232" s="241"/>
      <c r="O232" s="247">
        <v>3373.45</v>
      </c>
      <c r="P232" s="241"/>
      <c r="Q232" s="247">
        <v>794</v>
      </c>
      <c r="R232" s="241"/>
      <c r="S232" s="247">
        <v>1848.44</v>
      </c>
      <c r="T232" s="241"/>
      <c r="U232" s="247">
        <v>1230.05</v>
      </c>
      <c r="V232" s="241"/>
      <c r="W232" s="247">
        <v>0</v>
      </c>
      <c r="X232" s="241"/>
      <c r="Y232" s="247">
        <v>4578.3500000000004</v>
      </c>
      <c r="Z232" s="241"/>
      <c r="AA232" s="247">
        <v>216.07</v>
      </c>
      <c r="AB232" s="241"/>
      <c r="AC232" s="247">
        <v>1558.37</v>
      </c>
      <c r="AD232" s="241"/>
      <c r="AE232" s="247">
        <f t="shared" si="24"/>
        <v>24503.360000000001</v>
      </c>
      <c r="AF232" s="248">
        <f t="shared" si="25"/>
        <v>1.0972242033483455E-3</v>
      </c>
      <c r="AG232" s="249"/>
    </row>
    <row r="233" spans="1:33" outlineLevel="1">
      <c r="A233" s="244">
        <v>70200</v>
      </c>
      <c r="B233" s="244" t="s">
        <v>775</v>
      </c>
      <c r="C233" s="245"/>
      <c r="D233" s="246"/>
      <c r="E233" s="240"/>
      <c r="F233" s="241"/>
      <c r="G233" s="247">
        <v>1426.91</v>
      </c>
      <c r="H233" s="241"/>
      <c r="I233" s="247">
        <v>-68.89</v>
      </c>
      <c r="J233" s="241"/>
      <c r="K233" s="247">
        <v>647.79</v>
      </c>
      <c r="L233" s="241"/>
      <c r="M233" s="247">
        <v>-232.46</v>
      </c>
      <c r="N233" s="241"/>
      <c r="O233" s="247">
        <v>1101.8</v>
      </c>
      <c r="P233" s="241"/>
      <c r="Q233" s="247">
        <v>-1101.8</v>
      </c>
      <c r="R233" s="241"/>
      <c r="S233" s="247">
        <v>0</v>
      </c>
      <c r="T233" s="241"/>
      <c r="U233" s="247">
        <v>286.13</v>
      </c>
      <c r="V233" s="241"/>
      <c r="W233" s="247">
        <v>483.72</v>
      </c>
      <c r="X233" s="241"/>
      <c r="Y233" s="247">
        <v>321.52</v>
      </c>
      <c r="Z233" s="241"/>
      <c r="AA233" s="247">
        <v>0</v>
      </c>
      <c r="AB233" s="241"/>
      <c r="AC233" s="247">
        <v>151.88999999999999</v>
      </c>
      <c r="AD233" s="241"/>
      <c r="AE233" s="247">
        <f t="shared" si="24"/>
        <v>3016.6099999999997</v>
      </c>
      <c r="AF233" s="248">
        <f t="shared" si="25"/>
        <v>1.3507933214312862E-4</v>
      </c>
      <c r="AG233" s="249"/>
    </row>
    <row r="234" spans="1:33" outlineLevel="1">
      <c r="A234" s="244">
        <v>70201</v>
      </c>
      <c r="B234" s="244" t="s">
        <v>814</v>
      </c>
      <c r="C234" s="245"/>
      <c r="D234" s="246"/>
      <c r="E234" s="240"/>
      <c r="F234" s="241"/>
      <c r="G234" s="247">
        <v>1057.9000000000001</v>
      </c>
      <c r="H234" s="241"/>
      <c r="I234" s="247">
        <v>-492.71</v>
      </c>
      <c r="J234" s="241"/>
      <c r="K234" s="247">
        <v>318</v>
      </c>
      <c r="L234" s="241"/>
      <c r="M234" s="247">
        <v>-215.65</v>
      </c>
      <c r="N234" s="241"/>
      <c r="O234" s="247">
        <v>229.73</v>
      </c>
      <c r="P234" s="241"/>
      <c r="Q234" s="247">
        <v>223.61</v>
      </c>
      <c r="R234" s="241"/>
      <c r="S234" s="247">
        <v>502.02</v>
      </c>
      <c r="T234" s="241"/>
      <c r="U234" s="247">
        <v>16.43</v>
      </c>
      <c r="V234" s="241"/>
      <c r="W234" s="247">
        <v>0</v>
      </c>
      <c r="X234" s="241"/>
      <c r="Y234" s="247">
        <v>577.47</v>
      </c>
      <c r="Z234" s="241"/>
      <c r="AA234" s="247">
        <v>46.05</v>
      </c>
      <c r="AB234" s="241"/>
      <c r="AC234" s="247">
        <v>259.23</v>
      </c>
      <c r="AD234" s="241"/>
      <c r="AE234" s="247">
        <f t="shared" si="24"/>
        <v>2522.08</v>
      </c>
      <c r="AF234" s="248">
        <f t="shared" si="25"/>
        <v>1.1293501049573589E-4</v>
      </c>
      <c r="AG234" s="249"/>
    </row>
    <row r="235" spans="1:33" outlineLevel="1">
      <c r="A235" s="244">
        <v>70202</v>
      </c>
      <c r="B235" s="244" t="s">
        <v>815</v>
      </c>
      <c r="C235" s="245"/>
      <c r="D235" s="246"/>
      <c r="E235" s="240"/>
      <c r="F235" s="241"/>
      <c r="G235" s="247">
        <v>0</v>
      </c>
      <c r="H235" s="241"/>
      <c r="I235" s="247">
        <v>0</v>
      </c>
      <c r="J235" s="241"/>
      <c r="K235" s="247">
        <v>29.54</v>
      </c>
      <c r="L235" s="241"/>
      <c r="M235" s="247">
        <v>0</v>
      </c>
      <c r="N235" s="241"/>
      <c r="O235" s="247">
        <v>2101.41</v>
      </c>
      <c r="P235" s="241"/>
      <c r="Q235" s="247">
        <v>932.97</v>
      </c>
      <c r="R235" s="241"/>
      <c r="S235" s="247">
        <v>546.5</v>
      </c>
      <c r="T235" s="241"/>
      <c r="U235" s="247">
        <v>1799.53</v>
      </c>
      <c r="V235" s="241"/>
      <c r="W235" s="247">
        <v>1147.5999999999999</v>
      </c>
      <c r="X235" s="241"/>
      <c r="Y235" s="247">
        <v>100.91</v>
      </c>
      <c r="Z235" s="241"/>
      <c r="AA235" s="247">
        <v>2093.31</v>
      </c>
      <c r="AB235" s="241"/>
      <c r="AC235" s="247">
        <v>912.44</v>
      </c>
      <c r="AD235" s="241"/>
      <c r="AE235" s="247">
        <f t="shared" si="24"/>
        <v>9664.2100000000009</v>
      </c>
      <c r="AF235" s="248">
        <f t="shared" si="25"/>
        <v>4.3274902373556583E-4</v>
      </c>
      <c r="AG235" s="249"/>
    </row>
    <row r="236" spans="1:33" outlineLevel="1">
      <c r="A236" s="244">
        <v>70203</v>
      </c>
      <c r="B236" s="244" t="s">
        <v>816</v>
      </c>
      <c r="C236" s="245"/>
      <c r="D236" s="246"/>
      <c r="E236" s="240"/>
      <c r="F236" s="241"/>
      <c r="G236" s="247">
        <v>386.88</v>
      </c>
      <c r="H236" s="241"/>
      <c r="I236" s="247">
        <v>37.880000000000003</v>
      </c>
      <c r="J236" s="241"/>
      <c r="K236" s="247">
        <v>203.83</v>
      </c>
      <c r="L236" s="241"/>
      <c r="M236" s="247">
        <v>160.59</v>
      </c>
      <c r="N236" s="241"/>
      <c r="O236" s="247">
        <v>422.2</v>
      </c>
      <c r="P236" s="241"/>
      <c r="Q236" s="247">
        <v>113.95</v>
      </c>
      <c r="R236" s="241"/>
      <c r="S236" s="247">
        <v>0</v>
      </c>
      <c r="T236" s="241"/>
      <c r="U236" s="247">
        <v>0</v>
      </c>
      <c r="V236" s="241"/>
      <c r="W236" s="247">
        <v>0</v>
      </c>
      <c r="X236" s="241"/>
      <c r="Y236" s="247">
        <v>435.33</v>
      </c>
      <c r="Z236" s="241"/>
      <c r="AA236" s="247">
        <v>736.07</v>
      </c>
      <c r="AB236" s="241"/>
      <c r="AC236" s="247">
        <v>997.63</v>
      </c>
      <c r="AD236" s="241"/>
      <c r="AE236" s="247">
        <f t="shared" si="24"/>
        <v>3494.36</v>
      </c>
      <c r="AF236" s="248">
        <f t="shared" si="25"/>
        <v>1.5647227021977085E-4</v>
      </c>
      <c r="AG236" s="249"/>
    </row>
    <row r="237" spans="1:33" outlineLevel="1">
      <c r="A237" s="244">
        <v>70205</v>
      </c>
      <c r="B237" s="244" t="s">
        <v>806</v>
      </c>
      <c r="C237" s="245"/>
      <c r="D237" s="246"/>
      <c r="E237" s="240"/>
      <c r="F237" s="241"/>
      <c r="G237" s="247">
        <v>790.47</v>
      </c>
      <c r="H237" s="241"/>
      <c r="I237" s="247">
        <v>85.38</v>
      </c>
      <c r="J237" s="241"/>
      <c r="K237" s="247">
        <v>677.28</v>
      </c>
      <c r="L237" s="241"/>
      <c r="M237" s="247">
        <v>94.01</v>
      </c>
      <c r="N237" s="241"/>
      <c r="O237" s="247">
        <v>471.77</v>
      </c>
      <c r="P237" s="241"/>
      <c r="Q237" s="247">
        <v>337.06</v>
      </c>
      <c r="R237" s="241"/>
      <c r="S237" s="247">
        <v>490.13</v>
      </c>
      <c r="T237" s="241"/>
      <c r="U237" s="247">
        <v>214.43</v>
      </c>
      <c r="V237" s="241"/>
      <c r="W237" s="247">
        <v>42.2</v>
      </c>
      <c r="X237" s="241"/>
      <c r="Y237" s="247">
        <v>393.07</v>
      </c>
      <c r="Z237" s="241"/>
      <c r="AA237" s="247">
        <v>206.67</v>
      </c>
      <c r="AB237" s="241"/>
      <c r="AC237" s="247">
        <v>478.63</v>
      </c>
      <c r="AD237" s="241"/>
      <c r="AE237" s="247">
        <f t="shared" si="24"/>
        <v>4281.1000000000004</v>
      </c>
      <c r="AF237" s="248">
        <f t="shared" si="25"/>
        <v>1.9170132328605555E-4</v>
      </c>
      <c r="AG237" s="249"/>
    </row>
    <row r="238" spans="1:33" outlineLevel="1">
      <c r="A238" s="244">
        <v>70206</v>
      </c>
      <c r="B238" s="244" t="s">
        <v>817</v>
      </c>
      <c r="C238" s="245"/>
      <c r="D238" s="246"/>
      <c r="E238" s="240"/>
      <c r="F238" s="241"/>
      <c r="G238" s="247">
        <v>38.9</v>
      </c>
      <c r="H238" s="241"/>
      <c r="I238" s="247">
        <v>-21.7</v>
      </c>
      <c r="J238" s="241"/>
      <c r="K238" s="247">
        <v>0</v>
      </c>
      <c r="L238" s="241"/>
      <c r="M238" s="247">
        <v>171.6</v>
      </c>
      <c r="N238" s="241"/>
      <c r="O238" s="247">
        <v>69.16</v>
      </c>
      <c r="P238" s="241"/>
      <c r="Q238" s="247">
        <v>32.94</v>
      </c>
      <c r="R238" s="241"/>
      <c r="S238" s="247">
        <v>152.16999999999999</v>
      </c>
      <c r="T238" s="241"/>
      <c r="U238" s="247">
        <v>-82.75</v>
      </c>
      <c r="V238" s="241"/>
      <c r="W238" s="247">
        <v>0</v>
      </c>
      <c r="X238" s="241"/>
      <c r="Y238" s="247">
        <v>66.95</v>
      </c>
      <c r="Z238" s="241"/>
      <c r="AA238" s="247">
        <v>-5.18</v>
      </c>
      <c r="AB238" s="241"/>
      <c r="AC238" s="247">
        <v>507.6</v>
      </c>
      <c r="AD238" s="241"/>
      <c r="AE238" s="247">
        <f t="shared" si="24"/>
        <v>929.68999999999994</v>
      </c>
      <c r="AF238" s="248">
        <f t="shared" si="25"/>
        <v>4.1630142544162237E-5</v>
      </c>
      <c r="AG238" s="249"/>
    </row>
    <row r="239" spans="1:33" outlineLevel="1">
      <c r="A239" s="244">
        <v>70210</v>
      </c>
      <c r="B239" s="244" t="s">
        <v>818</v>
      </c>
      <c r="C239" s="245"/>
      <c r="D239" s="246"/>
      <c r="E239" s="240"/>
      <c r="F239" s="241"/>
      <c r="G239" s="247">
        <v>3203.59</v>
      </c>
      <c r="H239" s="241"/>
      <c r="I239" s="247">
        <v>22.99</v>
      </c>
      <c r="J239" s="241"/>
      <c r="K239" s="247">
        <v>2150.2399999999998</v>
      </c>
      <c r="L239" s="241"/>
      <c r="M239" s="247">
        <v>1122.68</v>
      </c>
      <c r="N239" s="241"/>
      <c r="O239" s="247">
        <v>1106.02</v>
      </c>
      <c r="P239" s="241"/>
      <c r="Q239" s="247">
        <v>1376.14</v>
      </c>
      <c r="R239" s="241"/>
      <c r="S239" s="247">
        <v>1897.63</v>
      </c>
      <c r="T239" s="241"/>
      <c r="U239" s="247">
        <v>1893.94</v>
      </c>
      <c r="V239" s="241"/>
      <c r="W239" s="247">
        <v>1155.21</v>
      </c>
      <c r="X239" s="241"/>
      <c r="Y239" s="247">
        <v>1594.05</v>
      </c>
      <c r="Z239" s="241"/>
      <c r="AA239" s="247">
        <v>1306.82</v>
      </c>
      <c r="AB239" s="241"/>
      <c r="AC239" s="247">
        <v>2013.53</v>
      </c>
      <c r="AD239" s="241"/>
      <c r="AE239" s="247">
        <f t="shared" si="24"/>
        <v>18842.84</v>
      </c>
      <c r="AF239" s="248">
        <f t="shared" si="25"/>
        <v>8.43754493580486E-4</v>
      </c>
      <c r="AG239" s="249"/>
    </row>
    <row r="240" spans="1:33" outlineLevel="1">
      <c r="A240" s="244">
        <v>70214</v>
      </c>
      <c r="B240" s="244" t="s">
        <v>819</v>
      </c>
      <c r="C240" s="245"/>
      <c r="D240" s="246"/>
      <c r="E240" s="240"/>
      <c r="F240" s="241"/>
      <c r="G240" s="247">
        <v>6408.41</v>
      </c>
      <c r="H240" s="241"/>
      <c r="I240" s="247">
        <v>6948.96</v>
      </c>
      <c r="J240" s="241"/>
      <c r="K240" s="247">
        <v>6558.52</v>
      </c>
      <c r="L240" s="241"/>
      <c r="M240" s="247">
        <v>6336.63</v>
      </c>
      <c r="N240" s="241"/>
      <c r="O240" s="247">
        <v>6700.56</v>
      </c>
      <c r="P240" s="241"/>
      <c r="Q240" s="247">
        <v>6920.86</v>
      </c>
      <c r="R240" s="241"/>
      <c r="S240" s="247">
        <v>7120.9</v>
      </c>
      <c r="T240" s="241"/>
      <c r="U240" s="247">
        <v>6466.73</v>
      </c>
      <c r="V240" s="241"/>
      <c r="W240" s="247">
        <v>7066.49</v>
      </c>
      <c r="X240" s="241"/>
      <c r="Y240" s="247">
        <v>7127.1</v>
      </c>
      <c r="Z240" s="241"/>
      <c r="AA240" s="247">
        <v>6939.04</v>
      </c>
      <c r="AB240" s="241"/>
      <c r="AC240" s="247">
        <v>6734.39</v>
      </c>
      <c r="AD240" s="241"/>
      <c r="AE240" s="247">
        <f t="shared" si="24"/>
        <v>81328.590000000011</v>
      </c>
      <c r="AF240" s="248">
        <f t="shared" si="25"/>
        <v>3.6417739188500772E-3</v>
      </c>
      <c r="AG240" s="249"/>
    </row>
    <row r="241" spans="1:33" outlineLevel="1">
      <c r="A241" s="244">
        <v>70215</v>
      </c>
      <c r="B241" s="244" t="s">
        <v>820</v>
      </c>
      <c r="C241" s="245"/>
      <c r="D241" s="246"/>
      <c r="E241" s="240"/>
      <c r="F241" s="241"/>
      <c r="G241" s="247">
        <v>7.6</v>
      </c>
      <c r="H241" s="241"/>
      <c r="I241" s="247">
        <v>-1.81</v>
      </c>
      <c r="J241" s="241"/>
      <c r="K241" s="247">
        <v>7.5</v>
      </c>
      <c r="L241" s="241"/>
      <c r="M241" s="247">
        <v>5.2</v>
      </c>
      <c r="N241" s="241"/>
      <c r="O241" s="247">
        <v>6.2</v>
      </c>
      <c r="P241" s="241"/>
      <c r="Q241" s="247">
        <v>7.57</v>
      </c>
      <c r="R241" s="241"/>
      <c r="S241" s="247">
        <v>7.4</v>
      </c>
      <c r="T241" s="241"/>
      <c r="U241" s="247">
        <v>5.4</v>
      </c>
      <c r="V241" s="241"/>
      <c r="W241" s="247">
        <v>6.2</v>
      </c>
      <c r="X241" s="241"/>
      <c r="Y241" s="247">
        <v>6.2</v>
      </c>
      <c r="Z241" s="241"/>
      <c r="AA241" s="247">
        <v>5.8</v>
      </c>
      <c r="AB241" s="241"/>
      <c r="AC241" s="247">
        <v>6.2</v>
      </c>
      <c r="AD241" s="241"/>
      <c r="AE241" s="247">
        <f t="shared" si="24"/>
        <v>69.459999999999994</v>
      </c>
      <c r="AF241" s="248">
        <f t="shared" si="25"/>
        <v>3.1103160205202906E-6</v>
      </c>
      <c r="AG241" s="249"/>
    </row>
    <row r="242" spans="1:33" outlineLevel="1">
      <c r="A242" s="244">
        <v>70216</v>
      </c>
      <c r="B242" s="244" t="s">
        <v>821</v>
      </c>
      <c r="C242" s="245"/>
      <c r="D242" s="246"/>
      <c r="E242" s="240"/>
      <c r="F242" s="241"/>
      <c r="G242" s="247">
        <v>283.16000000000003</v>
      </c>
      <c r="H242" s="241"/>
      <c r="I242" s="247">
        <v>493.09</v>
      </c>
      <c r="J242" s="241"/>
      <c r="K242" s="247">
        <v>542.44000000000005</v>
      </c>
      <c r="L242" s="241"/>
      <c r="M242" s="247">
        <v>405.45</v>
      </c>
      <c r="N242" s="241"/>
      <c r="O242" s="247">
        <v>508.42</v>
      </c>
      <c r="P242" s="241"/>
      <c r="Q242" s="247">
        <v>410.05</v>
      </c>
      <c r="R242" s="241"/>
      <c r="S242" s="247">
        <v>422.84</v>
      </c>
      <c r="T242" s="241"/>
      <c r="U242" s="247">
        <v>469.86</v>
      </c>
      <c r="V242" s="241"/>
      <c r="W242" s="247">
        <v>455.58</v>
      </c>
      <c r="X242" s="241"/>
      <c r="Y242" s="247">
        <v>469.86</v>
      </c>
      <c r="Z242" s="241"/>
      <c r="AA242" s="247">
        <v>493.31</v>
      </c>
      <c r="AB242" s="241"/>
      <c r="AC242" s="247">
        <v>471.16</v>
      </c>
      <c r="AD242" s="241"/>
      <c r="AE242" s="247">
        <f t="shared" si="24"/>
        <v>5425.2200000000012</v>
      </c>
      <c r="AF242" s="248">
        <f t="shared" si="25"/>
        <v>2.429333239396357E-4</v>
      </c>
      <c r="AG242" s="249"/>
    </row>
    <row r="243" spans="1:33" outlineLevel="1">
      <c r="A243" s="244">
        <v>70225</v>
      </c>
      <c r="B243" s="244" t="s">
        <v>807</v>
      </c>
      <c r="C243" s="245"/>
      <c r="D243" s="246"/>
      <c r="E243" s="240"/>
      <c r="F243" s="241"/>
      <c r="G243" s="247">
        <v>0</v>
      </c>
      <c r="H243" s="241"/>
      <c r="I243" s="247">
        <v>0</v>
      </c>
      <c r="J243" s="241"/>
      <c r="K243" s="247">
        <v>250</v>
      </c>
      <c r="L243" s="241"/>
      <c r="M243" s="247">
        <v>0</v>
      </c>
      <c r="N243" s="241"/>
      <c r="O243" s="247">
        <v>955.89</v>
      </c>
      <c r="P243" s="241"/>
      <c r="Q243" s="247">
        <v>330.25</v>
      </c>
      <c r="R243" s="241"/>
      <c r="S243" s="247">
        <v>0</v>
      </c>
      <c r="T243" s="241"/>
      <c r="U243" s="247">
        <v>0</v>
      </c>
      <c r="V243" s="241"/>
      <c r="W243" s="247">
        <v>0</v>
      </c>
      <c r="X243" s="241"/>
      <c r="Y243" s="247">
        <v>0</v>
      </c>
      <c r="Z243" s="241"/>
      <c r="AA243" s="247">
        <v>0</v>
      </c>
      <c r="AB243" s="241"/>
      <c r="AC243" s="247">
        <v>0</v>
      </c>
      <c r="AD243" s="241"/>
      <c r="AE243" s="247">
        <f t="shared" si="24"/>
        <v>1536.1399999999999</v>
      </c>
      <c r="AF243" s="248">
        <f t="shared" si="25"/>
        <v>6.8786076184308077E-5</v>
      </c>
      <c r="AG243" s="249"/>
    </row>
    <row r="244" spans="1:33" outlineLevel="1">
      <c r="A244" s="244">
        <v>70230</v>
      </c>
      <c r="B244" s="244" t="s">
        <v>822</v>
      </c>
      <c r="C244" s="245"/>
      <c r="D244" s="246"/>
      <c r="E244" s="240"/>
      <c r="F244" s="241"/>
      <c r="G244" s="247">
        <v>0</v>
      </c>
      <c r="H244" s="241"/>
      <c r="I244" s="247">
        <v>0</v>
      </c>
      <c r="J244" s="241"/>
      <c r="K244" s="247">
        <v>0</v>
      </c>
      <c r="L244" s="241"/>
      <c r="M244" s="247">
        <v>0</v>
      </c>
      <c r="N244" s="241"/>
      <c r="O244" s="247">
        <v>0</v>
      </c>
      <c r="P244" s="241"/>
      <c r="Q244" s="247">
        <v>0</v>
      </c>
      <c r="R244" s="241"/>
      <c r="S244" s="247">
        <v>0</v>
      </c>
      <c r="T244" s="241"/>
      <c r="U244" s="247">
        <v>0</v>
      </c>
      <c r="V244" s="241"/>
      <c r="W244" s="247">
        <v>11245.5</v>
      </c>
      <c r="X244" s="241"/>
      <c r="Y244" s="247">
        <v>0</v>
      </c>
      <c r="Z244" s="241"/>
      <c r="AA244" s="247">
        <v>0</v>
      </c>
      <c r="AB244" s="241"/>
      <c r="AC244" s="247">
        <v>0</v>
      </c>
      <c r="AD244" s="241"/>
      <c r="AE244" s="247">
        <f t="shared" si="24"/>
        <v>11245.5</v>
      </c>
      <c r="AF244" s="248">
        <f t="shared" si="25"/>
        <v>5.0355685011173237E-4</v>
      </c>
      <c r="AG244" s="249"/>
    </row>
    <row r="245" spans="1:33" outlineLevel="1">
      <c r="A245" s="244">
        <v>70231</v>
      </c>
      <c r="B245" s="244" t="s">
        <v>823</v>
      </c>
      <c r="C245" s="245"/>
      <c r="D245" s="246"/>
      <c r="E245" s="240"/>
      <c r="F245" s="241"/>
      <c r="G245" s="247">
        <v>0</v>
      </c>
      <c r="H245" s="241"/>
      <c r="I245" s="247">
        <v>0</v>
      </c>
      <c r="J245" s="241"/>
      <c r="K245" s="247">
        <v>25</v>
      </c>
      <c r="L245" s="241"/>
      <c r="M245" s="247">
        <v>25</v>
      </c>
      <c r="N245" s="241"/>
      <c r="O245" s="247">
        <v>50</v>
      </c>
      <c r="P245" s="241"/>
      <c r="Q245" s="247">
        <v>126.8</v>
      </c>
      <c r="R245" s="241"/>
      <c r="S245" s="247">
        <v>25</v>
      </c>
      <c r="T245" s="241"/>
      <c r="U245" s="247">
        <v>0</v>
      </c>
      <c r="V245" s="241"/>
      <c r="W245" s="247">
        <v>0</v>
      </c>
      <c r="X245" s="241"/>
      <c r="Y245" s="247">
        <v>0</v>
      </c>
      <c r="Z245" s="241"/>
      <c r="AA245" s="247">
        <v>0</v>
      </c>
      <c r="AB245" s="241"/>
      <c r="AC245" s="247">
        <v>0</v>
      </c>
      <c r="AD245" s="241"/>
      <c r="AE245" s="247">
        <f t="shared" si="24"/>
        <v>251.8</v>
      </c>
      <c r="AF245" s="248">
        <f t="shared" si="25"/>
        <v>1.1275231413288358E-5</v>
      </c>
      <c r="AG245" s="249"/>
    </row>
    <row r="246" spans="1:33" outlineLevel="1">
      <c r="A246" s="244">
        <v>70232</v>
      </c>
      <c r="B246" s="244" t="s">
        <v>824</v>
      </c>
      <c r="C246" s="245"/>
      <c r="D246" s="246"/>
      <c r="E246" s="240"/>
      <c r="F246" s="241"/>
      <c r="G246" s="247">
        <v>0</v>
      </c>
      <c r="H246" s="241"/>
      <c r="I246" s="247">
        <v>0</v>
      </c>
      <c r="J246" s="241"/>
      <c r="K246" s="247">
        <v>0</v>
      </c>
      <c r="L246" s="241"/>
      <c r="M246" s="247">
        <v>0</v>
      </c>
      <c r="N246" s="241"/>
      <c r="O246" s="247">
        <v>0</v>
      </c>
      <c r="P246" s="241"/>
      <c r="Q246" s="247">
        <v>0</v>
      </c>
      <c r="R246" s="241"/>
      <c r="S246" s="247">
        <v>0</v>
      </c>
      <c r="T246" s="241"/>
      <c r="U246" s="247">
        <v>380.2</v>
      </c>
      <c r="V246" s="241"/>
      <c r="W246" s="247">
        <v>0</v>
      </c>
      <c r="X246" s="241"/>
      <c r="Y246" s="247">
        <v>0</v>
      </c>
      <c r="Z246" s="241"/>
      <c r="AA246" s="247">
        <v>0</v>
      </c>
      <c r="AB246" s="241"/>
      <c r="AC246" s="247">
        <v>0</v>
      </c>
      <c r="AD246" s="241"/>
      <c r="AE246" s="247">
        <f t="shared" si="24"/>
        <v>380.2</v>
      </c>
      <c r="AF246" s="248">
        <f t="shared" si="25"/>
        <v>1.7024793420699893E-5</v>
      </c>
      <c r="AG246" s="249"/>
    </row>
    <row r="247" spans="1:33" outlineLevel="1">
      <c r="A247" s="244">
        <v>70235</v>
      </c>
      <c r="B247" s="244" t="s">
        <v>825</v>
      </c>
      <c r="C247" s="245"/>
      <c r="D247" s="246"/>
      <c r="E247" s="240"/>
      <c r="F247" s="241"/>
      <c r="G247" s="247">
        <v>9378.7199999999993</v>
      </c>
      <c r="H247" s="241"/>
      <c r="I247" s="247">
        <v>14739.5</v>
      </c>
      <c r="J247" s="241"/>
      <c r="K247" s="247">
        <v>-14486.84</v>
      </c>
      <c r="L247" s="241"/>
      <c r="M247" s="247">
        <v>1556.15</v>
      </c>
      <c r="N247" s="241"/>
      <c r="O247" s="247">
        <v>8182.5</v>
      </c>
      <c r="P247" s="241"/>
      <c r="Q247" s="247">
        <v>8567.65</v>
      </c>
      <c r="R247" s="241"/>
      <c r="S247" s="247">
        <v>5461.69</v>
      </c>
      <c r="T247" s="241"/>
      <c r="U247" s="247">
        <v>4997.91</v>
      </c>
      <c r="V247" s="241"/>
      <c r="W247" s="247">
        <v>-359.82</v>
      </c>
      <c r="X247" s="241"/>
      <c r="Y247" s="247">
        <v>-589.54</v>
      </c>
      <c r="Z247" s="241"/>
      <c r="AA247" s="247">
        <v>7076.29</v>
      </c>
      <c r="AB247" s="241"/>
      <c r="AC247" s="247">
        <v>659</v>
      </c>
      <c r="AD247" s="241"/>
      <c r="AE247" s="247">
        <f t="shared" si="24"/>
        <v>45183.210000000006</v>
      </c>
      <c r="AF247" s="248">
        <f t="shared" si="25"/>
        <v>2.0232372865178899E-3</v>
      </c>
      <c r="AG247" s="249"/>
    </row>
    <row r="248" spans="1:33" outlineLevel="1">
      <c r="A248" s="244">
        <v>70240</v>
      </c>
      <c r="B248" s="244" t="s">
        <v>826</v>
      </c>
      <c r="C248" s="245"/>
      <c r="D248" s="246"/>
      <c r="E248" s="240"/>
      <c r="F248" s="241"/>
      <c r="G248" s="247">
        <v>0</v>
      </c>
      <c r="H248" s="241"/>
      <c r="I248" s="247">
        <v>0</v>
      </c>
      <c r="J248" s="241"/>
      <c r="K248" s="247">
        <v>0</v>
      </c>
      <c r="L248" s="241"/>
      <c r="M248" s="247">
        <v>0</v>
      </c>
      <c r="N248" s="241"/>
      <c r="O248" s="247">
        <v>0</v>
      </c>
      <c r="P248" s="241"/>
      <c r="Q248" s="247">
        <v>0</v>
      </c>
      <c r="R248" s="241"/>
      <c r="S248" s="247">
        <v>0</v>
      </c>
      <c r="T248" s="241"/>
      <c r="U248" s="247">
        <v>0</v>
      </c>
      <c r="V248" s="241"/>
      <c r="W248" s="247">
        <v>0</v>
      </c>
      <c r="X248" s="241"/>
      <c r="Y248" s="247">
        <v>0</v>
      </c>
      <c r="Z248" s="241"/>
      <c r="AA248" s="247">
        <v>0</v>
      </c>
      <c r="AB248" s="241"/>
      <c r="AC248" s="247">
        <v>5.19</v>
      </c>
      <c r="AD248" s="241"/>
      <c r="AE248" s="247">
        <f t="shared" si="24"/>
        <v>5.19</v>
      </c>
      <c r="AF248" s="248">
        <f t="shared" si="25"/>
        <v>2.3240052039303644E-7</v>
      </c>
      <c r="AG248" s="249"/>
    </row>
    <row r="249" spans="1:33" outlineLevel="1">
      <c r="A249" s="244">
        <v>70245</v>
      </c>
      <c r="B249" s="244" t="s">
        <v>827</v>
      </c>
      <c r="C249" s="245"/>
      <c r="D249" s="246"/>
      <c r="E249" s="240"/>
      <c r="F249" s="241"/>
      <c r="G249" s="247">
        <v>329.05</v>
      </c>
      <c r="H249" s="241"/>
      <c r="I249" s="247">
        <v>226.89</v>
      </c>
      <c r="J249" s="241"/>
      <c r="K249" s="247">
        <v>344.15</v>
      </c>
      <c r="L249" s="241"/>
      <c r="M249" s="247">
        <v>344.05</v>
      </c>
      <c r="N249" s="241"/>
      <c r="O249" s="247">
        <v>351.62</v>
      </c>
      <c r="P249" s="241"/>
      <c r="Q249" s="247">
        <v>343.53</v>
      </c>
      <c r="R249" s="241"/>
      <c r="S249" s="247">
        <v>343.53</v>
      </c>
      <c r="T249" s="241"/>
      <c r="U249" s="247">
        <v>255.92</v>
      </c>
      <c r="V249" s="241"/>
      <c r="W249" s="247">
        <v>261.39999999999998</v>
      </c>
      <c r="X249" s="241"/>
      <c r="Y249" s="247">
        <v>260.45</v>
      </c>
      <c r="Z249" s="241"/>
      <c r="AA249" s="247">
        <v>260.45</v>
      </c>
      <c r="AB249" s="241"/>
      <c r="AC249" s="247">
        <v>280.27</v>
      </c>
      <c r="AD249" s="241"/>
      <c r="AE249" s="247">
        <f t="shared" si="24"/>
        <v>3601.3100000000004</v>
      </c>
      <c r="AF249" s="248">
        <f t="shared" si="25"/>
        <v>1.6126133296659847E-4</v>
      </c>
      <c r="AG249" s="249"/>
    </row>
    <row r="250" spans="1:33" outlineLevel="1">
      <c r="A250" s="244">
        <v>70255</v>
      </c>
      <c r="B250" s="244" t="s">
        <v>828</v>
      </c>
      <c r="C250" s="245"/>
      <c r="D250" s="246"/>
      <c r="E250" s="240"/>
      <c r="F250" s="241"/>
      <c r="G250" s="247">
        <v>4488.58</v>
      </c>
      <c r="H250" s="241"/>
      <c r="I250" s="247">
        <v>2766.57</v>
      </c>
      <c r="J250" s="241"/>
      <c r="K250" s="247">
        <v>5552.72</v>
      </c>
      <c r="L250" s="241"/>
      <c r="M250" s="247">
        <v>4504.33</v>
      </c>
      <c r="N250" s="241"/>
      <c r="O250" s="247">
        <v>4798.32</v>
      </c>
      <c r="P250" s="241"/>
      <c r="Q250" s="247">
        <v>3979.98</v>
      </c>
      <c r="R250" s="241"/>
      <c r="S250" s="247">
        <v>4821.5600000000004</v>
      </c>
      <c r="T250" s="241"/>
      <c r="U250" s="247">
        <v>4011.3</v>
      </c>
      <c r="V250" s="241"/>
      <c r="W250" s="247">
        <v>4199.0600000000004</v>
      </c>
      <c r="X250" s="241"/>
      <c r="Y250" s="247">
        <v>6442.37</v>
      </c>
      <c r="Z250" s="241"/>
      <c r="AA250" s="247">
        <v>1715.7</v>
      </c>
      <c r="AB250" s="241"/>
      <c r="AC250" s="247">
        <v>3463.01</v>
      </c>
      <c r="AD250" s="241"/>
      <c r="AE250" s="247">
        <f t="shared" si="24"/>
        <v>50743.500000000007</v>
      </c>
      <c r="AF250" s="248">
        <f t="shared" si="25"/>
        <v>2.2722188451953845E-3</v>
      </c>
      <c r="AG250" s="249"/>
    </row>
    <row r="251" spans="1:33" outlineLevel="1">
      <c r="A251" s="244">
        <v>70300</v>
      </c>
      <c r="B251" s="244" t="s">
        <v>829</v>
      </c>
      <c r="C251" s="245"/>
      <c r="D251" s="246"/>
      <c r="E251" s="240"/>
      <c r="F251" s="241"/>
      <c r="G251" s="247">
        <v>7776.82</v>
      </c>
      <c r="H251" s="241"/>
      <c r="I251" s="247">
        <v>8552.92</v>
      </c>
      <c r="J251" s="241"/>
      <c r="K251" s="247">
        <v>7776.82</v>
      </c>
      <c r="L251" s="241"/>
      <c r="M251" s="247">
        <v>9080.17</v>
      </c>
      <c r="N251" s="241"/>
      <c r="O251" s="247">
        <v>8164.87</v>
      </c>
      <c r="P251" s="241"/>
      <c r="Q251" s="247">
        <v>8164.87</v>
      </c>
      <c r="R251" s="241"/>
      <c r="S251" s="247">
        <v>8341.73</v>
      </c>
      <c r="T251" s="241"/>
      <c r="U251" s="247">
        <v>8164.87</v>
      </c>
      <c r="V251" s="241"/>
      <c r="W251" s="247">
        <v>8164.87</v>
      </c>
      <c r="X251" s="241"/>
      <c r="Y251" s="247">
        <v>8341.7199999999993</v>
      </c>
      <c r="Z251" s="241"/>
      <c r="AA251" s="247">
        <v>8164.88</v>
      </c>
      <c r="AB251" s="241"/>
      <c r="AC251" s="247">
        <v>8164.87</v>
      </c>
      <c r="AD251" s="241"/>
      <c r="AE251" s="247">
        <f t="shared" si="24"/>
        <v>98859.41</v>
      </c>
      <c r="AF251" s="248">
        <f t="shared" si="25"/>
        <v>4.4267780982174465E-3</v>
      </c>
      <c r="AG251" s="249"/>
    </row>
    <row r="252" spans="1:33" outlineLevel="1">
      <c r="A252" s="244">
        <v>70301</v>
      </c>
      <c r="B252" s="244" t="s">
        <v>830</v>
      </c>
      <c r="C252" s="245"/>
      <c r="D252" s="246"/>
      <c r="E252" s="240"/>
      <c r="F252" s="241"/>
      <c r="G252" s="247">
        <v>300</v>
      </c>
      <c r="H252" s="241"/>
      <c r="I252" s="247">
        <v>-167.36</v>
      </c>
      <c r="J252" s="241"/>
      <c r="K252" s="247">
        <v>0</v>
      </c>
      <c r="L252" s="241"/>
      <c r="M252" s="247">
        <v>0</v>
      </c>
      <c r="N252" s="241"/>
      <c r="O252" s="247">
        <v>0</v>
      </c>
      <c r="P252" s="241"/>
      <c r="Q252" s="247">
        <v>0</v>
      </c>
      <c r="R252" s="241"/>
      <c r="S252" s="247">
        <v>0</v>
      </c>
      <c r="T252" s="241"/>
      <c r="U252" s="247">
        <v>0</v>
      </c>
      <c r="V252" s="241"/>
      <c r="W252" s="247">
        <v>0</v>
      </c>
      <c r="X252" s="241"/>
      <c r="Y252" s="247">
        <v>0</v>
      </c>
      <c r="Z252" s="241"/>
      <c r="AA252" s="247">
        <v>0</v>
      </c>
      <c r="AB252" s="241"/>
      <c r="AC252" s="247">
        <v>0</v>
      </c>
      <c r="AD252" s="241"/>
      <c r="AE252" s="247">
        <f t="shared" si="24"/>
        <v>132.63999999999999</v>
      </c>
      <c r="AF252" s="248">
        <f t="shared" si="25"/>
        <v>5.9394229335129762E-6</v>
      </c>
      <c r="AG252" s="249"/>
    </row>
    <row r="253" spans="1:33" outlineLevel="1">
      <c r="A253" s="244">
        <v>70302</v>
      </c>
      <c r="B253" s="244" t="s">
        <v>831</v>
      </c>
      <c r="C253" s="245"/>
      <c r="D253" s="246"/>
      <c r="E253" s="240"/>
      <c r="F253" s="241"/>
      <c r="G253" s="247">
        <v>0</v>
      </c>
      <c r="H253" s="241"/>
      <c r="I253" s="247">
        <v>535.75</v>
      </c>
      <c r="J253" s="241"/>
      <c r="K253" s="247">
        <v>0</v>
      </c>
      <c r="L253" s="241"/>
      <c r="M253" s="247">
        <v>0</v>
      </c>
      <c r="N253" s="241"/>
      <c r="O253" s="247">
        <v>0</v>
      </c>
      <c r="P253" s="241"/>
      <c r="Q253" s="247">
        <v>0</v>
      </c>
      <c r="R253" s="241"/>
      <c r="S253" s="247">
        <v>1297.0899999999999</v>
      </c>
      <c r="T253" s="241"/>
      <c r="U253" s="247">
        <v>1190.8599999999999</v>
      </c>
      <c r="V253" s="241"/>
      <c r="W253" s="247">
        <v>0</v>
      </c>
      <c r="X253" s="241"/>
      <c r="Y253" s="247">
        <v>0</v>
      </c>
      <c r="Z253" s="241"/>
      <c r="AA253" s="247">
        <v>0</v>
      </c>
      <c r="AB253" s="241"/>
      <c r="AC253" s="247">
        <v>0</v>
      </c>
      <c r="AD253" s="241"/>
      <c r="AE253" s="247">
        <f t="shared" si="24"/>
        <v>3023.7</v>
      </c>
      <c r="AF253" s="248">
        <f t="shared" si="25"/>
        <v>1.3539681185210486E-4</v>
      </c>
      <c r="AG253" s="249"/>
    </row>
    <row r="254" spans="1:33" outlineLevel="1">
      <c r="A254" s="244">
        <v>70310</v>
      </c>
      <c r="B254" s="244" t="s">
        <v>832</v>
      </c>
      <c r="C254" s="245"/>
      <c r="D254" s="246"/>
      <c r="E254" s="240"/>
      <c r="F254" s="241"/>
      <c r="G254" s="247">
        <v>5915.69</v>
      </c>
      <c r="H254" s="241"/>
      <c r="I254" s="247">
        <v>2650.91</v>
      </c>
      <c r="J254" s="241"/>
      <c r="K254" s="247">
        <v>-62.7</v>
      </c>
      <c r="L254" s="241"/>
      <c r="M254" s="247">
        <v>53.77</v>
      </c>
      <c r="N254" s="241"/>
      <c r="O254" s="247">
        <v>7113.29</v>
      </c>
      <c r="P254" s="241"/>
      <c r="Q254" s="247">
        <v>4687.24</v>
      </c>
      <c r="R254" s="241"/>
      <c r="S254" s="247">
        <v>7852.88</v>
      </c>
      <c r="T254" s="241"/>
      <c r="U254" s="247">
        <v>4077.26</v>
      </c>
      <c r="V254" s="241"/>
      <c r="W254" s="247">
        <v>5133.71</v>
      </c>
      <c r="X254" s="241"/>
      <c r="Y254" s="247">
        <v>4433.4399999999996</v>
      </c>
      <c r="Z254" s="241"/>
      <c r="AA254" s="247">
        <v>2806.34</v>
      </c>
      <c r="AB254" s="241"/>
      <c r="AC254" s="247">
        <v>11675.12</v>
      </c>
      <c r="AD254" s="241"/>
      <c r="AE254" s="247">
        <f t="shared" si="24"/>
        <v>56336.95</v>
      </c>
      <c r="AF254" s="248">
        <f t="shared" si="25"/>
        <v>2.5226852596062568E-3</v>
      </c>
      <c r="AG254" s="249"/>
    </row>
    <row r="255" spans="1:33" outlineLevel="1">
      <c r="A255" s="244">
        <v>70320</v>
      </c>
      <c r="B255" s="244" t="s">
        <v>833</v>
      </c>
      <c r="C255" s="245"/>
      <c r="D255" s="246"/>
      <c r="E255" s="240"/>
      <c r="F255" s="241"/>
      <c r="G255" s="247">
        <v>2416.31</v>
      </c>
      <c r="H255" s="241"/>
      <c r="I255" s="247">
        <v>747.6</v>
      </c>
      <c r="J255" s="241"/>
      <c r="K255" s="247">
        <v>1090.6099999999999</v>
      </c>
      <c r="L255" s="241"/>
      <c r="M255" s="247">
        <v>1733.13</v>
      </c>
      <c r="N255" s="241"/>
      <c r="O255" s="247">
        <v>1772.27</v>
      </c>
      <c r="P255" s="241"/>
      <c r="Q255" s="247">
        <v>2235.92</v>
      </c>
      <c r="R255" s="241"/>
      <c r="S255" s="247">
        <v>1458.38</v>
      </c>
      <c r="T255" s="241"/>
      <c r="U255" s="247">
        <v>2350.81</v>
      </c>
      <c r="V255" s="241"/>
      <c r="W255" s="247">
        <v>2108.54</v>
      </c>
      <c r="X255" s="241"/>
      <c r="Y255" s="247">
        <v>2064.6799999999998</v>
      </c>
      <c r="Z255" s="241"/>
      <c r="AA255" s="247">
        <v>2395.4699999999998</v>
      </c>
      <c r="AB255" s="241"/>
      <c r="AC255" s="247">
        <v>1403.25</v>
      </c>
      <c r="AD255" s="241"/>
      <c r="AE255" s="247">
        <f t="shared" si="24"/>
        <v>21776.97</v>
      </c>
      <c r="AF255" s="248">
        <f t="shared" si="25"/>
        <v>9.7514049336869799E-4</v>
      </c>
      <c r="AG255" s="249"/>
    </row>
    <row r="256" spans="1:33" outlineLevel="1">
      <c r="A256" s="244">
        <v>70335</v>
      </c>
      <c r="B256" s="244" t="s">
        <v>834</v>
      </c>
      <c r="C256" s="245"/>
      <c r="D256" s="246"/>
      <c r="E256" s="240"/>
      <c r="F256" s="241"/>
      <c r="G256" s="247">
        <v>100</v>
      </c>
      <c r="H256" s="241"/>
      <c r="I256" s="247">
        <v>97.75</v>
      </c>
      <c r="J256" s="241"/>
      <c r="K256" s="247">
        <v>-90.28</v>
      </c>
      <c r="L256" s="241"/>
      <c r="M256" s="247">
        <v>90.28</v>
      </c>
      <c r="N256" s="241"/>
      <c r="O256" s="247">
        <v>0</v>
      </c>
      <c r="P256" s="241"/>
      <c r="Q256" s="247">
        <v>0</v>
      </c>
      <c r="R256" s="241"/>
      <c r="S256" s="247">
        <v>350.58</v>
      </c>
      <c r="T256" s="241"/>
      <c r="U256" s="247">
        <v>-502.27</v>
      </c>
      <c r="V256" s="241"/>
      <c r="W256" s="247">
        <v>347.29</v>
      </c>
      <c r="X256" s="241"/>
      <c r="Y256" s="247">
        <v>0</v>
      </c>
      <c r="Z256" s="241"/>
      <c r="AA256" s="247">
        <v>0</v>
      </c>
      <c r="AB256" s="241"/>
      <c r="AC256" s="247">
        <v>507.82</v>
      </c>
      <c r="AD256" s="241"/>
      <c r="AE256" s="247">
        <f t="shared" si="24"/>
        <v>901.17000000000007</v>
      </c>
      <c r="AF256" s="248">
        <f t="shared" si="25"/>
        <v>4.0353059145008218E-5</v>
      </c>
      <c r="AG256" s="249"/>
    </row>
    <row r="257" spans="1:33" outlineLevel="1">
      <c r="A257" s="244">
        <v>70336</v>
      </c>
      <c r="B257" s="244" t="s">
        <v>835</v>
      </c>
      <c r="C257" s="245"/>
      <c r="D257" s="246"/>
      <c r="E257" s="240"/>
      <c r="F257" s="241"/>
      <c r="G257" s="247">
        <v>311.44</v>
      </c>
      <c r="H257" s="241"/>
      <c r="I257" s="247">
        <v>1263.17</v>
      </c>
      <c r="J257" s="241"/>
      <c r="K257" s="247">
        <v>1124.3800000000001</v>
      </c>
      <c r="L257" s="241"/>
      <c r="M257" s="247">
        <v>1046.08</v>
      </c>
      <c r="N257" s="241"/>
      <c r="O257" s="247">
        <v>1126.07</v>
      </c>
      <c r="P257" s="241"/>
      <c r="Q257" s="247">
        <v>1049.1400000000001</v>
      </c>
      <c r="R257" s="241"/>
      <c r="S257" s="247">
        <v>1283.3699999999999</v>
      </c>
      <c r="T257" s="241"/>
      <c r="U257" s="247">
        <v>1178.55</v>
      </c>
      <c r="V257" s="241"/>
      <c r="W257" s="247">
        <v>1085.75</v>
      </c>
      <c r="X257" s="241"/>
      <c r="Y257" s="247">
        <v>1471.32</v>
      </c>
      <c r="Z257" s="241"/>
      <c r="AA257" s="247">
        <v>1573.31</v>
      </c>
      <c r="AB257" s="241"/>
      <c r="AC257" s="247">
        <v>1282.3599999999999</v>
      </c>
      <c r="AD257" s="241"/>
      <c r="AE257" s="247">
        <f t="shared" si="24"/>
        <v>13794.939999999999</v>
      </c>
      <c r="AF257" s="248">
        <f t="shared" si="25"/>
        <v>6.1771700092306614E-4</v>
      </c>
      <c r="AG257" s="249"/>
    </row>
    <row r="258" spans="1:33" outlineLevel="1">
      <c r="A258" s="244">
        <v>70345</v>
      </c>
      <c r="B258" s="244" t="s">
        <v>836</v>
      </c>
      <c r="C258" s="245"/>
      <c r="D258" s="246"/>
      <c r="E258" s="240"/>
      <c r="F258" s="241"/>
      <c r="G258" s="247">
        <v>0</v>
      </c>
      <c r="H258" s="241"/>
      <c r="I258" s="247">
        <v>92.85</v>
      </c>
      <c r="J258" s="241"/>
      <c r="K258" s="247">
        <v>210</v>
      </c>
      <c r="L258" s="241"/>
      <c r="M258" s="247">
        <v>0</v>
      </c>
      <c r="N258" s="241"/>
      <c r="O258" s="247">
        <v>0</v>
      </c>
      <c r="P258" s="241"/>
      <c r="Q258" s="247">
        <v>94.5</v>
      </c>
      <c r="R258" s="241"/>
      <c r="S258" s="247">
        <v>0</v>
      </c>
      <c r="T258" s="241"/>
      <c r="U258" s="247">
        <v>0</v>
      </c>
      <c r="V258" s="241"/>
      <c r="W258" s="247">
        <v>466.91</v>
      </c>
      <c r="X258" s="241"/>
      <c r="Y258" s="247">
        <v>0</v>
      </c>
      <c r="Z258" s="241"/>
      <c r="AA258" s="247">
        <v>0</v>
      </c>
      <c r="AB258" s="241"/>
      <c r="AC258" s="247">
        <v>0</v>
      </c>
      <c r="AD258" s="241"/>
      <c r="AE258" s="247">
        <f t="shared" si="24"/>
        <v>864.2600000000001</v>
      </c>
      <c r="AF258" s="248">
        <f t="shared" si="25"/>
        <v>3.8700283960478936E-5</v>
      </c>
      <c r="AG258" s="249"/>
    </row>
    <row r="259" spans="1:33" s="240" customFormat="1" ht="5.15" customHeight="1" outlineLevel="1">
      <c r="A259" s="245"/>
      <c r="B259" s="245"/>
      <c r="C259" s="245"/>
      <c r="D259" s="245"/>
      <c r="G259" s="255"/>
      <c r="H259" s="253"/>
      <c r="I259" s="255"/>
      <c r="J259" s="253"/>
      <c r="K259" s="255"/>
      <c r="L259" s="253"/>
      <c r="M259" s="255"/>
      <c r="N259" s="253"/>
      <c r="O259" s="255"/>
      <c r="P259" s="253"/>
      <c r="Q259" s="255"/>
      <c r="R259" s="253"/>
      <c r="S259" s="255"/>
      <c r="T259" s="253"/>
      <c r="U259" s="255"/>
      <c r="V259" s="253"/>
      <c r="W259" s="255"/>
      <c r="X259" s="253"/>
      <c r="Y259" s="255"/>
      <c r="Z259" s="253"/>
      <c r="AA259" s="255"/>
      <c r="AB259" s="253"/>
      <c r="AC259" s="255"/>
      <c r="AD259" s="253"/>
      <c r="AE259" s="255"/>
      <c r="AF259" s="243"/>
      <c r="AG259" s="222"/>
    </row>
    <row r="260" spans="1:33" s="240" customFormat="1" ht="15.5">
      <c r="C260" s="245" t="s">
        <v>837</v>
      </c>
      <c r="G260" s="252">
        <f>SUM(G209:G259)</f>
        <v>161888.96999999997</v>
      </c>
      <c r="H260" s="253"/>
      <c r="I260" s="252">
        <f>SUM(I209:I259)</f>
        <v>99934.760000000024</v>
      </c>
      <c r="J260" s="253"/>
      <c r="K260" s="252">
        <f>SUM(K209:K259)</f>
        <v>105306.9</v>
      </c>
      <c r="L260" s="253"/>
      <c r="M260" s="252">
        <f>SUM(M209:M259)</f>
        <v>118303.06999999999</v>
      </c>
      <c r="N260" s="253"/>
      <c r="O260" s="252">
        <f>SUM(O209:O259)</f>
        <v>135400.28</v>
      </c>
      <c r="P260" s="253"/>
      <c r="Q260" s="252">
        <f>SUM(Q209:Q259)</f>
        <v>139688.80000000002</v>
      </c>
      <c r="R260" s="253"/>
      <c r="S260" s="252">
        <f>SUM(S209:S259)</f>
        <v>150947.06000000003</v>
      </c>
      <c r="T260" s="253"/>
      <c r="U260" s="252">
        <f>SUM(U209:U259)</f>
        <v>125771.73</v>
      </c>
      <c r="V260" s="253"/>
      <c r="W260" s="252">
        <f>SUM(W209:W259)</f>
        <v>132980.90000000002</v>
      </c>
      <c r="X260" s="253"/>
      <c r="Y260" s="252">
        <f>SUM(Y209:Y259)</f>
        <v>131876.59000000003</v>
      </c>
      <c r="Z260" s="253"/>
      <c r="AA260" s="252">
        <f>SUM(AA209:AA259)</f>
        <v>123230.60000000002</v>
      </c>
      <c r="AB260" s="253"/>
      <c r="AC260" s="252">
        <f>SUM(AC209:AC259)</f>
        <v>120558.30000000002</v>
      </c>
      <c r="AD260" s="253"/>
      <c r="AE260" s="252">
        <f>SUM(AE209:AE259)</f>
        <v>1545887.96</v>
      </c>
      <c r="AF260" s="248">
        <f>IF(AE$50=0,0,AE260/AE$50)</f>
        <v>6.9222575409119358E-2</v>
      </c>
      <c r="AG260" s="222"/>
    </row>
    <row r="261" spans="1:33" s="240" customFormat="1" ht="15.5" outlineLevel="1">
      <c r="G261" s="254"/>
      <c r="H261" s="253"/>
      <c r="I261" s="254"/>
      <c r="J261" s="253"/>
      <c r="K261" s="254"/>
      <c r="L261" s="253"/>
      <c r="M261" s="254"/>
      <c r="N261" s="253"/>
      <c r="O261" s="254"/>
      <c r="P261" s="253"/>
      <c r="Q261" s="254"/>
      <c r="R261" s="253"/>
      <c r="S261" s="254"/>
      <c r="T261" s="253"/>
      <c r="U261" s="254"/>
      <c r="V261" s="253"/>
      <c r="W261" s="254"/>
      <c r="X261" s="253"/>
      <c r="Y261" s="254"/>
      <c r="Z261" s="253"/>
      <c r="AA261" s="254"/>
      <c r="AB261" s="253"/>
      <c r="AC261" s="254"/>
      <c r="AD261" s="253"/>
      <c r="AE261" s="254"/>
      <c r="AF261" s="243"/>
      <c r="AG261" s="222"/>
    </row>
    <row r="262" spans="1:33" outlineLevel="1">
      <c r="A262" s="244">
        <v>70149</v>
      </c>
      <c r="B262" s="244" t="s">
        <v>838</v>
      </c>
      <c r="C262" s="245"/>
      <c r="D262" s="246"/>
      <c r="E262" s="240"/>
      <c r="F262" s="241"/>
      <c r="G262" s="247">
        <v>54188.78</v>
      </c>
      <c r="H262" s="241"/>
      <c r="I262" s="247">
        <v>51954.41</v>
      </c>
      <c r="J262" s="241"/>
      <c r="K262" s="247">
        <v>54707.86</v>
      </c>
      <c r="L262" s="241"/>
      <c r="M262" s="247">
        <v>56665.3</v>
      </c>
      <c r="N262" s="241"/>
      <c r="O262" s="247">
        <v>56017.25</v>
      </c>
      <c r="P262" s="241"/>
      <c r="Q262" s="247">
        <v>58124.42</v>
      </c>
      <c r="R262" s="241"/>
      <c r="S262" s="247">
        <v>58372.01</v>
      </c>
      <c r="T262" s="241"/>
      <c r="U262" s="247">
        <v>57099.65</v>
      </c>
      <c r="V262" s="241"/>
      <c r="W262" s="247">
        <v>58628.74</v>
      </c>
      <c r="X262" s="241"/>
      <c r="Y262" s="247">
        <v>58193.37</v>
      </c>
      <c r="Z262" s="241"/>
      <c r="AA262" s="247">
        <v>57374.09</v>
      </c>
      <c r="AB262" s="241"/>
      <c r="AC262" s="247">
        <v>58305.89</v>
      </c>
      <c r="AD262" s="241"/>
      <c r="AE262" s="247">
        <f>AC262+AA262+Y262+W262+U262+S262+Q262+O262+M262+K262+I262+G262</f>
        <v>679631.77</v>
      </c>
      <c r="AF262" s="248">
        <f>IF(AE$50=0,0,AE262/AE$50)</f>
        <v>3.043290501418891E-2</v>
      </c>
      <c r="AG262" s="249"/>
    </row>
    <row r="263" spans="1:33" s="240" customFormat="1" ht="5.15" customHeight="1" outlineLevel="1">
      <c r="A263" s="245"/>
      <c r="B263" s="245"/>
      <c r="C263" s="245"/>
      <c r="D263" s="245"/>
      <c r="G263" s="255"/>
      <c r="H263" s="253"/>
      <c r="I263" s="255"/>
      <c r="J263" s="253"/>
      <c r="K263" s="255"/>
      <c r="L263" s="253"/>
      <c r="M263" s="255"/>
      <c r="N263" s="253"/>
      <c r="O263" s="255"/>
      <c r="P263" s="253"/>
      <c r="Q263" s="255"/>
      <c r="R263" s="253"/>
      <c r="S263" s="255"/>
      <c r="T263" s="253"/>
      <c r="U263" s="255"/>
      <c r="V263" s="253"/>
      <c r="W263" s="255"/>
      <c r="X263" s="253"/>
      <c r="Y263" s="255"/>
      <c r="Z263" s="253"/>
      <c r="AA263" s="255"/>
      <c r="AB263" s="253"/>
      <c r="AC263" s="255"/>
      <c r="AD263" s="253"/>
      <c r="AE263" s="255"/>
      <c r="AF263" s="243"/>
      <c r="AG263" s="222"/>
    </row>
    <row r="264" spans="1:33" s="240" customFormat="1" ht="15.5">
      <c r="C264" s="244" t="s">
        <v>839</v>
      </c>
      <c r="G264" s="252">
        <f>SUM(G261:G263)</f>
        <v>54188.78</v>
      </c>
      <c r="H264" s="253"/>
      <c r="I264" s="252">
        <f>SUM(I261:I263)</f>
        <v>51954.41</v>
      </c>
      <c r="J264" s="253"/>
      <c r="K264" s="252">
        <f>SUM(K261:K263)</f>
        <v>54707.86</v>
      </c>
      <c r="L264" s="253"/>
      <c r="M264" s="252">
        <f>SUM(M261:M263)</f>
        <v>56665.3</v>
      </c>
      <c r="N264" s="253"/>
      <c r="O264" s="252">
        <f>SUM(O261:O263)</f>
        <v>56017.25</v>
      </c>
      <c r="P264" s="253"/>
      <c r="Q264" s="252">
        <f>SUM(Q261:Q263)</f>
        <v>58124.42</v>
      </c>
      <c r="R264" s="253"/>
      <c r="S264" s="252">
        <f>SUM(S261:S263)</f>
        <v>58372.01</v>
      </c>
      <c r="T264" s="253"/>
      <c r="U264" s="252">
        <f>SUM(U261:U263)</f>
        <v>57099.65</v>
      </c>
      <c r="V264" s="253"/>
      <c r="W264" s="252">
        <f>SUM(W261:W263)</f>
        <v>58628.74</v>
      </c>
      <c r="X264" s="253"/>
      <c r="Y264" s="252">
        <f>SUM(Y261:Y263)</f>
        <v>58193.37</v>
      </c>
      <c r="Z264" s="253"/>
      <c r="AA264" s="252">
        <f>SUM(AA261:AA263)</f>
        <v>57374.09</v>
      </c>
      <c r="AB264" s="253"/>
      <c r="AC264" s="252">
        <f>SUM(AC261:AC263)</f>
        <v>58305.89</v>
      </c>
      <c r="AD264" s="253"/>
      <c r="AE264" s="252">
        <f>SUM(AE261:AE263)</f>
        <v>679631.77</v>
      </c>
      <c r="AF264" s="248">
        <f>IF(AE$50=0,0,AE264/AE$50)</f>
        <v>3.043290501418891E-2</v>
      </c>
      <c r="AG264" s="222"/>
    </row>
    <row r="265" spans="1:33" s="240" customFormat="1" ht="7.5" customHeight="1">
      <c r="G265" s="254"/>
      <c r="H265" s="253"/>
      <c r="I265" s="254"/>
      <c r="J265" s="253"/>
      <c r="K265" s="254"/>
      <c r="L265" s="253"/>
      <c r="M265" s="254"/>
      <c r="N265" s="253"/>
      <c r="O265" s="254"/>
      <c r="P265" s="253"/>
      <c r="Q265" s="254"/>
      <c r="R265" s="253"/>
      <c r="S265" s="254"/>
      <c r="T265" s="253"/>
      <c r="U265" s="254"/>
      <c r="V265" s="253"/>
      <c r="W265" s="254"/>
      <c r="X265" s="253"/>
      <c r="Y265" s="254"/>
      <c r="Z265" s="253"/>
      <c r="AA265" s="254"/>
      <c r="AB265" s="253"/>
      <c r="AC265" s="254"/>
      <c r="AD265" s="253"/>
      <c r="AE265" s="254"/>
      <c r="AF265" s="243"/>
      <c r="AG265" s="222"/>
    </row>
    <row r="266" spans="1:33" s="240" customFormat="1" ht="15.5">
      <c r="B266" s="257" t="s">
        <v>840</v>
      </c>
      <c r="G266" s="258">
        <f>+G207+G260+G264</f>
        <v>217250.35999999996</v>
      </c>
      <c r="H266" s="253"/>
      <c r="I266" s="258">
        <f>+I207+I260+I264</f>
        <v>154878.27000000002</v>
      </c>
      <c r="J266" s="253"/>
      <c r="K266" s="258">
        <f>+K207+K260+K264</f>
        <v>162153.13</v>
      </c>
      <c r="L266" s="253"/>
      <c r="M266" s="258">
        <f>+M207+M260+M264</f>
        <v>175273.59</v>
      </c>
      <c r="N266" s="253"/>
      <c r="O266" s="258">
        <f>+O207+O260+O264</f>
        <v>195947.63</v>
      </c>
      <c r="P266" s="253"/>
      <c r="Q266" s="258">
        <f>+Q207+Q260+Q264</f>
        <v>200134.98000000004</v>
      </c>
      <c r="R266" s="253"/>
      <c r="S266" s="258">
        <f>+S207+S260+S264</f>
        <v>213505.45000000004</v>
      </c>
      <c r="T266" s="253"/>
      <c r="U266" s="258">
        <f>+U207+U260+U264</f>
        <v>186117.76000000001</v>
      </c>
      <c r="V266" s="253"/>
      <c r="W266" s="258">
        <f>+W207+W260+W264</f>
        <v>195994.65000000002</v>
      </c>
      <c r="X266" s="253"/>
      <c r="Y266" s="258">
        <f>+Y207+Y260+Y264</f>
        <v>194549.05000000002</v>
      </c>
      <c r="Z266" s="253"/>
      <c r="AA266" s="258">
        <f>+AA207+AA260+AA264</f>
        <v>184596.48000000001</v>
      </c>
      <c r="AB266" s="253"/>
      <c r="AC266" s="258">
        <f>+AC207+AC260+AC264</f>
        <v>184209.86000000002</v>
      </c>
      <c r="AD266" s="253"/>
      <c r="AE266" s="258">
        <f>+AE207+AE260+AE264</f>
        <v>2264611.21</v>
      </c>
      <c r="AF266" s="248">
        <f>IF(AE$50=0,0,AE266/AE$50)</f>
        <v>0.10140593905431673</v>
      </c>
      <c r="AG266" s="222"/>
    </row>
    <row r="267" spans="1:33" s="240" customFormat="1" ht="7.5" customHeight="1">
      <c r="G267" s="254"/>
      <c r="H267" s="253"/>
      <c r="I267" s="254"/>
      <c r="J267" s="253"/>
      <c r="K267" s="254"/>
      <c r="L267" s="253"/>
      <c r="M267" s="254"/>
      <c r="N267" s="253"/>
      <c r="O267" s="254"/>
      <c r="P267" s="253"/>
      <c r="Q267" s="254"/>
      <c r="R267" s="253"/>
      <c r="S267" s="254"/>
      <c r="T267" s="253"/>
      <c r="U267" s="254"/>
      <c r="V267" s="253"/>
      <c r="W267" s="254"/>
      <c r="X267" s="253"/>
      <c r="Y267" s="254"/>
      <c r="Z267" s="253"/>
      <c r="AA267" s="254"/>
      <c r="AB267" s="253"/>
      <c r="AC267" s="254"/>
      <c r="AD267" s="253"/>
      <c r="AE267" s="254"/>
      <c r="AF267" s="243"/>
      <c r="AG267" s="222"/>
    </row>
    <row r="268" spans="1:33" s="240" customFormat="1" ht="7.5" customHeight="1">
      <c r="A268" s="264"/>
      <c r="B268" s="264"/>
      <c r="C268" s="264"/>
      <c r="D268" s="264"/>
      <c r="E268" s="264"/>
      <c r="F268" s="264"/>
      <c r="G268" s="262"/>
      <c r="H268" s="253"/>
      <c r="I268" s="262"/>
      <c r="J268" s="253"/>
      <c r="K268" s="262"/>
      <c r="L268" s="253"/>
      <c r="M268" s="262"/>
      <c r="N268" s="253"/>
      <c r="O268" s="262"/>
      <c r="P268" s="253"/>
      <c r="Q268" s="262"/>
      <c r="R268" s="253"/>
      <c r="S268" s="262"/>
      <c r="T268" s="253"/>
      <c r="U268" s="262"/>
      <c r="V268" s="253"/>
      <c r="W268" s="262"/>
      <c r="X268" s="253"/>
      <c r="Y268" s="262"/>
      <c r="Z268" s="253"/>
      <c r="AA268" s="262"/>
      <c r="AB268" s="253"/>
      <c r="AC268" s="262"/>
      <c r="AD268" s="253"/>
      <c r="AE268" s="262"/>
      <c r="AF268" s="243"/>
      <c r="AG268" s="222"/>
    </row>
    <row r="269" spans="1:33" s="240" customFormat="1" ht="15.5">
      <c r="B269" s="265" t="s">
        <v>841</v>
      </c>
      <c r="C269" s="266"/>
      <c r="D269" s="266"/>
      <c r="E269" s="266"/>
      <c r="F269" s="266"/>
      <c r="G269" s="267">
        <f>+G195-G266</f>
        <v>-14071.619999999966</v>
      </c>
      <c r="H269" s="268"/>
      <c r="I269" s="267">
        <f>+I195-I266</f>
        <v>584116.7300000001</v>
      </c>
      <c r="J269" s="269"/>
      <c r="K269" s="267">
        <f>+K195-K266</f>
        <v>143965.24000000011</v>
      </c>
      <c r="L269" s="269"/>
      <c r="M269" s="267">
        <f>+M195-M266</f>
        <v>327287.81999999995</v>
      </c>
      <c r="N269" s="268"/>
      <c r="O269" s="267">
        <f>+O195-O266</f>
        <v>191071.33999999985</v>
      </c>
      <c r="P269" s="269"/>
      <c r="Q269" s="267">
        <f>+Q195-Q266</f>
        <v>103431.17000000033</v>
      </c>
      <c r="R269" s="269"/>
      <c r="S269" s="267">
        <f>+S195-S266</f>
        <v>114263.38999999993</v>
      </c>
      <c r="T269" s="268"/>
      <c r="U269" s="267">
        <f>+U195-U266</f>
        <v>254063.99999999988</v>
      </c>
      <c r="V269" s="269"/>
      <c r="W269" s="267">
        <f>+W195-W266</f>
        <v>288820.30000000028</v>
      </c>
      <c r="X269" s="269"/>
      <c r="Y269" s="267">
        <f>+Y195-Y266</f>
        <v>128332.62000000026</v>
      </c>
      <c r="Z269" s="268"/>
      <c r="AA269" s="267">
        <f>+AA195-AA266</f>
        <v>224634.35000000006</v>
      </c>
      <c r="AB269" s="269"/>
      <c r="AC269" s="267">
        <f>+AC195-AC266</f>
        <v>197697.73999999996</v>
      </c>
      <c r="AD269" s="269"/>
      <c r="AE269" s="267">
        <f>+AE195-AE266</f>
        <v>2543613.0799999954</v>
      </c>
      <c r="AF269" s="248">
        <f>IF(AE$50=0,0,AE269/AE$50)</f>
        <v>0.11389922995578672</v>
      </c>
      <c r="AG269" s="270"/>
    </row>
    <row r="270" spans="1:33" s="240" customFormat="1" ht="6.75" customHeight="1">
      <c r="A270" s="271"/>
      <c r="B270" s="271"/>
      <c r="C270" s="271"/>
      <c r="D270" s="271"/>
      <c r="E270" s="271"/>
      <c r="F270" s="271"/>
      <c r="G270" s="272"/>
      <c r="H270" s="271"/>
      <c r="I270" s="272"/>
      <c r="J270" s="271"/>
      <c r="K270" s="272"/>
      <c r="L270" s="271"/>
      <c r="M270" s="272"/>
      <c r="N270" s="271"/>
      <c r="O270" s="272"/>
      <c r="P270" s="271"/>
      <c r="Q270" s="272"/>
      <c r="R270" s="271"/>
      <c r="S270" s="272"/>
      <c r="T270" s="271"/>
      <c r="U270" s="272"/>
      <c r="V270" s="271"/>
      <c r="W270" s="272"/>
      <c r="X270" s="271"/>
      <c r="Y270" s="272"/>
      <c r="Z270" s="271"/>
      <c r="AA270" s="272"/>
      <c r="AB270" s="271"/>
      <c r="AC270" s="272"/>
      <c r="AD270" s="271"/>
      <c r="AE270" s="272"/>
      <c r="AF270" s="273"/>
      <c r="AG270" s="222"/>
    </row>
    <row r="271" spans="1:33" s="240" customFormat="1" ht="15.5">
      <c r="B271" s="274" t="s">
        <v>842</v>
      </c>
      <c r="C271" s="275"/>
      <c r="D271" s="275"/>
      <c r="E271" s="275"/>
      <c r="F271" s="275"/>
      <c r="G271" s="276">
        <f>G269 +G187+SUMIF($A:$A,52141,G:G)+SUMIF($A:$A,52142,G:G)+SUMIF($A:$A,52143,G:G)+SUMIF($A:$A,55142,G:G)+SUMIF($A:$A,56142,G:G)+SUMIF($A:$A,70142,G:G)</f>
        <v>60353.670000000035</v>
      </c>
      <c r="H271" s="275"/>
      <c r="I271" s="276">
        <f>I269 +I187+SUMIF($A:$A,52141,I:I)+SUMIF($A:$A,52142,I:I)+SUMIF($A:$A,52143,I:I)+SUMIF($A:$A,55142,I:I)+SUMIF($A:$A,56142,I:I)+SUMIF($A:$A,70142,I:I)</f>
        <v>647011.55000000005</v>
      </c>
      <c r="J271" s="275"/>
      <c r="K271" s="276">
        <f>K269 +K187+SUMIF($A:$A,52141,K:K)+SUMIF($A:$A,52142,K:K)+SUMIF($A:$A,52143,K:K)+SUMIF($A:$A,55142,K:K)+SUMIF($A:$A,56142,K:K)+SUMIF($A:$A,70142,K:K)</f>
        <v>168481.02000000011</v>
      </c>
      <c r="L271" s="275"/>
      <c r="M271" s="276">
        <f>M269 +M187+SUMIF($A:$A,52141,M:M)+SUMIF($A:$A,52142,M:M)+SUMIF($A:$A,52143,M:M)+SUMIF($A:$A,55142,M:M)+SUMIF($A:$A,56142,M:M)+SUMIF($A:$A,70142,M:M)</f>
        <v>401783.13999999996</v>
      </c>
      <c r="N271" s="275"/>
      <c r="O271" s="276">
        <f>O269 +O187+SUMIF($A:$A,52141,O:O)+SUMIF($A:$A,52142,O:O)+SUMIF($A:$A,52143,O:O)+SUMIF($A:$A,55142,O:O)+SUMIF($A:$A,56142,O:O)+SUMIF($A:$A,70142,O:O)</f>
        <v>261549.36999999985</v>
      </c>
      <c r="P271" s="275"/>
      <c r="Q271" s="276">
        <f>Q269 +Q187+SUMIF($A:$A,52141,Q:Q)+SUMIF($A:$A,52142,Q:Q)+SUMIF($A:$A,52143,Q:Q)+SUMIF($A:$A,55142,Q:Q)+SUMIF($A:$A,56142,Q:Q)+SUMIF($A:$A,70142,Q:Q)</f>
        <v>188021.03000000032</v>
      </c>
      <c r="R271" s="275"/>
      <c r="S271" s="276">
        <f>S269 +S187+SUMIF($A:$A,52141,S:S)+SUMIF($A:$A,52142,S:S)+SUMIF($A:$A,52143,S:S)+SUMIF($A:$A,55142,S:S)+SUMIF($A:$A,56142,S:S)+SUMIF($A:$A,70142,S:S)</f>
        <v>198937.77999999994</v>
      </c>
      <c r="T271" s="275"/>
      <c r="U271" s="276">
        <f>U269 +U187+SUMIF($A:$A,52141,U:U)+SUMIF($A:$A,52142,U:U)+SUMIF($A:$A,52143,U:U)+SUMIF($A:$A,55142,U:U)+SUMIF($A:$A,56142,U:U)+SUMIF($A:$A,70142,U:U)</f>
        <v>316156.93999999989</v>
      </c>
      <c r="V271" s="275"/>
      <c r="W271" s="276">
        <f>W269 +W187+SUMIF($A:$A,52141,W:W)+SUMIF($A:$A,52142,W:W)+SUMIF($A:$A,52143,W:W)+SUMIF($A:$A,55142,W:W)+SUMIF($A:$A,56142,W:W)+SUMIF($A:$A,70142,W:W)</f>
        <v>382147.85000000033</v>
      </c>
      <c r="X271" s="275"/>
      <c r="Y271" s="276">
        <f>Y269 +Y187+SUMIF($A:$A,52141,Y:Y)+SUMIF($A:$A,52142,Y:Y)+SUMIF($A:$A,52143,Y:Y)+SUMIF($A:$A,55142,Y:Y)+SUMIF($A:$A,56142,Y:Y)+SUMIF($A:$A,70142,Y:Y)</f>
        <v>269579.81000000023</v>
      </c>
      <c r="Z271" s="275"/>
      <c r="AA271" s="276">
        <f>AA269 +AA187+SUMIF($A:$A,52141,AA:AA)+SUMIF($A:$A,52142,AA:AA)+SUMIF($A:$A,52143,AA:AA)+SUMIF($A:$A,55142,AA:AA)+SUMIF($A:$A,56142,AA:AA)+SUMIF($A:$A,70142,AA:AA)</f>
        <v>278106.93000000005</v>
      </c>
      <c r="AB271" s="275"/>
      <c r="AC271" s="276">
        <f>AC269 +AC187+SUMIF($A:$A,52141,AC:AC)+SUMIF($A:$A,52142,AC:AC)+SUMIF($A:$A,52143,AC:AC)+SUMIF($A:$A,55142,AC:AC)+SUMIF($A:$A,56142,AC:AC)+SUMIF($A:$A,70142,AC:AC)</f>
        <v>249129.60999999996</v>
      </c>
      <c r="AD271" s="275"/>
      <c r="AE271" s="276">
        <f>AE269 +AE187+SUMIF($A:$A,52141,AE:AE)+SUMIF($A:$A,52142,AE:AE)+SUMIF($A:$A,52143,AE:AE)+SUMIF($A:$A,55142,AE:AE)+SUMIF($A:$A,56142,AE:AE)+SUMIF($A:$A,70142,AE:AE)</f>
        <v>3421258.6999999955</v>
      </c>
      <c r="AF271" s="248">
        <f>IF(AE$50=0,0,AE271/AE$50)</f>
        <v>0.15319890217325668</v>
      </c>
      <c r="AG271" s="270"/>
    </row>
    <row r="272" spans="1:33" s="240" customFormat="1" ht="6.75" customHeight="1">
      <c r="G272" s="254"/>
      <c r="H272" s="254"/>
      <c r="I272" s="254"/>
      <c r="J272" s="254"/>
      <c r="K272" s="254"/>
      <c r="L272" s="254"/>
      <c r="M272" s="254"/>
      <c r="N272" s="254"/>
      <c r="O272" s="254"/>
      <c r="P272" s="254"/>
      <c r="Q272" s="254"/>
      <c r="R272" s="254"/>
      <c r="S272" s="254"/>
      <c r="T272" s="254"/>
      <c r="U272" s="254"/>
      <c r="V272" s="254"/>
      <c r="W272" s="254"/>
      <c r="X272" s="254"/>
      <c r="Y272" s="254"/>
      <c r="Z272" s="254"/>
      <c r="AA272" s="254"/>
      <c r="AB272" s="254"/>
      <c r="AC272" s="254"/>
      <c r="AD272" s="254"/>
      <c r="AE272" s="254"/>
      <c r="AF272" s="273"/>
      <c r="AG272" s="222"/>
    </row>
    <row r="273" spans="1:33" outlineLevel="1">
      <c r="A273" s="244">
        <v>51260</v>
      </c>
      <c r="B273" s="244" t="s">
        <v>843</v>
      </c>
      <c r="C273" s="245"/>
      <c r="D273" s="246"/>
      <c r="E273" s="240"/>
      <c r="F273" s="241"/>
      <c r="G273" s="247">
        <v>63546.28</v>
      </c>
      <c r="H273" s="241"/>
      <c r="I273" s="247">
        <v>62008.9</v>
      </c>
      <c r="J273" s="241"/>
      <c r="K273" s="247">
        <v>62213.34</v>
      </c>
      <c r="L273" s="241"/>
      <c r="M273" s="247">
        <v>62357.87</v>
      </c>
      <c r="N273" s="241"/>
      <c r="O273" s="247">
        <v>61675.21</v>
      </c>
      <c r="P273" s="241"/>
      <c r="Q273" s="247">
        <v>64948.28</v>
      </c>
      <c r="R273" s="241"/>
      <c r="S273" s="247">
        <v>64567</v>
      </c>
      <c r="T273" s="241"/>
      <c r="U273" s="247">
        <v>60890.18</v>
      </c>
      <c r="V273" s="241"/>
      <c r="W273" s="247">
        <v>60890.3</v>
      </c>
      <c r="X273" s="241"/>
      <c r="Y273" s="247">
        <v>58521.41</v>
      </c>
      <c r="Z273" s="241"/>
      <c r="AA273" s="247">
        <v>58521.4</v>
      </c>
      <c r="AB273" s="241"/>
      <c r="AC273" s="247">
        <v>58753.22</v>
      </c>
      <c r="AD273" s="241"/>
      <c r="AE273" s="247">
        <f t="shared" ref="AE273:AE276" si="26">AC273+AA273+Y273+W273+U273+S273+Q273+O273+M273+K273+I273+G273</f>
        <v>738893.39000000013</v>
      </c>
      <c r="AF273" s="248">
        <f t="shared" ref="AF273:AF276" si="27">IF(AE$50=0,0,AE273/AE$50)</f>
        <v>3.3086552668781279E-2</v>
      </c>
      <c r="AG273" s="249"/>
    </row>
    <row r="274" spans="1:33" outlineLevel="1">
      <c r="A274" s="244">
        <v>54260</v>
      </c>
      <c r="B274" s="244" t="s">
        <v>843</v>
      </c>
      <c r="C274" s="245"/>
      <c r="D274" s="246"/>
      <c r="E274" s="240"/>
      <c r="F274" s="241"/>
      <c r="G274" s="247">
        <v>15061.38</v>
      </c>
      <c r="H274" s="241"/>
      <c r="I274" s="247">
        <v>15061.38</v>
      </c>
      <c r="J274" s="241"/>
      <c r="K274" s="247">
        <v>15470.27</v>
      </c>
      <c r="L274" s="241"/>
      <c r="M274" s="247">
        <v>15119.42</v>
      </c>
      <c r="N274" s="241"/>
      <c r="O274" s="247">
        <v>16830.18</v>
      </c>
      <c r="P274" s="241"/>
      <c r="Q274" s="247">
        <v>14672.98</v>
      </c>
      <c r="R274" s="241"/>
      <c r="S274" s="247">
        <v>15065.78</v>
      </c>
      <c r="T274" s="241"/>
      <c r="U274" s="247">
        <v>15140.05</v>
      </c>
      <c r="V274" s="241"/>
      <c r="W274" s="247">
        <v>14587.14</v>
      </c>
      <c r="X274" s="241"/>
      <c r="Y274" s="247">
        <v>14515.02</v>
      </c>
      <c r="Z274" s="241"/>
      <c r="AA274" s="247">
        <v>14514.86</v>
      </c>
      <c r="AB274" s="241"/>
      <c r="AC274" s="247">
        <v>14497.32</v>
      </c>
      <c r="AD274" s="241"/>
      <c r="AE274" s="247">
        <f t="shared" si="26"/>
        <v>180535.78</v>
      </c>
      <c r="AF274" s="248">
        <f t="shared" si="27"/>
        <v>8.0841250908598727E-3</v>
      </c>
      <c r="AG274" s="249"/>
    </row>
    <row r="275" spans="1:33" outlineLevel="1">
      <c r="A275" s="244">
        <v>57260</v>
      </c>
      <c r="B275" s="244" t="s">
        <v>843</v>
      </c>
      <c r="C275" s="245"/>
      <c r="D275" s="246"/>
      <c r="E275" s="240"/>
      <c r="F275" s="241"/>
      <c r="G275" s="247">
        <v>56661.81</v>
      </c>
      <c r="H275" s="241"/>
      <c r="I275" s="247">
        <v>56661.77</v>
      </c>
      <c r="J275" s="241"/>
      <c r="K275" s="247">
        <v>56661.89</v>
      </c>
      <c r="L275" s="241"/>
      <c r="M275" s="247">
        <v>56661.79</v>
      </c>
      <c r="N275" s="241"/>
      <c r="O275" s="247">
        <v>56661.73</v>
      </c>
      <c r="P275" s="241"/>
      <c r="Q275" s="247">
        <v>56661.93</v>
      </c>
      <c r="R275" s="241"/>
      <c r="S275" s="247">
        <v>56661.78</v>
      </c>
      <c r="T275" s="241"/>
      <c r="U275" s="247">
        <v>56661.7</v>
      </c>
      <c r="V275" s="241"/>
      <c r="W275" s="247">
        <v>56661.919999999998</v>
      </c>
      <c r="X275" s="241"/>
      <c r="Y275" s="247">
        <v>56212.44</v>
      </c>
      <c r="Z275" s="241"/>
      <c r="AA275" s="247">
        <v>56212.36</v>
      </c>
      <c r="AB275" s="241"/>
      <c r="AC275" s="247">
        <v>56212.43</v>
      </c>
      <c r="AD275" s="241"/>
      <c r="AE275" s="247">
        <f t="shared" si="26"/>
        <v>678593.55</v>
      </c>
      <c r="AF275" s="248">
        <f t="shared" si="27"/>
        <v>3.0386415058835835E-2</v>
      </c>
      <c r="AG275" s="249"/>
    </row>
    <row r="276" spans="1:33" outlineLevel="1">
      <c r="A276" s="244">
        <v>70260</v>
      </c>
      <c r="B276" s="244" t="s">
        <v>843</v>
      </c>
      <c r="C276" s="245"/>
      <c r="D276" s="246"/>
      <c r="E276" s="240"/>
      <c r="F276" s="241"/>
      <c r="G276" s="247">
        <v>1517.87</v>
      </c>
      <c r="H276" s="241"/>
      <c r="I276" s="247">
        <v>1615.51</v>
      </c>
      <c r="J276" s="241"/>
      <c r="K276" s="247">
        <v>1854.33</v>
      </c>
      <c r="L276" s="241"/>
      <c r="M276" s="247">
        <v>685.54</v>
      </c>
      <c r="N276" s="241"/>
      <c r="O276" s="247">
        <v>650.23</v>
      </c>
      <c r="P276" s="241"/>
      <c r="Q276" s="247">
        <v>650.26</v>
      </c>
      <c r="R276" s="241"/>
      <c r="S276" s="247">
        <v>632.16999999999996</v>
      </c>
      <c r="T276" s="241"/>
      <c r="U276" s="247">
        <v>632.22</v>
      </c>
      <c r="V276" s="241"/>
      <c r="W276" s="247">
        <v>632.17999999999995</v>
      </c>
      <c r="X276" s="241"/>
      <c r="Y276" s="247">
        <v>632.19000000000005</v>
      </c>
      <c r="Z276" s="241"/>
      <c r="AA276" s="247">
        <v>632.19000000000005</v>
      </c>
      <c r="AB276" s="241"/>
      <c r="AC276" s="247">
        <v>687.91</v>
      </c>
      <c r="AD276" s="241"/>
      <c r="AE276" s="247">
        <f t="shared" si="26"/>
        <v>10822.599999999999</v>
      </c>
      <c r="AF276" s="248">
        <f t="shared" si="27"/>
        <v>4.8462001387392594E-4</v>
      </c>
      <c r="AG276" s="249"/>
    </row>
    <row r="277" spans="1:33" s="240" customFormat="1" ht="5.15" customHeight="1" outlineLevel="1">
      <c r="A277" s="245"/>
      <c r="B277" s="245"/>
      <c r="C277" s="245"/>
      <c r="D277" s="245"/>
      <c r="G277" s="255"/>
      <c r="H277" s="254"/>
      <c r="I277" s="255"/>
      <c r="J277" s="254"/>
      <c r="K277" s="255"/>
      <c r="L277" s="254"/>
      <c r="M277" s="255"/>
      <c r="N277" s="254"/>
      <c r="O277" s="255"/>
      <c r="P277" s="254"/>
      <c r="Q277" s="255"/>
      <c r="R277" s="254"/>
      <c r="S277" s="255"/>
      <c r="T277" s="254"/>
      <c r="U277" s="255"/>
      <c r="V277" s="254"/>
      <c r="W277" s="255"/>
      <c r="X277" s="254"/>
      <c r="Y277" s="255"/>
      <c r="Z277" s="254"/>
      <c r="AA277" s="255"/>
      <c r="AB277" s="254"/>
      <c r="AC277" s="255"/>
      <c r="AD277" s="254"/>
      <c r="AE277" s="255"/>
      <c r="AF277" s="273"/>
      <c r="AG277" s="222"/>
    </row>
    <row r="278" spans="1:33" s="240" customFormat="1" ht="15.5">
      <c r="C278" s="245" t="s">
        <v>843</v>
      </c>
      <c r="G278" s="252">
        <f>SUM(G273:G277)</f>
        <v>136787.34</v>
      </c>
      <c r="H278" s="254"/>
      <c r="I278" s="252">
        <f>SUM(I273:I277)</f>
        <v>135347.56</v>
      </c>
      <c r="J278" s="254"/>
      <c r="K278" s="252">
        <f>SUM(K273:K277)</f>
        <v>136199.82999999999</v>
      </c>
      <c r="L278" s="277">
        <f>IF(K$44=0,0,K278/K$44)</f>
        <v>0</v>
      </c>
      <c r="M278" s="252">
        <f>SUM(M273:M277)</f>
        <v>134824.62000000002</v>
      </c>
      <c r="N278" s="254"/>
      <c r="O278" s="252">
        <f>SUM(O273:O277)</f>
        <v>135817.35</v>
      </c>
      <c r="P278" s="254"/>
      <c r="Q278" s="252">
        <f>SUM(Q273:Q277)</f>
        <v>136933.45000000001</v>
      </c>
      <c r="R278" s="277">
        <f>IF(Q$44=0,0,Q278/Q$44)</f>
        <v>0</v>
      </c>
      <c r="S278" s="252">
        <f>SUM(S273:S277)</f>
        <v>136926.73000000001</v>
      </c>
      <c r="T278" s="254"/>
      <c r="U278" s="252">
        <f>SUM(U273:U277)</f>
        <v>133324.15</v>
      </c>
      <c r="V278" s="254"/>
      <c r="W278" s="252">
        <f>SUM(W273:W277)</f>
        <v>132771.53999999998</v>
      </c>
      <c r="X278" s="277">
        <f>IF(W$44=0,0,W278/W$44)</f>
        <v>0</v>
      </c>
      <c r="Y278" s="252">
        <f>SUM(Y273:Y277)</f>
        <v>129881.06000000001</v>
      </c>
      <c r="Z278" s="254"/>
      <c r="AA278" s="252">
        <f>SUM(AA273:AA277)</f>
        <v>129880.81000000001</v>
      </c>
      <c r="AB278" s="254"/>
      <c r="AC278" s="252">
        <f>SUM(AC273:AC277)</f>
        <v>130150.88</v>
      </c>
      <c r="AD278" s="277">
        <f>IF(AC$44=0,0,AC278/AC$44)</f>
        <v>0</v>
      </c>
      <c r="AE278" s="252">
        <f>SUM(G278,I278,K278,M278,O278,Q278,S278,U278,W278,Y278,AA278,AC278)</f>
        <v>1608845.3199999998</v>
      </c>
      <c r="AF278" s="248">
        <f>IF(AE$50=0,0,AE278/AE$50)</f>
        <v>7.2041712832350904E-2</v>
      </c>
      <c r="AG278" s="222"/>
    </row>
    <row r="279" spans="1:33" s="240" customFormat="1" ht="15.5" outlineLevel="1">
      <c r="C279" s="245"/>
      <c r="G279" s="254"/>
      <c r="H279" s="254"/>
      <c r="I279" s="254"/>
      <c r="J279" s="254"/>
      <c r="K279" s="254"/>
      <c r="L279" s="273"/>
      <c r="M279" s="254"/>
      <c r="N279" s="254"/>
      <c r="O279" s="254"/>
      <c r="P279" s="254"/>
      <c r="Q279" s="254"/>
      <c r="R279" s="273"/>
      <c r="S279" s="254"/>
      <c r="T279" s="254"/>
      <c r="U279" s="254"/>
      <c r="V279" s="254"/>
      <c r="W279" s="254"/>
      <c r="X279" s="273"/>
      <c r="Y279" s="254"/>
      <c r="Z279" s="254"/>
      <c r="AA279" s="254"/>
      <c r="AB279" s="254"/>
      <c r="AC279" s="254"/>
      <c r="AD279" s="273"/>
      <c r="AE279" s="254"/>
      <c r="AF279" s="273"/>
      <c r="AG279" s="222"/>
    </row>
    <row r="280" spans="1:33" customFormat="1" ht="14.5" outlineLevel="1"/>
    <row r="281" spans="1:33" s="240" customFormat="1" ht="5.15" customHeight="1" outlineLevel="1">
      <c r="A281" s="245"/>
      <c r="B281" s="245"/>
      <c r="C281" s="245"/>
      <c r="D281" s="245"/>
      <c r="G281" s="255"/>
      <c r="H281" s="254"/>
      <c r="I281" s="255"/>
      <c r="J281" s="254"/>
      <c r="K281" s="255"/>
      <c r="L281" s="273"/>
      <c r="M281" s="255"/>
      <c r="N281" s="254"/>
      <c r="O281" s="255"/>
      <c r="P281" s="254"/>
      <c r="Q281" s="255"/>
      <c r="R281" s="273"/>
      <c r="S281" s="255"/>
      <c r="T281" s="254"/>
      <c r="U281" s="255"/>
      <c r="V281" s="254"/>
      <c r="W281" s="255"/>
      <c r="X281" s="273"/>
      <c r="Y281" s="255"/>
      <c r="Z281" s="254"/>
      <c r="AA281" s="255"/>
      <c r="AB281" s="254"/>
      <c r="AC281" s="255"/>
      <c r="AD281" s="273"/>
      <c r="AE281" s="255"/>
      <c r="AF281" s="273"/>
      <c r="AG281" s="222"/>
    </row>
    <row r="282" spans="1:33" s="240" customFormat="1" ht="15.5">
      <c r="C282" s="244" t="s">
        <v>844</v>
      </c>
      <c r="G282" s="252">
        <f>SUM(G280:G281)</f>
        <v>0</v>
      </c>
      <c r="H282" s="254"/>
      <c r="I282" s="252">
        <f>SUM(I280:I281)</f>
        <v>0</v>
      </c>
      <c r="J282" s="254"/>
      <c r="K282" s="252">
        <f>SUM(K280:K281)</f>
        <v>0</v>
      </c>
      <c r="L282" s="277">
        <f>IF(K$44=0,0,K282/K$44)</f>
        <v>0</v>
      </c>
      <c r="M282" s="252">
        <f>SUM(M280:M281)</f>
        <v>0</v>
      </c>
      <c r="N282" s="254"/>
      <c r="O282" s="252">
        <f>SUM(O280:O281)</f>
        <v>0</v>
      </c>
      <c r="P282" s="254"/>
      <c r="Q282" s="252">
        <f>SUM(Q280:Q281)</f>
        <v>0</v>
      </c>
      <c r="R282" s="277">
        <f>IF(Q$44=0,0,Q282/Q$44)</f>
        <v>0</v>
      </c>
      <c r="S282" s="252">
        <f>SUM(S280:S281)</f>
        <v>0</v>
      </c>
      <c r="T282" s="254"/>
      <c r="U282" s="252">
        <f>SUM(U280:U281)</f>
        <v>0</v>
      </c>
      <c r="V282" s="254"/>
      <c r="W282" s="252">
        <f>SUM(W280:W281)</f>
        <v>0</v>
      </c>
      <c r="X282" s="277">
        <f>IF(W$44=0,0,W282/W$44)</f>
        <v>0</v>
      </c>
      <c r="Y282" s="252">
        <f>SUM(Y280:Y281)</f>
        <v>0</v>
      </c>
      <c r="Z282" s="254"/>
      <c r="AA282" s="252">
        <f>SUM(AA280:AA281)</f>
        <v>0</v>
      </c>
      <c r="AB282" s="254"/>
      <c r="AC282" s="252">
        <f>SUM(AC280:AC281)</f>
        <v>0</v>
      </c>
      <c r="AD282" s="277">
        <f>IF(AC$44=0,0,AC282/AC$44)</f>
        <v>0</v>
      </c>
      <c r="AE282" s="252">
        <f>SUM(G282,I282,K282)</f>
        <v>0</v>
      </c>
      <c r="AF282" s="248">
        <f>IF(AE$50=0,0,AE282/AE$50)</f>
        <v>0</v>
      </c>
      <c r="AG282" s="222"/>
    </row>
    <row r="283" spans="1:33" s="240" customFormat="1" ht="15.5" outlineLevel="1">
      <c r="G283" s="254"/>
      <c r="H283" s="254"/>
      <c r="I283" s="254"/>
      <c r="J283" s="254"/>
      <c r="K283" s="254"/>
      <c r="L283" s="273"/>
      <c r="M283" s="254"/>
      <c r="N283" s="254"/>
      <c r="O283" s="254"/>
      <c r="P283" s="254"/>
      <c r="Q283" s="254"/>
      <c r="R283" s="273"/>
      <c r="S283" s="254"/>
      <c r="T283" s="254"/>
      <c r="U283" s="254"/>
      <c r="V283" s="254"/>
      <c r="W283" s="254"/>
      <c r="X283" s="273"/>
      <c r="Y283" s="254"/>
      <c r="Z283" s="254"/>
      <c r="AA283" s="254"/>
      <c r="AB283" s="254"/>
      <c r="AC283" s="254"/>
      <c r="AD283" s="273"/>
      <c r="AE283" s="254"/>
      <c r="AF283" s="273"/>
      <c r="AG283" s="222"/>
    </row>
    <row r="284" spans="1:33" outlineLevel="1">
      <c r="A284" s="244"/>
      <c r="B284" s="244"/>
      <c r="C284" s="245"/>
      <c r="D284" s="246"/>
      <c r="E284" s="240"/>
      <c r="F284" s="241"/>
      <c r="G284" s="247"/>
      <c r="H284" s="241"/>
      <c r="I284" s="247"/>
      <c r="J284" s="241"/>
      <c r="K284" s="247"/>
      <c r="L284" s="241"/>
      <c r="M284" s="247"/>
      <c r="N284" s="241"/>
      <c r="O284" s="247"/>
      <c r="P284" s="241"/>
      <c r="Q284" s="247"/>
      <c r="R284" s="241"/>
      <c r="S284" s="247"/>
      <c r="T284" s="241"/>
      <c r="U284" s="247"/>
      <c r="V284" s="241"/>
      <c r="W284" s="247"/>
      <c r="X284" s="241"/>
      <c r="Y284" s="247"/>
      <c r="Z284" s="241"/>
      <c r="AA284" s="247"/>
      <c r="AB284" s="241"/>
      <c r="AC284" s="247"/>
      <c r="AD284" s="241"/>
      <c r="AE284" s="247"/>
      <c r="AF284" s="248"/>
      <c r="AG284" s="249"/>
    </row>
    <row r="285" spans="1:33" s="240" customFormat="1" ht="5.15" customHeight="1" outlineLevel="1">
      <c r="A285" s="245"/>
      <c r="B285" s="245"/>
      <c r="C285" s="245"/>
      <c r="D285" s="245"/>
      <c r="G285" s="255"/>
      <c r="H285" s="254"/>
      <c r="I285" s="255"/>
      <c r="J285" s="254"/>
      <c r="K285" s="255"/>
      <c r="L285" s="273"/>
      <c r="M285" s="255"/>
      <c r="N285" s="254"/>
      <c r="O285" s="255"/>
      <c r="P285" s="254"/>
      <c r="Q285" s="255"/>
      <c r="R285" s="273"/>
      <c r="S285" s="255"/>
      <c r="T285" s="254"/>
      <c r="U285" s="255"/>
      <c r="V285" s="254"/>
      <c r="W285" s="255"/>
      <c r="X285" s="273"/>
      <c r="Y285" s="255"/>
      <c r="Z285" s="254"/>
      <c r="AA285" s="255"/>
      <c r="AB285" s="254"/>
      <c r="AC285" s="255"/>
      <c r="AD285" s="273"/>
      <c r="AE285" s="255"/>
      <c r="AF285" s="273"/>
      <c r="AG285" s="222"/>
    </row>
    <row r="286" spans="1:33" s="240" customFormat="1" ht="15.5">
      <c r="C286" s="245" t="s">
        <v>845</v>
      </c>
      <c r="G286" s="252">
        <f>SUM(G284:G285)</f>
        <v>0</v>
      </c>
      <c r="H286" s="254"/>
      <c r="I286" s="252">
        <f>SUM(I284:I285)</f>
        <v>0</v>
      </c>
      <c r="J286" s="254"/>
      <c r="K286" s="252">
        <f>SUM(K284:K285)</f>
        <v>0</v>
      </c>
      <c r="L286" s="277">
        <f>IF(K$44=0,0,K286/K$44)</f>
        <v>0</v>
      </c>
      <c r="M286" s="252">
        <f>SUM(M284:M285)</f>
        <v>0</v>
      </c>
      <c r="N286" s="254"/>
      <c r="O286" s="252">
        <f>SUM(O284:O285)</f>
        <v>0</v>
      </c>
      <c r="P286" s="254"/>
      <c r="Q286" s="252">
        <f>SUM(Q284:Q285)</f>
        <v>0</v>
      </c>
      <c r="R286" s="277">
        <f>IF(Q$44=0,0,Q286/Q$44)</f>
        <v>0</v>
      </c>
      <c r="S286" s="252">
        <f>SUM(S284:S285)</f>
        <v>0</v>
      </c>
      <c r="T286" s="254"/>
      <c r="U286" s="252">
        <f>SUM(U284:U285)</f>
        <v>0</v>
      </c>
      <c r="V286" s="254"/>
      <c r="W286" s="252">
        <f>SUM(W284:W285)</f>
        <v>0</v>
      </c>
      <c r="X286" s="277">
        <f>IF(W$44=0,0,W286/W$44)</f>
        <v>0</v>
      </c>
      <c r="Y286" s="252">
        <f>SUM(Y284:Y285)</f>
        <v>0</v>
      </c>
      <c r="Z286" s="254"/>
      <c r="AA286" s="252">
        <f>SUM(AA284:AA285)</f>
        <v>0</v>
      </c>
      <c r="AB286" s="254"/>
      <c r="AC286" s="252">
        <f>SUM(AC284:AC285)</f>
        <v>0</v>
      </c>
      <c r="AD286" s="277">
        <f>IF(AC$44=0,0,AC286/AC$44)</f>
        <v>0</v>
      </c>
      <c r="AE286" s="252">
        <f>SUM(G286,I286,K286,M286,O286,Q286,S286,U286,W286,Y286,AA286,AC286)</f>
        <v>0</v>
      </c>
      <c r="AF286" s="248">
        <f>IF(AE$50=0,0,AE286/AE$50)</f>
        <v>0</v>
      </c>
      <c r="AG286" s="222"/>
    </row>
    <row r="287" spans="1:33" s="240" customFormat="1" ht="6.75" customHeight="1">
      <c r="G287" s="254"/>
      <c r="H287" s="254"/>
      <c r="I287" s="254"/>
      <c r="J287" s="254"/>
      <c r="K287" s="254"/>
      <c r="L287" s="273"/>
      <c r="M287" s="254"/>
      <c r="N287" s="254"/>
      <c r="O287" s="254"/>
      <c r="P287" s="254"/>
      <c r="Q287" s="254"/>
      <c r="R287" s="273"/>
      <c r="S287" s="254"/>
      <c r="T287" s="254"/>
      <c r="U287" s="254"/>
      <c r="V287" s="254"/>
      <c r="W287" s="254"/>
      <c r="X287" s="273"/>
      <c r="Y287" s="254"/>
      <c r="Z287" s="254"/>
      <c r="AA287" s="254"/>
      <c r="AB287" s="254"/>
      <c r="AC287" s="254"/>
      <c r="AD287" s="273"/>
      <c r="AE287" s="254"/>
      <c r="AF287" s="273"/>
      <c r="AG287" s="222"/>
    </row>
    <row r="288" spans="1:33" s="240" customFormat="1" ht="15.5">
      <c r="B288" s="257" t="s">
        <v>846</v>
      </c>
      <c r="G288" s="258">
        <f>+G278+G282+G286</f>
        <v>136787.34</v>
      </c>
      <c r="H288" s="254"/>
      <c r="I288" s="258">
        <f>+I278+I282+I286</f>
        <v>135347.56</v>
      </c>
      <c r="J288" s="254"/>
      <c r="K288" s="258">
        <f>+K278+K282+K286</f>
        <v>136199.82999999999</v>
      </c>
      <c r="L288" s="277">
        <f>IF(K$44=0,0,K288/K$44)</f>
        <v>0</v>
      </c>
      <c r="M288" s="258">
        <f>+M278+M282+M286</f>
        <v>134824.62000000002</v>
      </c>
      <c r="N288" s="254"/>
      <c r="O288" s="258">
        <f>+O278+O282+O286</f>
        <v>135817.35</v>
      </c>
      <c r="P288" s="254"/>
      <c r="Q288" s="258">
        <f>+Q278+Q282+Q286</f>
        <v>136933.45000000001</v>
      </c>
      <c r="R288" s="277">
        <f>IF(Q$44=0,0,Q288/Q$44)</f>
        <v>0</v>
      </c>
      <c r="S288" s="258">
        <f>+S278+S282+S286</f>
        <v>136926.73000000001</v>
      </c>
      <c r="T288" s="254"/>
      <c r="U288" s="258">
        <f>+U278+U282+U286</f>
        <v>133324.15</v>
      </c>
      <c r="V288" s="254"/>
      <c r="W288" s="258">
        <f>+W278+W282+W286</f>
        <v>132771.53999999998</v>
      </c>
      <c r="X288" s="277">
        <f>IF(W$44=0,0,W288/W$44)</f>
        <v>0</v>
      </c>
      <c r="Y288" s="258">
        <f>+Y278+Y282+Y286</f>
        <v>129881.06000000001</v>
      </c>
      <c r="Z288" s="254"/>
      <c r="AA288" s="258">
        <f>+AA278+AA282+AA286</f>
        <v>129880.81000000001</v>
      </c>
      <c r="AB288" s="254"/>
      <c r="AC288" s="258">
        <f>+AC278+AC282+AC286</f>
        <v>130150.88</v>
      </c>
      <c r="AD288" s="277">
        <f>IF(AC$44=0,0,AC288/AC$44)</f>
        <v>0</v>
      </c>
      <c r="AE288" s="258">
        <f>+AE278+AE282+AE286</f>
        <v>1608845.3199999998</v>
      </c>
      <c r="AF288" s="248">
        <f>IF(AE$50=0,0,AE288/AE$50)</f>
        <v>7.2041712832350904E-2</v>
      </c>
      <c r="AG288" s="222"/>
    </row>
    <row r="289" spans="1:33" s="240" customFormat="1" ht="6.75" customHeight="1">
      <c r="G289" s="254"/>
      <c r="H289" s="254"/>
      <c r="I289" s="254"/>
      <c r="J289" s="254"/>
      <c r="K289" s="254"/>
      <c r="L289" s="273"/>
      <c r="M289" s="254"/>
      <c r="N289" s="254"/>
      <c r="O289" s="254"/>
      <c r="P289" s="254"/>
      <c r="Q289" s="254"/>
      <c r="R289" s="273"/>
      <c r="S289" s="254"/>
      <c r="T289" s="254"/>
      <c r="U289" s="254"/>
      <c r="V289" s="254"/>
      <c r="W289" s="254"/>
      <c r="X289" s="273"/>
      <c r="Y289" s="254"/>
      <c r="Z289" s="254"/>
      <c r="AA289" s="254"/>
      <c r="AB289" s="254"/>
      <c r="AC289" s="254"/>
      <c r="AD289" s="273"/>
      <c r="AE289" s="254"/>
      <c r="AF289" s="273"/>
      <c r="AG289" s="222"/>
    </row>
    <row r="290" spans="1:33" s="240" customFormat="1" ht="15.5">
      <c r="B290" s="260" t="s">
        <v>847</v>
      </c>
      <c r="G290" s="258">
        <f>+G269-G288</f>
        <v>-150858.95999999996</v>
      </c>
      <c r="H290" s="254"/>
      <c r="I290" s="258">
        <f>+I269-I288</f>
        <v>448769.1700000001</v>
      </c>
      <c r="J290" s="254"/>
      <c r="K290" s="258">
        <f>+K269-K288</f>
        <v>7765.4100000001199</v>
      </c>
      <c r="L290" s="277">
        <f>IF(K$44=0,0,K290/K$44)</f>
        <v>0</v>
      </c>
      <c r="M290" s="258">
        <f>+M269-M288</f>
        <v>192463.19999999992</v>
      </c>
      <c r="N290" s="254"/>
      <c r="O290" s="258">
        <f>+O269-O288</f>
        <v>55253.989999999845</v>
      </c>
      <c r="P290" s="254"/>
      <c r="Q290" s="258">
        <f>+Q269-Q288</f>
        <v>-33502.279999999679</v>
      </c>
      <c r="R290" s="277">
        <f>IF(Q$44=0,0,Q290/Q$44)</f>
        <v>0</v>
      </c>
      <c r="S290" s="258">
        <f>+S269-S288</f>
        <v>-22663.340000000084</v>
      </c>
      <c r="T290" s="254"/>
      <c r="U290" s="258">
        <f>+U269-U288</f>
        <v>120739.84999999989</v>
      </c>
      <c r="V290" s="254"/>
      <c r="W290" s="258">
        <f>+W269-W288</f>
        <v>156048.7600000003</v>
      </c>
      <c r="X290" s="277">
        <f>IF(W$44=0,0,W290/W$44)</f>
        <v>0</v>
      </c>
      <c r="Y290" s="258">
        <f>+Y269-Y288</f>
        <v>-1548.4399999997549</v>
      </c>
      <c r="Z290" s="254"/>
      <c r="AA290" s="258">
        <f>+AA269-AA288</f>
        <v>94753.540000000052</v>
      </c>
      <c r="AB290" s="254"/>
      <c r="AC290" s="258">
        <f>+AC269-AC288</f>
        <v>67546.859999999957</v>
      </c>
      <c r="AD290" s="277">
        <f>IF(AC$44=0,0,AC290/AC$44)</f>
        <v>0</v>
      </c>
      <c r="AE290" s="258">
        <f>+AE269-AE288</f>
        <v>934767.75999999559</v>
      </c>
      <c r="AF290" s="248">
        <f>IF(AE$50=0,0,AE290/AE$50)</f>
        <v>4.1857517123435828E-2</v>
      </c>
      <c r="AG290" s="222"/>
    </row>
    <row r="291" spans="1:33" s="240" customFormat="1" ht="6.75" customHeight="1">
      <c r="G291" s="254"/>
      <c r="H291" s="254"/>
      <c r="I291" s="254"/>
      <c r="J291" s="254"/>
      <c r="K291" s="254"/>
      <c r="L291" s="273"/>
      <c r="M291" s="254"/>
      <c r="N291" s="254"/>
      <c r="O291" s="254"/>
      <c r="P291" s="254"/>
      <c r="Q291" s="254"/>
      <c r="R291" s="273"/>
      <c r="S291" s="254"/>
      <c r="T291" s="254"/>
      <c r="U291" s="254"/>
      <c r="V291" s="254"/>
      <c r="W291" s="254"/>
      <c r="X291" s="273"/>
      <c r="Y291" s="254"/>
      <c r="Z291" s="254"/>
      <c r="AA291" s="254"/>
      <c r="AB291" s="254"/>
      <c r="AC291" s="254"/>
      <c r="AD291" s="273"/>
      <c r="AE291" s="254"/>
      <c r="AF291" s="273"/>
      <c r="AG291" s="222"/>
    </row>
    <row r="292" spans="1:33" outlineLevel="1">
      <c r="A292" s="244"/>
      <c r="B292" s="244"/>
      <c r="C292" s="245"/>
      <c r="D292" s="246"/>
      <c r="E292" s="240"/>
      <c r="F292" s="241"/>
      <c r="G292" s="247"/>
      <c r="H292" s="241"/>
      <c r="I292" s="247"/>
      <c r="J292" s="241"/>
      <c r="K292" s="247"/>
      <c r="L292" s="241"/>
      <c r="M292" s="247"/>
      <c r="N292" s="241"/>
      <c r="O292" s="247"/>
      <c r="P292" s="241"/>
      <c r="Q292" s="247"/>
      <c r="R292" s="241"/>
      <c r="S292" s="247"/>
      <c r="T292" s="241"/>
      <c r="U292" s="247"/>
      <c r="V292" s="241"/>
      <c r="W292" s="247"/>
      <c r="X292" s="241"/>
      <c r="Y292" s="247"/>
      <c r="Z292" s="241"/>
      <c r="AA292" s="247"/>
      <c r="AB292" s="241"/>
      <c r="AC292" s="247"/>
      <c r="AD292" s="241"/>
      <c r="AE292" s="247"/>
      <c r="AF292" s="248"/>
      <c r="AG292" s="249"/>
    </row>
    <row r="293" spans="1:33" s="240" customFormat="1" ht="5.15" customHeight="1" outlineLevel="1">
      <c r="A293" s="245"/>
      <c r="B293" s="245"/>
      <c r="C293" s="245"/>
      <c r="D293" s="245"/>
      <c r="G293" s="255"/>
      <c r="H293" s="254"/>
      <c r="I293" s="255"/>
      <c r="J293" s="254"/>
      <c r="K293" s="255"/>
      <c r="L293" s="273"/>
      <c r="M293" s="255"/>
      <c r="N293" s="254"/>
      <c r="O293" s="255"/>
      <c r="P293" s="254"/>
      <c r="Q293" s="255"/>
      <c r="R293" s="273"/>
      <c r="S293" s="255"/>
      <c r="T293" s="254"/>
      <c r="U293" s="255"/>
      <c r="V293" s="254"/>
      <c r="W293" s="255"/>
      <c r="X293" s="273"/>
      <c r="Y293" s="255"/>
      <c r="Z293" s="254"/>
      <c r="AA293" s="255"/>
      <c r="AB293" s="254"/>
      <c r="AC293" s="255"/>
      <c r="AD293" s="273"/>
      <c r="AE293" s="255"/>
      <c r="AF293" s="273"/>
      <c r="AG293" s="222"/>
    </row>
    <row r="294" spans="1:33" s="240" customFormat="1" ht="15.5">
      <c r="C294" s="245" t="s">
        <v>848</v>
      </c>
      <c r="G294" s="252">
        <f>SUM(G292:G293)</f>
        <v>0</v>
      </c>
      <c r="H294" s="254"/>
      <c r="I294" s="252">
        <f>SUM(I292:I293)</f>
        <v>0</v>
      </c>
      <c r="J294" s="254"/>
      <c r="K294" s="252">
        <f>SUM(K292:K293)</f>
        <v>0</v>
      </c>
      <c r="L294" s="277">
        <f>IF(K$44=0,0,K294/K$44)</f>
        <v>0</v>
      </c>
      <c r="M294" s="252">
        <f>SUM(M292:M293)</f>
        <v>0</v>
      </c>
      <c r="N294" s="254"/>
      <c r="O294" s="252">
        <f>SUM(O292:O293)</f>
        <v>0</v>
      </c>
      <c r="P294" s="254"/>
      <c r="Q294" s="252">
        <f>SUM(Q292:Q293)</f>
        <v>0</v>
      </c>
      <c r="R294" s="277">
        <f>IF(Q$44=0,0,Q294/Q$44)</f>
        <v>0</v>
      </c>
      <c r="S294" s="252">
        <f>SUM(S292:S293)</f>
        <v>0</v>
      </c>
      <c r="T294" s="254"/>
      <c r="U294" s="252">
        <f>SUM(U292:U293)</f>
        <v>0</v>
      </c>
      <c r="V294" s="254"/>
      <c r="W294" s="252">
        <f>SUM(W292:W293)</f>
        <v>0</v>
      </c>
      <c r="X294" s="277">
        <f>IF(W$44=0,0,W294/W$44)</f>
        <v>0</v>
      </c>
      <c r="Y294" s="252">
        <f>SUM(Y292:Y293)</f>
        <v>0</v>
      </c>
      <c r="Z294" s="254"/>
      <c r="AA294" s="252">
        <f>SUM(AA292:AA293)</f>
        <v>0</v>
      </c>
      <c r="AB294" s="254"/>
      <c r="AC294" s="252">
        <f>SUM(AC292:AC293)</f>
        <v>0</v>
      </c>
      <c r="AD294" s="277">
        <f>IF(AC$44=0,0,AC294/AC$44)</f>
        <v>0</v>
      </c>
      <c r="AE294" s="252">
        <f>SUM(AE292:AE293)</f>
        <v>0</v>
      </c>
      <c r="AF294" s="248">
        <f>IF(AE$50=0,0,AE294/AE$50)</f>
        <v>0</v>
      </c>
      <c r="AG294" s="222"/>
    </row>
    <row r="295" spans="1:33" s="240" customFormat="1" ht="15.5" outlineLevel="1">
      <c r="G295" s="254"/>
      <c r="H295" s="254"/>
      <c r="I295" s="254"/>
      <c r="J295" s="254"/>
      <c r="K295" s="254"/>
      <c r="L295" s="273"/>
      <c r="M295" s="254"/>
      <c r="N295" s="254"/>
      <c r="O295" s="254"/>
      <c r="P295" s="254"/>
      <c r="Q295" s="254"/>
      <c r="R295" s="273"/>
      <c r="S295" s="254"/>
      <c r="T295" s="254"/>
      <c r="U295" s="254"/>
      <c r="V295" s="254"/>
      <c r="W295" s="254"/>
      <c r="X295" s="273"/>
      <c r="Y295" s="254"/>
      <c r="Z295" s="254"/>
      <c r="AA295" s="254"/>
      <c r="AB295" s="254"/>
      <c r="AC295" s="254"/>
      <c r="AD295" s="273"/>
      <c r="AE295" s="254"/>
      <c r="AF295" s="273"/>
      <c r="AG295" s="222"/>
    </row>
    <row r="296" spans="1:33" customFormat="1" ht="14.5" outlineLevel="1"/>
    <row r="297" spans="1:33" s="240" customFormat="1" ht="5.15" customHeight="1" outlineLevel="1">
      <c r="A297" s="245"/>
      <c r="B297" s="245"/>
      <c r="C297" s="245"/>
      <c r="D297" s="245"/>
      <c r="G297" s="255"/>
      <c r="H297" s="254"/>
      <c r="I297" s="255"/>
      <c r="J297" s="254"/>
      <c r="K297" s="255"/>
      <c r="L297" s="273"/>
      <c r="M297" s="255"/>
      <c r="N297" s="254"/>
      <c r="O297" s="255"/>
      <c r="P297" s="254"/>
      <c r="Q297" s="255"/>
      <c r="R297" s="273"/>
      <c r="S297" s="255"/>
      <c r="T297" s="254"/>
      <c r="U297" s="255"/>
      <c r="V297" s="254"/>
      <c r="W297" s="255"/>
      <c r="X297" s="273"/>
      <c r="Y297" s="255"/>
      <c r="Z297" s="254"/>
      <c r="AA297" s="255"/>
      <c r="AB297" s="254"/>
      <c r="AC297" s="255"/>
      <c r="AD297" s="273"/>
      <c r="AE297" s="255"/>
      <c r="AF297" s="273"/>
      <c r="AG297" s="222"/>
    </row>
    <row r="298" spans="1:33" s="240" customFormat="1" ht="15.5">
      <c r="C298" s="244" t="s">
        <v>849</v>
      </c>
      <c r="G298" s="252">
        <f>SUM(G296:G297)</f>
        <v>0</v>
      </c>
      <c r="H298" s="254"/>
      <c r="I298" s="252">
        <f>SUM(I296:I297)</f>
        <v>0</v>
      </c>
      <c r="J298" s="254"/>
      <c r="K298" s="252">
        <f>SUM(K296:K297)</f>
        <v>0</v>
      </c>
      <c r="L298" s="277">
        <f>IF(K$44=0,0,K298/K$44)</f>
        <v>0</v>
      </c>
      <c r="M298" s="252">
        <f>SUM(M296:M297)</f>
        <v>0</v>
      </c>
      <c r="N298" s="254"/>
      <c r="O298" s="252">
        <f>SUM(O296:O297)</f>
        <v>0</v>
      </c>
      <c r="P298" s="254"/>
      <c r="Q298" s="252">
        <f>SUM(Q296:Q297)</f>
        <v>0</v>
      </c>
      <c r="R298" s="277">
        <f>IF(Q$44=0,0,Q298/Q$44)</f>
        <v>0</v>
      </c>
      <c r="S298" s="252">
        <f>SUM(S296:S297)</f>
        <v>0</v>
      </c>
      <c r="T298" s="254"/>
      <c r="U298" s="252">
        <f>SUM(U296:U297)</f>
        <v>0</v>
      </c>
      <c r="V298" s="254"/>
      <c r="W298" s="252">
        <f>SUM(W296:W297)</f>
        <v>0</v>
      </c>
      <c r="X298" s="277">
        <f>IF(W$44=0,0,W298/W$44)</f>
        <v>0</v>
      </c>
      <c r="Y298" s="252">
        <f>SUM(Y296:Y297)</f>
        <v>0</v>
      </c>
      <c r="Z298" s="254"/>
      <c r="AA298" s="252">
        <f>SUM(AA296:AA297)</f>
        <v>0</v>
      </c>
      <c r="AB298" s="254"/>
      <c r="AC298" s="252">
        <f>SUM(AC296:AC297)</f>
        <v>0</v>
      </c>
      <c r="AD298" s="277">
        <f>IF(AC$44=0,0,AC298/AC$44)</f>
        <v>0</v>
      </c>
      <c r="AE298" s="252">
        <f>SUM(AE296:AE297)</f>
        <v>0</v>
      </c>
      <c r="AF298" s="248">
        <f>IF(AE$50=0,0,AE298/AE$50)</f>
        <v>0</v>
      </c>
      <c r="AG298" s="222"/>
    </row>
    <row r="299" spans="1:33" s="240" customFormat="1" ht="15.5" outlineLevel="1">
      <c r="G299" s="254"/>
      <c r="H299" s="254"/>
      <c r="I299" s="254"/>
      <c r="J299" s="254"/>
      <c r="K299" s="254"/>
      <c r="L299" s="273"/>
      <c r="M299" s="254"/>
      <c r="N299" s="254"/>
      <c r="O299" s="254"/>
      <c r="P299" s="254"/>
      <c r="Q299" s="254"/>
      <c r="R299" s="273"/>
      <c r="S299" s="254"/>
      <c r="T299" s="254"/>
      <c r="U299" s="254"/>
      <c r="V299" s="254"/>
      <c r="W299" s="254"/>
      <c r="X299" s="273"/>
      <c r="Y299" s="254"/>
      <c r="Z299" s="254"/>
      <c r="AA299" s="254"/>
      <c r="AB299" s="254"/>
      <c r="AC299" s="254"/>
      <c r="AD299" s="273"/>
      <c r="AE299" s="254"/>
      <c r="AF299" s="273"/>
      <c r="AG299" s="222"/>
    </row>
    <row r="300" spans="1:33" outlineLevel="1">
      <c r="A300" s="244"/>
      <c r="B300" s="244"/>
      <c r="C300" s="245"/>
      <c r="D300" s="246"/>
      <c r="E300" s="240"/>
      <c r="F300" s="241"/>
      <c r="G300" s="247"/>
      <c r="H300" s="241"/>
      <c r="I300" s="247"/>
      <c r="J300" s="241"/>
      <c r="K300" s="247"/>
      <c r="L300" s="241"/>
      <c r="M300" s="247"/>
      <c r="N300" s="241"/>
      <c r="O300" s="247"/>
      <c r="P300" s="241"/>
      <c r="Q300" s="247"/>
      <c r="R300" s="241"/>
      <c r="S300" s="247"/>
      <c r="T300" s="241"/>
      <c r="U300" s="247"/>
      <c r="V300" s="241"/>
      <c r="W300" s="247"/>
      <c r="X300" s="241"/>
      <c r="Y300" s="247"/>
      <c r="Z300" s="241"/>
      <c r="AA300" s="247"/>
      <c r="AB300" s="241"/>
      <c r="AC300" s="247"/>
      <c r="AD300" s="241"/>
      <c r="AE300" s="247"/>
      <c r="AF300" s="248"/>
      <c r="AG300" s="249"/>
    </row>
    <row r="301" spans="1:33" s="240" customFormat="1" ht="5.15" customHeight="1" outlineLevel="1">
      <c r="A301" s="245"/>
      <c r="B301" s="245"/>
      <c r="C301" s="245"/>
      <c r="D301" s="245"/>
      <c r="G301" s="255"/>
      <c r="H301" s="254"/>
      <c r="I301" s="255"/>
      <c r="J301" s="254"/>
      <c r="K301" s="255"/>
      <c r="L301" s="273"/>
      <c r="M301" s="255"/>
      <c r="N301" s="254"/>
      <c r="O301" s="255"/>
      <c r="P301" s="254"/>
      <c r="Q301" s="255"/>
      <c r="R301" s="273"/>
      <c r="S301" s="255"/>
      <c r="T301" s="254"/>
      <c r="U301" s="255"/>
      <c r="V301" s="254"/>
      <c r="W301" s="255"/>
      <c r="X301" s="273"/>
      <c r="Y301" s="255"/>
      <c r="Z301" s="254"/>
      <c r="AA301" s="255"/>
      <c r="AB301" s="254"/>
      <c r="AC301" s="255"/>
      <c r="AD301" s="273"/>
      <c r="AE301" s="255"/>
      <c r="AF301" s="273"/>
      <c r="AG301" s="222"/>
    </row>
    <row r="302" spans="1:33" s="240" customFormat="1" ht="15.5">
      <c r="C302" s="245" t="s">
        <v>850</v>
      </c>
      <c r="G302" s="252">
        <f>SUM(G300:G301)</f>
        <v>0</v>
      </c>
      <c r="H302" s="254"/>
      <c r="I302" s="252">
        <f>SUM(I300:I301)</f>
        <v>0</v>
      </c>
      <c r="J302" s="254"/>
      <c r="K302" s="252">
        <f>SUM(K300:K301)</f>
        <v>0</v>
      </c>
      <c r="L302" s="277">
        <f>IF(K$44=0,0,K302/K$44)</f>
        <v>0</v>
      </c>
      <c r="M302" s="252">
        <f>SUM(M300:M301)</f>
        <v>0</v>
      </c>
      <c r="N302" s="254"/>
      <c r="O302" s="252">
        <f>SUM(O300:O301)</f>
        <v>0</v>
      </c>
      <c r="P302" s="254"/>
      <c r="Q302" s="252">
        <f>SUM(Q300:Q301)</f>
        <v>0</v>
      </c>
      <c r="R302" s="277">
        <f>IF(Q$44=0,0,Q302/Q$44)</f>
        <v>0</v>
      </c>
      <c r="S302" s="252">
        <f>SUM(S300:S301)</f>
        <v>0</v>
      </c>
      <c r="T302" s="254"/>
      <c r="U302" s="252">
        <f>SUM(U300:U301)</f>
        <v>0</v>
      </c>
      <c r="V302" s="254"/>
      <c r="W302" s="252">
        <f>SUM(W300:W301)</f>
        <v>0</v>
      </c>
      <c r="X302" s="277">
        <f>IF(W$44=0,0,W302/W$44)</f>
        <v>0</v>
      </c>
      <c r="Y302" s="252">
        <f>SUM(Y300:Y301)</f>
        <v>0</v>
      </c>
      <c r="Z302" s="254"/>
      <c r="AA302" s="252">
        <f>SUM(AA300:AA301)</f>
        <v>0</v>
      </c>
      <c r="AB302" s="254"/>
      <c r="AC302" s="252">
        <f>SUM(AC300:AC301)</f>
        <v>0</v>
      </c>
      <c r="AD302" s="277">
        <f>IF(AC$44=0,0,AC302/AC$44)</f>
        <v>0</v>
      </c>
      <c r="AE302" s="252">
        <f>SUM(AE300:AE301)</f>
        <v>0</v>
      </c>
      <c r="AF302" s="248">
        <f>IF(AE$50=0,0,AE302/AE$50)</f>
        <v>0</v>
      </c>
      <c r="AG302" s="222"/>
    </row>
    <row r="303" spans="1:33" s="240" customFormat="1" ht="6.75" customHeight="1">
      <c r="G303" s="254"/>
      <c r="H303" s="254"/>
      <c r="I303" s="254"/>
      <c r="J303" s="254"/>
      <c r="K303" s="254"/>
      <c r="L303" s="273"/>
      <c r="M303" s="254"/>
      <c r="N303" s="254"/>
      <c r="O303" s="254"/>
      <c r="P303" s="254"/>
      <c r="Q303" s="254"/>
      <c r="R303" s="273"/>
      <c r="S303" s="254"/>
      <c r="T303" s="254"/>
      <c r="U303" s="254"/>
      <c r="V303" s="254"/>
      <c r="W303" s="254"/>
      <c r="X303" s="273"/>
      <c r="Y303" s="254"/>
      <c r="Z303" s="254"/>
      <c r="AA303" s="254"/>
      <c r="AB303" s="254"/>
      <c r="AC303" s="254"/>
      <c r="AD303" s="273"/>
      <c r="AE303" s="254"/>
      <c r="AF303" s="273"/>
      <c r="AG303" s="222"/>
    </row>
    <row r="304" spans="1:33" s="240" customFormat="1" ht="15.5">
      <c r="B304" s="257" t="s">
        <v>851</v>
      </c>
      <c r="G304" s="258">
        <f>+G290-G294-G298-G302</f>
        <v>-150858.95999999996</v>
      </c>
      <c r="H304" s="254"/>
      <c r="I304" s="258">
        <f>+I290-I294-I298-I302</f>
        <v>448769.1700000001</v>
      </c>
      <c r="J304" s="254"/>
      <c r="K304" s="258">
        <f>+K290-K294-K298-K302</f>
        <v>7765.4100000001199</v>
      </c>
      <c r="L304" s="277">
        <f>IF(K$44=0,0,K304/K$44)</f>
        <v>0</v>
      </c>
      <c r="M304" s="258">
        <f>+M290-M294-M298-M302</f>
        <v>192463.19999999992</v>
      </c>
      <c r="N304" s="254"/>
      <c r="O304" s="258">
        <f>+O290-O294-O298-O302</f>
        <v>55253.989999999845</v>
      </c>
      <c r="P304" s="254"/>
      <c r="Q304" s="258">
        <f>+Q290-Q294-Q298-Q302</f>
        <v>-33502.279999999679</v>
      </c>
      <c r="R304" s="277">
        <f>IF(Q$44=0,0,Q304/Q$44)</f>
        <v>0</v>
      </c>
      <c r="S304" s="258">
        <f>+S290-S294-S298-S302</f>
        <v>-22663.340000000084</v>
      </c>
      <c r="T304" s="254"/>
      <c r="U304" s="258">
        <f>+U290-U294-U298-U302</f>
        <v>120739.84999999989</v>
      </c>
      <c r="V304" s="254"/>
      <c r="W304" s="258">
        <f>+W290-W294-W298-W302</f>
        <v>156048.7600000003</v>
      </c>
      <c r="X304" s="277">
        <f>IF(W$44=0,0,W304/W$44)</f>
        <v>0</v>
      </c>
      <c r="Y304" s="258">
        <f>+Y290-Y294-Y298-Y302</f>
        <v>-1548.4399999997549</v>
      </c>
      <c r="Z304" s="254"/>
      <c r="AA304" s="258">
        <f>+AA290-AA294-AA298-AA302</f>
        <v>94753.540000000052</v>
      </c>
      <c r="AB304" s="254"/>
      <c r="AC304" s="258">
        <f>+AC290-AC294-AC298-AC302</f>
        <v>67546.859999999957</v>
      </c>
      <c r="AD304" s="277">
        <f>IF(AC$44=0,0,AC304/AC$44)</f>
        <v>0</v>
      </c>
      <c r="AE304" s="258">
        <f>+AE290-AE294-AE298-AE302</f>
        <v>934767.75999999559</v>
      </c>
      <c r="AF304" s="248">
        <f>IF(AE$50=0,0,AE304/AE$50)</f>
        <v>4.1857517123435828E-2</v>
      </c>
      <c r="AG304" s="222"/>
    </row>
    <row r="305" spans="1:33" s="240" customFormat="1" ht="6.75" customHeight="1">
      <c r="G305" s="254"/>
      <c r="H305" s="254"/>
      <c r="I305" s="254"/>
      <c r="J305" s="254"/>
      <c r="K305" s="254"/>
      <c r="L305" s="273"/>
      <c r="M305" s="254"/>
      <c r="N305" s="254"/>
      <c r="O305" s="254"/>
      <c r="P305" s="254"/>
      <c r="Q305" s="254"/>
      <c r="R305" s="273"/>
      <c r="S305" s="254"/>
      <c r="T305" s="254"/>
      <c r="U305" s="254"/>
      <c r="V305" s="254"/>
      <c r="W305" s="254"/>
      <c r="X305" s="273"/>
      <c r="Y305" s="254"/>
      <c r="Z305" s="254"/>
      <c r="AA305" s="254"/>
      <c r="AB305" s="254"/>
      <c r="AC305" s="254"/>
      <c r="AD305" s="273"/>
      <c r="AE305" s="254"/>
      <c r="AF305" s="273"/>
      <c r="AG305" s="222"/>
    </row>
    <row r="306" spans="1:33" customFormat="1" ht="14.5" outlineLevel="1"/>
    <row r="307" spans="1:33" s="240" customFormat="1" ht="5.15" customHeight="1" outlineLevel="1">
      <c r="A307" s="245"/>
      <c r="B307" s="245"/>
      <c r="C307" s="245"/>
      <c r="D307" s="245"/>
      <c r="G307" s="255"/>
      <c r="H307" s="254"/>
      <c r="I307" s="255"/>
      <c r="J307" s="254"/>
      <c r="K307" s="255"/>
      <c r="L307" s="273"/>
      <c r="M307" s="255"/>
      <c r="N307" s="254"/>
      <c r="O307" s="255"/>
      <c r="P307" s="254"/>
      <c r="Q307" s="255"/>
      <c r="R307" s="273"/>
      <c r="S307" s="255"/>
      <c r="T307" s="254"/>
      <c r="U307" s="255"/>
      <c r="V307" s="254"/>
      <c r="W307" s="255"/>
      <c r="X307" s="273"/>
      <c r="Y307" s="255"/>
      <c r="Z307" s="254"/>
      <c r="AA307" s="255"/>
      <c r="AB307" s="254"/>
      <c r="AC307" s="255"/>
      <c r="AD307" s="273"/>
      <c r="AE307" s="255"/>
      <c r="AF307" s="273"/>
      <c r="AG307" s="222"/>
    </row>
    <row r="308" spans="1:33" s="240" customFormat="1" ht="15.5">
      <c r="C308" s="244" t="s">
        <v>852</v>
      </c>
      <c r="G308" s="252">
        <f>SUM(G306:G307)</f>
        <v>0</v>
      </c>
      <c r="H308" s="254"/>
      <c r="I308" s="252">
        <f>SUM(I306:I307)</f>
        <v>0</v>
      </c>
      <c r="J308" s="254"/>
      <c r="K308" s="252">
        <f>SUM(K306:K307)</f>
        <v>0</v>
      </c>
      <c r="L308" s="277">
        <f>IF(K$44=0,0,K308/K$44)</f>
        <v>0</v>
      </c>
      <c r="M308" s="252">
        <f>SUM(M306:M307)</f>
        <v>0</v>
      </c>
      <c r="N308" s="254"/>
      <c r="O308" s="252">
        <f>SUM(O306:O307)</f>
        <v>0</v>
      </c>
      <c r="P308" s="254"/>
      <c r="Q308" s="252">
        <f>SUM(Q306:Q307)</f>
        <v>0</v>
      </c>
      <c r="R308" s="277">
        <f>IF(Q$44=0,0,Q308/Q$44)</f>
        <v>0</v>
      </c>
      <c r="S308" s="252">
        <f>SUM(S306:S307)</f>
        <v>0</v>
      </c>
      <c r="T308" s="254"/>
      <c r="U308" s="252">
        <f>SUM(U306:U307)</f>
        <v>0</v>
      </c>
      <c r="V308" s="254"/>
      <c r="W308" s="252">
        <f>SUM(W306:W307)</f>
        <v>0</v>
      </c>
      <c r="X308" s="277">
        <f>IF(W$44=0,0,W308/W$44)</f>
        <v>0</v>
      </c>
      <c r="Y308" s="252">
        <f>SUM(Y306:Y307)</f>
        <v>0</v>
      </c>
      <c r="Z308" s="254"/>
      <c r="AA308" s="252">
        <f>SUM(AA306:AA307)</f>
        <v>0</v>
      </c>
      <c r="AB308" s="254"/>
      <c r="AC308" s="252">
        <f>SUM(AC306:AC307)</f>
        <v>0</v>
      </c>
      <c r="AD308" s="277">
        <f>IF(AC$44=0,0,AC308/AC$44)</f>
        <v>0</v>
      </c>
      <c r="AE308" s="252">
        <f>SUM(AE306:AE307)</f>
        <v>0</v>
      </c>
      <c r="AF308" s="248">
        <f>IF(AE$50=0,0,AE308/AE$50)</f>
        <v>0</v>
      </c>
      <c r="AG308" s="222"/>
    </row>
    <row r="309" spans="1:33" s="240" customFormat="1" ht="6.75" customHeight="1">
      <c r="G309" s="254"/>
      <c r="H309" s="254"/>
      <c r="I309" s="254"/>
      <c r="J309" s="254"/>
      <c r="K309" s="254"/>
      <c r="L309" s="273"/>
      <c r="M309" s="254"/>
      <c r="N309" s="254"/>
      <c r="O309" s="254"/>
      <c r="P309" s="254"/>
      <c r="Q309" s="254"/>
      <c r="R309" s="273"/>
      <c r="S309" s="254"/>
      <c r="T309" s="254"/>
      <c r="U309" s="254"/>
      <c r="V309" s="254"/>
      <c r="W309" s="254"/>
      <c r="X309" s="273"/>
      <c r="Y309" s="254"/>
      <c r="Z309" s="254"/>
      <c r="AA309" s="254"/>
      <c r="AB309" s="254"/>
      <c r="AC309" s="254"/>
      <c r="AD309" s="273"/>
      <c r="AE309" s="254"/>
      <c r="AF309" s="273"/>
      <c r="AG309" s="222"/>
    </row>
    <row r="310" spans="1:33" s="240" customFormat="1" ht="15.5">
      <c r="B310" s="257" t="s">
        <v>853</v>
      </c>
      <c r="G310" s="258">
        <f>+G304-G308</f>
        <v>-150858.95999999996</v>
      </c>
      <c r="H310" s="254"/>
      <c r="I310" s="258">
        <f>+I304-I308</f>
        <v>448769.1700000001</v>
      </c>
      <c r="J310" s="254"/>
      <c r="K310" s="258">
        <f>+K304-K308</f>
        <v>7765.4100000001199</v>
      </c>
      <c r="L310" s="277">
        <f>IF(K$44=0,0,K310/K$44)</f>
        <v>0</v>
      </c>
      <c r="M310" s="258">
        <f>+M304-M308</f>
        <v>192463.19999999992</v>
      </c>
      <c r="N310" s="254"/>
      <c r="O310" s="258">
        <f>+O304-O308</f>
        <v>55253.989999999845</v>
      </c>
      <c r="P310" s="254"/>
      <c r="Q310" s="258">
        <f>+Q304-Q308</f>
        <v>-33502.279999999679</v>
      </c>
      <c r="R310" s="277">
        <f>IF(Q$44=0,0,Q310/Q$44)</f>
        <v>0</v>
      </c>
      <c r="S310" s="258">
        <f>+S304-S308</f>
        <v>-22663.340000000084</v>
      </c>
      <c r="T310" s="254"/>
      <c r="U310" s="258">
        <f>+U304-U308</f>
        <v>120739.84999999989</v>
      </c>
      <c r="V310" s="254"/>
      <c r="W310" s="258">
        <f>+W304-W308</f>
        <v>156048.7600000003</v>
      </c>
      <c r="X310" s="277">
        <f>IF(W$44=0,0,W310/W$44)</f>
        <v>0</v>
      </c>
      <c r="Y310" s="258">
        <f>+Y304-Y308</f>
        <v>-1548.4399999997549</v>
      </c>
      <c r="Z310" s="254"/>
      <c r="AA310" s="258">
        <f>+AA304-AA308</f>
        <v>94753.540000000052</v>
      </c>
      <c r="AB310" s="254"/>
      <c r="AC310" s="258">
        <f>+AC304-AC308</f>
        <v>67546.859999999957</v>
      </c>
      <c r="AD310" s="277">
        <f>IF(AC$44=0,0,AC310/AC$44)</f>
        <v>0</v>
      </c>
      <c r="AE310" s="258">
        <f>+AE304-AE308</f>
        <v>934767.75999999559</v>
      </c>
      <c r="AF310" s="248">
        <f>IF(AE$50=0,0,AE310/AE$50)</f>
        <v>4.1857517123435828E-2</v>
      </c>
      <c r="AG310" s="222"/>
    </row>
    <row r="311" spans="1:33" ht="6.75" customHeight="1">
      <c r="G311" s="278"/>
      <c r="H311" s="278"/>
      <c r="I311" s="278"/>
      <c r="J311" s="278"/>
      <c r="K311" s="278"/>
      <c r="L311" s="273"/>
      <c r="M311" s="278"/>
      <c r="N311" s="278"/>
      <c r="O311" s="278"/>
      <c r="P311" s="278"/>
      <c r="Q311" s="278"/>
      <c r="R311" s="273"/>
      <c r="S311" s="278"/>
      <c r="T311" s="278"/>
      <c r="U311" s="278"/>
      <c r="V311" s="278"/>
      <c r="W311" s="278"/>
      <c r="X311" s="273"/>
      <c r="Y311" s="278"/>
      <c r="Z311" s="278"/>
      <c r="AA311" s="278"/>
      <c r="AB311" s="278"/>
      <c r="AC311" s="278"/>
      <c r="AD311" s="273"/>
      <c r="AE311" s="278"/>
      <c r="AF311" s="273"/>
      <c r="AG311" s="222"/>
    </row>
    <row r="312" spans="1:33" customFormat="1" ht="14.5" outlineLevel="1"/>
    <row r="313" spans="1:33" s="240" customFormat="1" ht="5.15" customHeight="1" outlineLevel="1">
      <c r="A313" s="245"/>
      <c r="B313" s="245"/>
      <c r="C313" s="245"/>
      <c r="D313" s="245"/>
      <c r="G313" s="255"/>
      <c r="H313" s="254"/>
      <c r="I313" s="255"/>
      <c r="J313" s="254"/>
      <c r="K313" s="255"/>
      <c r="L313" s="273"/>
      <c r="M313" s="255"/>
      <c r="N313" s="254"/>
      <c r="O313" s="255"/>
      <c r="P313" s="254"/>
      <c r="Q313" s="255"/>
      <c r="R313" s="273"/>
      <c r="S313" s="255"/>
      <c r="T313" s="254"/>
      <c r="U313" s="255"/>
      <c r="V313" s="254"/>
      <c r="W313" s="255"/>
      <c r="X313" s="273"/>
      <c r="Y313" s="255"/>
      <c r="Z313" s="254"/>
      <c r="AA313" s="255"/>
      <c r="AB313" s="254"/>
      <c r="AC313" s="255"/>
      <c r="AD313" s="273"/>
      <c r="AE313" s="255"/>
      <c r="AF313" s="273"/>
      <c r="AG313" s="222"/>
    </row>
    <row r="314" spans="1:33" s="240" customFormat="1" ht="15.5">
      <c r="C314" s="244" t="s">
        <v>854</v>
      </c>
      <c r="G314" s="252">
        <f>SUM(G312:G313)</f>
        <v>0</v>
      </c>
      <c r="H314" s="254"/>
      <c r="I314" s="252">
        <f>SUM(I312:I313)</f>
        <v>0</v>
      </c>
      <c r="J314" s="254"/>
      <c r="K314" s="252">
        <f>SUM(K312:K313)</f>
        <v>0</v>
      </c>
      <c r="L314" s="277">
        <f>IF(K$44=0,0,K314/K$44)</f>
        <v>0</v>
      </c>
      <c r="M314" s="252">
        <f>SUM(M312:M313)</f>
        <v>0</v>
      </c>
      <c r="N314" s="254"/>
      <c r="O314" s="252">
        <f>SUM(O312:O313)</f>
        <v>0</v>
      </c>
      <c r="P314" s="254"/>
      <c r="Q314" s="252">
        <f>SUM(Q312:Q313)</f>
        <v>0</v>
      </c>
      <c r="R314" s="277">
        <f>IF(Q$44=0,0,Q314/Q$44)</f>
        <v>0</v>
      </c>
      <c r="S314" s="252">
        <f>SUM(S312:S313)</f>
        <v>0</v>
      </c>
      <c r="T314" s="254"/>
      <c r="U314" s="252">
        <f>SUM(U312:U313)</f>
        <v>0</v>
      </c>
      <c r="V314" s="254"/>
      <c r="W314" s="252">
        <f>SUM(W312:W313)</f>
        <v>0</v>
      </c>
      <c r="X314" s="277">
        <f>IF(W$44=0,0,W314/W$44)</f>
        <v>0</v>
      </c>
      <c r="Y314" s="252">
        <f>SUM(Y312:Y313)</f>
        <v>0</v>
      </c>
      <c r="Z314" s="254"/>
      <c r="AA314" s="252">
        <f>SUM(AA312:AA313)</f>
        <v>0</v>
      </c>
      <c r="AB314" s="254"/>
      <c r="AC314" s="252">
        <f>SUM(AC312:AC313)</f>
        <v>0</v>
      </c>
      <c r="AD314" s="277">
        <f>IF(AC$44=0,0,AC314/AC$44)</f>
        <v>0</v>
      </c>
      <c r="AE314" s="252">
        <f>SUM(AE312:AE313)</f>
        <v>0</v>
      </c>
      <c r="AF314" s="248">
        <f>IF(AE$50=0,0,AE314/AE$50)</f>
        <v>0</v>
      </c>
      <c r="AG314" s="222"/>
    </row>
    <row r="315" spans="1:33" s="240" customFormat="1" ht="6.75" customHeight="1">
      <c r="G315" s="254"/>
      <c r="H315" s="254"/>
      <c r="I315" s="254"/>
      <c r="J315" s="254"/>
      <c r="K315" s="254"/>
      <c r="L315" s="273"/>
      <c r="M315" s="254"/>
      <c r="N315" s="254"/>
      <c r="O315" s="254"/>
      <c r="P315" s="254"/>
      <c r="Q315" s="254"/>
      <c r="R315" s="273"/>
      <c r="S315" s="254"/>
      <c r="T315" s="254"/>
      <c r="U315" s="254"/>
      <c r="V315" s="254"/>
      <c r="W315" s="254"/>
      <c r="X315" s="273"/>
      <c r="Y315" s="254"/>
      <c r="Z315" s="254"/>
      <c r="AA315" s="254"/>
      <c r="AB315" s="254"/>
      <c r="AC315" s="254"/>
      <c r="AD315" s="273"/>
      <c r="AE315" s="254"/>
      <c r="AF315" s="273"/>
      <c r="AG315" s="222"/>
    </row>
    <row r="316" spans="1:33" s="240" customFormat="1" ht="15.5">
      <c r="B316" s="257" t="s">
        <v>855</v>
      </c>
      <c r="G316" s="258">
        <f>+G310-G314</f>
        <v>-150858.95999999996</v>
      </c>
      <c r="H316" s="254"/>
      <c r="I316" s="258">
        <f>+I310-I314</f>
        <v>448769.1700000001</v>
      </c>
      <c r="J316" s="254"/>
      <c r="K316" s="258">
        <f>+K310-K314</f>
        <v>7765.4100000001199</v>
      </c>
      <c r="L316" s="277">
        <f>IF(K$44=0,0,K316/K$44)</f>
        <v>0</v>
      </c>
      <c r="M316" s="258">
        <f>+M310-M314</f>
        <v>192463.19999999992</v>
      </c>
      <c r="N316" s="254"/>
      <c r="O316" s="258">
        <f>+O310-O314</f>
        <v>55253.989999999845</v>
      </c>
      <c r="P316" s="254"/>
      <c r="Q316" s="258">
        <f>+Q310-Q314</f>
        <v>-33502.279999999679</v>
      </c>
      <c r="R316" s="277">
        <f>IF(Q$44=0,0,Q316/Q$44)</f>
        <v>0</v>
      </c>
      <c r="S316" s="258">
        <f>+S310-S314</f>
        <v>-22663.340000000084</v>
      </c>
      <c r="T316" s="254"/>
      <c r="U316" s="258">
        <f>+U310-U314</f>
        <v>120739.84999999989</v>
      </c>
      <c r="V316" s="254"/>
      <c r="W316" s="258">
        <f>+W310-W314</f>
        <v>156048.7600000003</v>
      </c>
      <c r="X316" s="277">
        <f>IF(W$44=0,0,W316/W$44)</f>
        <v>0</v>
      </c>
      <c r="Y316" s="258">
        <f>+Y310-Y314</f>
        <v>-1548.4399999997549</v>
      </c>
      <c r="Z316" s="254"/>
      <c r="AA316" s="258">
        <f>+AA310-AA314</f>
        <v>94753.540000000052</v>
      </c>
      <c r="AB316" s="254"/>
      <c r="AC316" s="258">
        <f>+AC310-AC314</f>
        <v>67546.859999999957</v>
      </c>
      <c r="AD316" s="277">
        <f>IF(AC$44=0,0,AC316/AC$44)</f>
        <v>0</v>
      </c>
      <c r="AE316" s="258">
        <f>+AE310-AE314</f>
        <v>934767.75999999559</v>
      </c>
      <c r="AF316" s="248">
        <f>IF(AE$50=0,0,AE316/AE$50)</f>
        <v>4.1857517123435828E-2</v>
      </c>
      <c r="AG316" s="222"/>
    </row>
    <row r="317" spans="1:33" s="240" customFormat="1" ht="6.75" customHeight="1">
      <c r="G317" s="254"/>
      <c r="H317" s="254"/>
      <c r="I317" s="254"/>
      <c r="J317" s="254"/>
      <c r="K317" s="254"/>
      <c r="L317" s="273"/>
      <c r="M317" s="254"/>
      <c r="N317" s="254"/>
      <c r="O317" s="254"/>
      <c r="P317" s="254"/>
      <c r="Q317" s="254"/>
      <c r="R317" s="273"/>
      <c r="S317" s="254"/>
      <c r="T317" s="254"/>
      <c r="U317" s="254"/>
      <c r="V317" s="254"/>
      <c r="W317" s="254"/>
      <c r="X317" s="273"/>
      <c r="Y317" s="254"/>
      <c r="Z317" s="254"/>
      <c r="AA317" s="254"/>
      <c r="AB317" s="254"/>
      <c r="AC317" s="254"/>
      <c r="AD317" s="273"/>
      <c r="AE317" s="254"/>
      <c r="AF317" s="273"/>
      <c r="AG317" s="222"/>
    </row>
    <row r="318" spans="1:33" customFormat="1" ht="14.5" outlineLevel="1"/>
    <row r="319" spans="1:33" s="240" customFormat="1" ht="5.15" customHeight="1" outlineLevel="1">
      <c r="A319" s="245"/>
      <c r="B319" s="245"/>
      <c r="C319" s="245"/>
      <c r="D319" s="245"/>
      <c r="G319" s="255"/>
      <c r="H319" s="254"/>
      <c r="I319" s="255"/>
      <c r="J319" s="254"/>
      <c r="K319" s="255"/>
      <c r="L319" s="273"/>
      <c r="M319" s="255"/>
      <c r="N319" s="254"/>
      <c r="O319" s="255"/>
      <c r="P319" s="254"/>
      <c r="Q319" s="255"/>
      <c r="R319" s="273"/>
      <c r="S319" s="255"/>
      <c r="T319" s="254"/>
      <c r="U319" s="255"/>
      <c r="V319" s="254"/>
      <c r="W319" s="255"/>
      <c r="X319" s="273"/>
      <c r="Y319" s="255"/>
      <c r="Z319" s="254"/>
      <c r="AA319" s="255"/>
      <c r="AB319" s="254"/>
      <c r="AC319" s="255"/>
      <c r="AD319" s="273"/>
      <c r="AE319" s="255"/>
      <c r="AF319" s="273"/>
      <c r="AG319" s="222"/>
    </row>
    <row r="320" spans="1:33" s="240" customFormat="1" ht="15.5">
      <c r="C320" s="244" t="s">
        <v>856</v>
      </c>
      <c r="G320" s="252">
        <f>SUM(G318:G319)</f>
        <v>0</v>
      </c>
      <c r="H320" s="254"/>
      <c r="I320" s="252">
        <f>SUM(I318:I319)</f>
        <v>0</v>
      </c>
      <c r="J320" s="254"/>
      <c r="K320" s="252">
        <f>SUM(K318:K319)</f>
        <v>0</v>
      </c>
      <c r="L320" s="277">
        <f>IF(K$44=0,0,K320/K$44)</f>
        <v>0</v>
      </c>
      <c r="M320" s="252">
        <f>SUM(M318:M319)</f>
        <v>0</v>
      </c>
      <c r="N320" s="254"/>
      <c r="O320" s="252">
        <f>SUM(O318:O319)</f>
        <v>0</v>
      </c>
      <c r="P320" s="254"/>
      <c r="Q320" s="252">
        <f>SUM(Q318:Q319)</f>
        <v>0</v>
      </c>
      <c r="R320" s="277">
        <f>IF(Q$44=0,0,Q320/Q$44)</f>
        <v>0</v>
      </c>
      <c r="S320" s="252">
        <f>SUM(S318:S319)</f>
        <v>0</v>
      </c>
      <c r="T320" s="254"/>
      <c r="U320" s="252">
        <f>SUM(U318:U319)</f>
        <v>0</v>
      </c>
      <c r="V320" s="254"/>
      <c r="W320" s="252">
        <f>SUM(W318:W319)</f>
        <v>0</v>
      </c>
      <c r="X320" s="277">
        <f>IF(W$44=0,0,W320/W$44)</f>
        <v>0</v>
      </c>
      <c r="Y320" s="252">
        <f>SUM(Y318:Y319)</f>
        <v>0</v>
      </c>
      <c r="Z320" s="254"/>
      <c r="AA320" s="252">
        <f>SUM(AA318:AA319)</f>
        <v>0</v>
      </c>
      <c r="AB320" s="254"/>
      <c r="AC320" s="252">
        <f>SUM(AC318:AC319)</f>
        <v>0</v>
      </c>
      <c r="AD320" s="277">
        <f>IF(AC$44=0,0,AC320/AC$44)</f>
        <v>0</v>
      </c>
      <c r="AE320" s="252">
        <f>SUM(AE318:AE319)</f>
        <v>0</v>
      </c>
      <c r="AF320" s="248">
        <f>IF(AE$50=0,0,AE320/AE$50)</f>
        <v>0</v>
      </c>
      <c r="AG320" s="222"/>
    </row>
    <row r="321" spans="1:33" s="240" customFormat="1" ht="6.75" customHeight="1">
      <c r="G321" s="254"/>
      <c r="H321" s="254"/>
      <c r="I321" s="254"/>
      <c r="J321" s="254"/>
      <c r="K321" s="254"/>
      <c r="L321" s="273"/>
      <c r="M321" s="254"/>
      <c r="N321" s="254"/>
      <c r="O321" s="254"/>
      <c r="P321" s="254"/>
      <c r="Q321" s="254"/>
      <c r="R321" s="273"/>
      <c r="S321" s="254"/>
      <c r="T321" s="254"/>
      <c r="U321" s="254"/>
      <c r="V321" s="254"/>
      <c r="W321" s="254"/>
      <c r="X321" s="273"/>
      <c r="Y321" s="254"/>
      <c r="Z321" s="254"/>
      <c r="AA321" s="254"/>
      <c r="AB321" s="254"/>
      <c r="AC321" s="254"/>
      <c r="AD321" s="273"/>
      <c r="AE321" s="254"/>
      <c r="AF321" s="273"/>
      <c r="AG321" s="222"/>
    </row>
    <row r="322" spans="1:33" s="240" customFormat="1" ht="16" thickBot="1">
      <c r="B322" s="257" t="s">
        <v>857</v>
      </c>
      <c r="G322" s="279">
        <f>+G316-G320</f>
        <v>-150858.95999999996</v>
      </c>
      <c r="H322" s="254"/>
      <c r="I322" s="279">
        <f>+I316-I320</f>
        <v>448769.1700000001</v>
      </c>
      <c r="J322" s="254"/>
      <c r="K322" s="279">
        <f>+K316-K320</f>
        <v>7765.4100000001199</v>
      </c>
      <c r="L322" s="277">
        <f>IF(K$44=0,0,K322/K$44)</f>
        <v>0</v>
      </c>
      <c r="M322" s="279">
        <f>+M316-M320</f>
        <v>192463.19999999992</v>
      </c>
      <c r="N322" s="254"/>
      <c r="O322" s="279">
        <f>+O316-O320</f>
        <v>55253.989999999845</v>
      </c>
      <c r="P322" s="254"/>
      <c r="Q322" s="279">
        <f>+Q316-Q320</f>
        <v>-33502.279999999679</v>
      </c>
      <c r="R322" s="277">
        <f>IF(Q$44=0,0,Q322/Q$44)</f>
        <v>0</v>
      </c>
      <c r="S322" s="279">
        <f>+S316-S320</f>
        <v>-22663.340000000084</v>
      </c>
      <c r="T322" s="254"/>
      <c r="U322" s="279">
        <f>+U316-U320</f>
        <v>120739.84999999989</v>
      </c>
      <c r="V322" s="254"/>
      <c r="W322" s="279">
        <f>+W316-W320</f>
        <v>156048.7600000003</v>
      </c>
      <c r="X322" s="277">
        <f>IF(W$44=0,0,W322/W$44)</f>
        <v>0</v>
      </c>
      <c r="Y322" s="279">
        <f>+Y316-Y320</f>
        <v>-1548.4399999997549</v>
      </c>
      <c r="Z322" s="254"/>
      <c r="AA322" s="279">
        <f>+AA316-AA320</f>
        <v>94753.540000000052</v>
      </c>
      <c r="AB322" s="254"/>
      <c r="AC322" s="279">
        <f>+AC316-AC320</f>
        <v>67546.859999999957</v>
      </c>
      <c r="AD322" s="277">
        <f>IF(AC$44=0,0,AC322/AC$44)</f>
        <v>0</v>
      </c>
      <c r="AE322" s="279">
        <f>+AE316-AE320</f>
        <v>934767.75999999559</v>
      </c>
      <c r="AF322" s="248">
        <f>IF(AE$50=0,0,AE322/AE$50)</f>
        <v>4.1857517123435828E-2</v>
      </c>
      <c r="AG322" s="222"/>
    </row>
    <row r="323" spans="1:33" s="280" customFormat="1" ht="16" thickTop="1">
      <c r="A323" s="240"/>
      <c r="B323" s="240"/>
      <c r="C323" s="244"/>
      <c r="D323" s="240"/>
      <c r="E323" s="250"/>
      <c r="F323" s="250"/>
      <c r="H323" s="250"/>
      <c r="J323" s="222"/>
      <c r="L323" s="222"/>
      <c r="N323" s="250"/>
      <c r="P323" s="222"/>
      <c r="R323" s="222"/>
      <c r="T323" s="250"/>
      <c r="V323" s="222"/>
      <c r="X323" s="222"/>
      <c r="Z323" s="250"/>
      <c r="AB323" s="222"/>
      <c r="AD323" s="222"/>
      <c r="AG323" s="250"/>
    </row>
    <row r="324" spans="1:33" customFormat="1" ht="14.5" outlineLevel="1"/>
    <row r="325" spans="1:33" ht="6" customHeight="1" outlineLevel="1">
      <c r="G325" s="255"/>
      <c r="H325" s="254"/>
      <c r="I325" s="255"/>
      <c r="J325" s="254"/>
      <c r="K325" s="255"/>
      <c r="L325" s="273"/>
      <c r="M325" s="255"/>
      <c r="N325" s="254"/>
      <c r="O325" s="255"/>
      <c r="P325" s="254"/>
      <c r="Q325" s="255"/>
      <c r="R325" s="273"/>
      <c r="S325" s="255"/>
      <c r="T325" s="254"/>
      <c r="U325" s="255"/>
      <c r="V325" s="254"/>
      <c r="W325" s="255"/>
      <c r="X325" s="273"/>
      <c r="Y325" s="255"/>
      <c r="Z325" s="254"/>
      <c r="AA325" s="255"/>
      <c r="AB325" s="254"/>
      <c r="AC325" s="255"/>
      <c r="AD325" s="273"/>
      <c r="AE325" s="255"/>
    </row>
    <row r="326" spans="1:33" s="278" customFormat="1">
      <c r="B326" s="278" t="s">
        <v>858</v>
      </c>
      <c r="G326" s="281">
        <f>SUM(G324:G325)</f>
        <v>0</v>
      </c>
      <c r="H326" s="282"/>
      <c r="I326" s="281">
        <f>SUM(I324:I325)</f>
        <v>0</v>
      </c>
      <c r="J326" s="282"/>
      <c r="K326" s="281">
        <f>SUM(K324:K325)</f>
        <v>0</v>
      </c>
      <c r="L326" s="283"/>
      <c r="M326" s="281">
        <f>SUM(M324:M325)</f>
        <v>0</v>
      </c>
      <c r="N326" s="282"/>
      <c r="O326" s="281">
        <f>SUM(O324:O325)</f>
        <v>0</v>
      </c>
      <c r="P326" s="282"/>
      <c r="Q326" s="281">
        <f>SUM(Q324:Q325)</f>
        <v>0</v>
      </c>
      <c r="R326" s="283"/>
      <c r="S326" s="281">
        <f>SUM(S324:S325)</f>
        <v>0</v>
      </c>
      <c r="T326" s="282"/>
      <c r="U326" s="281">
        <f>SUM(U324:U325)</f>
        <v>0</v>
      </c>
      <c r="V326" s="282"/>
      <c r="W326" s="281">
        <f>SUM(W324:W325)</f>
        <v>0</v>
      </c>
      <c r="X326" s="283"/>
      <c r="Y326" s="281">
        <f>SUM(Y324:Y325)</f>
        <v>0</v>
      </c>
      <c r="Z326" s="282"/>
      <c r="AA326" s="281">
        <f>SUM(AA324:AA325)</f>
        <v>0</v>
      </c>
      <c r="AB326" s="282"/>
      <c r="AC326" s="281">
        <f>SUM(AC324:AC325)</f>
        <v>0</v>
      </c>
      <c r="AD326" s="283"/>
      <c r="AE326" s="281">
        <f>SUM(AE324:AE325)</f>
        <v>0</v>
      </c>
    </row>
    <row r="327" spans="1:33">
      <c r="G327" s="284"/>
      <c r="H327" s="284"/>
      <c r="I327" s="284"/>
      <c r="J327" s="284"/>
      <c r="K327" s="284"/>
      <c r="L327" s="284"/>
      <c r="M327" s="284"/>
      <c r="N327" s="284"/>
      <c r="O327" s="284"/>
      <c r="P327" s="284"/>
      <c r="Q327" s="284"/>
      <c r="R327" s="284"/>
      <c r="S327" s="284"/>
      <c r="T327" s="284"/>
      <c r="U327" s="284"/>
      <c r="V327" s="284"/>
      <c r="W327" s="284"/>
      <c r="X327" s="284"/>
      <c r="Y327" s="284"/>
      <c r="Z327" s="284"/>
      <c r="AA327" s="284"/>
      <c r="AB327" s="284"/>
      <c r="AC327" s="284"/>
      <c r="AD327" s="284"/>
      <c r="AE327" s="284"/>
      <c r="AF327" s="284"/>
      <c r="AG327" s="284"/>
    </row>
    <row r="328" spans="1:33" ht="15.5">
      <c r="A328" s="245"/>
      <c r="B328" s="245"/>
      <c r="C328" s="245"/>
      <c r="D328" s="245"/>
      <c r="J328" s="222"/>
      <c r="L328" s="222"/>
      <c r="P328" s="222"/>
      <c r="R328" s="222"/>
      <c r="V328" s="222"/>
      <c r="X328" s="222"/>
      <c r="AB328" s="222"/>
      <c r="AD328" s="222"/>
    </row>
    <row r="329" spans="1:33" ht="15.5">
      <c r="A329" s="240"/>
      <c r="B329" s="240"/>
      <c r="C329" s="245"/>
      <c r="D329" s="240"/>
      <c r="J329" s="222"/>
      <c r="L329" s="222"/>
      <c r="P329" s="222"/>
      <c r="R329" s="222"/>
      <c r="V329" s="222"/>
      <c r="X329" s="222"/>
      <c r="AB329" s="222"/>
      <c r="AC329" s="285" t="s">
        <v>97</v>
      </c>
      <c r="AD329" s="286"/>
      <c r="AE329" s="287">
        <f>SUM(G322:AC322)-AE322</f>
        <v>5.2386894822120667E-9</v>
      </c>
    </row>
    <row r="330" spans="1:33" s="280" customFormat="1" ht="15.5">
      <c r="A330" s="240"/>
      <c r="B330" s="240"/>
      <c r="C330" s="240"/>
      <c r="D330" s="240"/>
      <c r="E330" s="250"/>
      <c r="F330" s="250"/>
      <c r="H330" s="250"/>
      <c r="J330" s="222"/>
      <c r="L330" s="222"/>
      <c r="N330" s="250"/>
      <c r="P330" s="222"/>
      <c r="R330" s="222"/>
      <c r="T330" s="250"/>
      <c r="V330" s="222"/>
      <c r="X330" s="222"/>
      <c r="Z330" s="250"/>
      <c r="AB330" s="222"/>
      <c r="AD330" s="222"/>
      <c r="AF330" s="250"/>
      <c r="AG330" s="250"/>
    </row>
    <row r="331" spans="1:33" s="280" customFormat="1" ht="15.5">
      <c r="A331" s="261"/>
      <c r="B331" s="261"/>
      <c r="C331" s="261"/>
      <c r="D331" s="261"/>
      <c r="E331" s="250"/>
      <c r="F331" s="250"/>
      <c r="H331" s="250"/>
      <c r="J331" s="222"/>
      <c r="L331" s="222"/>
      <c r="N331" s="250"/>
      <c r="P331" s="222"/>
      <c r="R331" s="222"/>
      <c r="S331" s="280">
        <f>S50-S322</f>
        <v>1925152.77</v>
      </c>
      <c r="T331" s="280">
        <f>T50-T322</f>
        <v>0</v>
      </c>
      <c r="U331" s="280">
        <f>U50-U322</f>
        <v>1738101.37</v>
      </c>
      <c r="V331" s="222"/>
      <c r="W331" s="280">
        <f>W50-W322</f>
        <v>1717200.79</v>
      </c>
      <c r="X331" s="222"/>
      <c r="Y331" s="280">
        <f>Y50-Y322</f>
        <v>1948483.19</v>
      </c>
      <c r="Z331" s="250"/>
      <c r="AA331" s="280">
        <f>AA50-AA322</f>
        <v>1762172.65</v>
      </c>
      <c r="AB331" s="222"/>
      <c r="AC331" s="280">
        <f>AC50-AC322</f>
        <v>1830334.8</v>
      </c>
      <c r="AD331" s="222"/>
      <c r="AE331" s="280">
        <f>AE50-AE322</f>
        <v>21397368.120000005</v>
      </c>
      <c r="AG331" s="250"/>
    </row>
    <row r="332" spans="1:33" s="280" customFormat="1" ht="15.5">
      <c r="A332" s="245"/>
      <c r="B332" s="245"/>
      <c r="C332" s="245"/>
      <c r="D332" s="245"/>
      <c r="E332" s="250"/>
      <c r="F332" s="250"/>
      <c r="H332" s="250"/>
      <c r="J332" s="222"/>
      <c r="L332" s="222"/>
      <c r="N332" s="250"/>
      <c r="P332" s="222"/>
      <c r="R332" s="222"/>
      <c r="S332" s="288">
        <f>S331/S50</f>
        <v>1.0119124656582192</v>
      </c>
      <c r="T332" s="288" t="e">
        <f>T331/T50</f>
        <v>#DIV/0!</v>
      </c>
      <c r="U332" s="288">
        <f>U331/U50</f>
        <v>0.935045635581505</v>
      </c>
      <c r="V332" s="222"/>
      <c r="W332" s="288">
        <f>W331/W50</f>
        <v>0.91669622448327814</v>
      </c>
      <c r="X332" s="222"/>
      <c r="Y332" s="288">
        <f>Y331/Y50</f>
        <v>1.0007953219798453</v>
      </c>
      <c r="Z332" s="250"/>
      <c r="AA332" s="288">
        <f>AA331/AA50</f>
        <v>0.94897290990332794</v>
      </c>
      <c r="AB332" s="222"/>
      <c r="AC332" s="288">
        <f>AC331/AC50</f>
        <v>0.96440934046435756</v>
      </c>
      <c r="AD332" s="222"/>
      <c r="AE332" s="288">
        <f>AE331/AE50</f>
        <v>0.95814248287656423</v>
      </c>
      <c r="AG332" s="250"/>
    </row>
    <row r="333" spans="1:33" s="280" customFormat="1" ht="15.5">
      <c r="A333" s="240"/>
      <c r="B333" s="240"/>
      <c r="C333" s="244"/>
      <c r="D333" s="240"/>
      <c r="E333" s="250"/>
      <c r="F333" s="250"/>
      <c r="H333" s="250"/>
      <c r="J333" s="222"/>
      <c r="L333" s="222"/>
      <c r="N333" s="250"/>
      <c r="P333" s="222"/>
      <c r="R333" s="222"/>
      <c r="T333" s="250"/>
      <c r="V333" s="222"/>
      <c r="X333" s="222"/>
      <c r="Z333" s="250"/>
      <c r="AB333" s="222"/>
      <c r="AD333" s="222"/>
      <c r="AG333" s="250"/>
    </row>
    <row r="334" spans="1:33" s="280" customFormat="1" ht="15.5">
      <c r="A334" s="240"/>
      <c r="B334" s="240"/>
      <c r="C334" s="240"/>
      <c r="D334" s="240"/>
      <c r="E334" s="250"/>
      <c r="F334" s="250"/>
      <c r="H334" s="250"/>
      <c r="J334" s="222"/>
      <c r="L334" s="222"/>
      <c r="N334" s="250"/>
      <c r="P334" s="222"/>
      <c r="R334" s="222"/>
      <c r="T334" s="250"/>
      <c r="V334" s="222"/>
      <c r="X334" s="222"/>
      <c r="Z334" s="250"/>
      <c r="AB334" s="222"/>
      <c r="AD334" s="222"/>
      <c r="AG334" s="250"/>
    </row>
    <row r="335" spans="1:33" s="280" customFormat="1" ht="15.5">
      <c r="A335" s="261"/>
      <c r="B335" s="261"/>
      <c r="C335" s="261"/>
      <c r="D335" s="261"/>
      <c r="E335" s="250"/>
      <c r="F335" s="250"/>
      <c r="H335" s="250"/>
      <c r="J335" s="222"/>
      <c r="L335" s="222"/>
      <c r="N335" s="250"/>
      <c r="P335" s="222"/>
      <c r="R335" s="222"/>
      <c r="T335" s="250"/>
      <c r="V335" s="222"/>
      <c r="X335" s="222"/>
      <c r="Z335" s="250"/>
      <c r="AB335" s="222"/>
      <c r="AD335" s="222"/>
      <c r="AG335" s="250"/>
    </row>
    <row r="336" spans="1:33" s="280" customFormat="1" ht="15.5">
      <c r="A336" s="245"/>
      <c r="B336" s="245"/>
      <c r="C336" s="245"/>
      <c r="D336" s="245"/>
      <c r="E336" s="250"/>
      <c r="F336" s="250"/>
      <c r="H336" s="250"/>
      <c r="J336" s="222"/>
      <c r="L336" s="222"/>
      <c r="N336" s="250"/>
      <c r="P336" s="222"/>
      <c r="R336" s="222"/>
      <c r="T336" s="250"/>
      <c r="V336" s="222"/>
      <c r="X336" s="222"/>
      <c r="Z336" s="250"/>
      <c r="AB336" s="222"/>
      <c r="AD336" s="222"/>
      <c r="AG336" s="250"/>
    </row>
    <row r="337" spans="1:33" s="280" customFormat="1" ht="15.5">
      <c r="A337" s="240"/>
      <c r="B337" s="240"/>
      <c r="C337" s="245"/>
      <c r="D337" s="240"/>
      <c r="E337" s="250"/>
      <c r="F337" s="250"/>
      <c r="H337" s="250"/>
      <c r="J337" s="222"/>
      <c r="L337" s="222"/>
      <c r="N337" s="250"/>
      <c r="P337" s="222"/>
      <c r="R337" s="222"/>
      <c r="T337" s="250"/>
      <c r="V337" s="222"/>
      <c r="X337" s="222"/>
      <c r="Z337" s="250"/>
      <c r="AB337" s="222"/>
      <c r="AD337" s="222"/>
      <c r="AG337" s="250"/>
    </row>
    <row r="338" spans="1:33" s="280" customFormat="1" ht="15.5">
      <c r="A338" s="240"/>
      <c r="B338" s="240"/>
      <c r="C338" s="240"/>
      <c r="D338" s="240"/>
      <c r="E338" s="250"/>
      <c r="F338" s="250"/>
      <c r="H338" s="250"/>
      <c r="J338" s="222"/>
      <c r="L338" s="222"/>
      <c r="N338" s="250"/>
      <c r="P338" s="222"/>
      <c r="R338" s="222"/>
      <c r="T338" s="250"/>
      <c r="V338" s="222"/>
      <c r="X338" s="222"/>
      <c r="Z338" s="250"/>
      <c r="AB338" s="222"/>
      <c r="AD338" s="222"/>
      <c r="AG338" s="250"/>
    </row>
    <row r="339" spans="1:33" s="280" customFormat="1" ht="15.5">
      <c r="A339" s="240"/>
      <c r="B339" s="257"/>
      <c r="C339" s="240"/>
      <c r="D339" s="240"/>
      <c r="E339" s="250"/>
      <c r="F339" s="250"/>
      <c r="H339" s="250"/>
      <c r="J339" s="222"/>
      <c r="L339" s="222"/>
      <c r="N339" s="250"/>
      <c r="P339" s="222"/>
      <c r="R339" s="222"/>
      <c r="T339" s="250"/>
      <c r="V339" s="222"/>
      <c r="X339" s="222"/>
      <c r="Z339" s="250"/>
      <c r="AB339" s="222"/>
      <c r="AD339" s="222"/>
      <c r="AG339" s="250"/>
    </row>
    <row r="340" spans="1:33" s="280" customFormat="1" ht="15.5">
      <c r="A340" s="240"/>
      <c r="B340" s="240"/>
      <c r="C340" s="240"/>
      <c r="D340" s="240"/>
      <c r="E340" s="250"/>
      <c r="F340" s="250"/>
      <c r="H340" s="250"/>
      <c r="J340" s="222"/>
      <c r="L340" s="222"/>
      <c r="N340" s="250"/>
      <c r="P340" s="222"/>
      <c r="R340" s="222"/>
      <c r="T340" s="250"/>
      <c r="V340" s="222"/>
      <c r="X340" s="222"/>
      <c r="Z340" s="250"/>
      <c r="AB340" s="222"/>
      <c r="AD340" s="222"/>
      <c r="AG340" s="250"/>
    </row>
    <row r="341" spans="1:33" s="280" customFormat="1" ht="15.5">
      <c r="A341" s="261"/>
      <c r="B341" s="261"/>
      <c r="C341" s="261"/>
      <c r="D341" s="261"/>
      <c r="E341" s="250"/>
      <c r="F341" s="250"/>
      <c r="H341" s="250"/>
      <c r="J341" s="222"/>
      <c r="L341" s="222"/>
      <c r="N341" s="250"/>
      <c r="P341" s="222"/>
      <c r="R341" s="222"/>
      <c r="T341" s="250"/>
      <c r="V341" s="222"/>
      <c r="X341" s="222"/>
      <c r="Z341" s="250"/>
      <c r="AB341" s="222"/>
      <c r="AD341" s="222"/>
      <c r="AG341" s="250"/>
    </row>
    <row r="342" spans="1:33" s="280" customFormat="1" ht="15.5">
      <c r="A342" s="245"/>
      <c r="B342" s="245"/>
      <c r="C342" s="245"/>
      <c r="D342" s="245"/>
      <c r="E342" s="250"/>
      <c r="F342" s="250"/>
      <c r="H342" s="250"/>
      <c r="J342" s="222"/>
      <c r="L342" s="222"/>
      <c r="N342" s="250"/>
      <c r="P342" s="222"/>
      <c r="R342" s="222"/>
      <c r="T342" s="250"/>
      <c r="V342" s="222"/>
      <c r="X342" s="222"/>
      <c r="Z342" s="250"/>
      <c r="AB342" s="222"/>
      <c r="AD342" s="222"/>
      <c r="AG342" s="250"/>
    </row>
    <row r="343" spans="1:33" s="280" customFormat="1" ht="15.5">
      <c r="A343" s="240"/>
      <c r="B343" s="240"/>
      <c r="C343" s="244"/>
      <c r="D343" s="240"/>
      <c r="E343" s="250"/>
      <c r="F343" s="250"/>
      <c r="H343" s="250"/>
      <c r="J343" s="222"/>
      <c r="L343" s="222"/>
      <c r="N343" s="250"/>
      <c r="P343" s="222"/>
      <c r="R343" s="222"/>
      <c r="T343" s="250"/>
      <c r="V343" s="222"/>
      <c r="X343" s="222"/>
      <c r="Z343" s="250"/>
      <c r="AB343" s="222"/>
      <c r="AD343" s="222"/>
      <c r="AG343" s="250"/>
    </row>
    <row r="344" spans="1:33" s="280" customFormat="1" ht="15.5">
      <c r="A344" s="240"/>
      <c r="B344" s="240"/>
      <c r="C344" s="240"/>
      <c r="D344" s="240"/>
      <c r="E344" s="250"/>
      <c r="F344" s="250"/>
      <c r="H344" s="250"/>
      <c r="J344" s="222"/>
      <c r="L344" s="222"/>
      <c r="N344" s="250"/>
      <c r="P344" s="222"/>
      <c r="R344" s="222"/>
      <c r="T344" s="250"/>
      <c r="V344" s="222"/>
      <c r="X344" s="222"/>
      <c r="Z344" s="250"/>
      <c r="AB344" s="222"/>
      <c r="AD344" s="222"/>
      <c r="AG344" s="250"/>
    </row>
    <row r="345" spans="1:33" s="280" customFormat="1" ht="15.5">
      <c r="A345" s="240"/>
      <c r="B345" s="257"/>
      <c r="C345" s="240"/>
      <c r="D345" s="240"/>
      <c r="E345" s="250"/>
      <c r="F345" s="250"/>
      <c r="H345" s="250"/>
      <c r="J345" s="222"/>
      <c r="L345" s="222"/>
      <c r="N345" s="250"/>
      <c r="P345" s="222"/>
      <c r="R345" s="222"/>
      <c r="T345" s="250"/>
      <c r="V345" s="222"/>
      <c r="X345" s="222"/>
      <c r="Z345" s="250"/>
      <c r="AB345" s="222"/>
      <c r="AD345" s="222"/>
      <c r="AG345" s="250"/>
    </row>
    <row r="346" spans="1:33" s="280" customFormat="1" ht="15.5">
      <c r="A346" s="250"/>
      <c r="B346" s="250"/>
      <c r="C346" s="250"/>
      <c r="D346" s="250"/>
      <c r="E346" s="250"/>
      <c r="F346" s="250"/>
      <c r="H346" s="250"/>
      <c r="J346" s="222"/>
      <c r="L346" s="222"/>
      <c r="N346" s="250"/>
      <c r="P346" s="222"/>
      <c r="R346" s="222"/>
      <c r="T346" s="250"/>
      <c r="V346" s="222"/>
      <c r="X346" s="222"/>
      <c r="Z346" s="250"/>
      <c r="AB346" s="222"/>
      <c r="AD346" s="222"/>
      <c r="AG346" s="250"/>
    </row>
    <row r="347" spans="1:33" s="280" customFormat="1" ht="15.5">
      <c r="A347" s="261"/>
      <c r="B347" s="261"/>
      <c r="C347" s="261"/>
      <c r="D347" s="261"/>
      <c r="E347" s="250"/>
      <c r="F347" s="250"/>
      <c r="H347" s="250"/>
      <c r="J347" s="222"/>
      <c r="L347" s="222"/>
      <c r="N347" s="250"/>
      <c r="P347" s="222"/>
      <c r="R347" s="222"/>
      <c r="T347" s="250"/>
      <c r="V347" s="222"/>
      <c r="X347" s="222"/>
      <c r="Z347" s="250"/>
      <c r="AB347" s="222"/>
      <c r="AD347" s="222"/>
      <c r="AG347" s="250"/>
    </row>
    <row r="348" spans="1:33" s="280" customFormat="1" ht="15.5">
      <c r="A348" s="245"/>
      <c r="B348" s="245"/>
      <c r="C348" s="245"/>
      <c r="D348" s="245"/>
      <c r="E348" s="250"/>
      <c r="F348" s="250"/>
      <c r="H348" s="250"/>
      <c r="J348" s="222"/>
      <c r="L348" s="222"/>
      <c r="N348" s="250"/>
      <c r="P348" s="222"/>
      <c r="R348" s="222"/>
      <c r="T348" s="250"/>
      <c r="V348" s="222"/>
      <c r="X348" s="222"/>
      <c r="Z348" s="250"/>
      <c r="AB348" s="222"/>
      <c r="AD348" s="222"/>
      <c r="AG348" s="250"/>
    </row>
    <row r="349" spans="1:33" s="280" customFormat="1" ht="15.5">
      <c r="A349" s="240"/>
      <c r="B349" s="240"/>
      <c r="C349" s="244"/>
      <c r="D349" s="240"/>
      <c r="E349" s="250"/>
      <c r="F349" s="250"/>
      <c r="H349" s="250"/>
      <c r="J349" s="222"/>
      <c r="L349" s="222"/>
      <c r="N349" s="250"/>
      <c r="P349" s="222"/>
      <c r="R349" s="222"/>
      <c r="T349" s="250"/>
      <c r="V349" s="222"/>
      <c r="X349" s="222"/>
      <c r="Z349" s="250"/>
      <c r="AB349" s="222"/>
      <c r="AD349" s="222"/>
      <c r="AG349" s="250"/>
    </row>
    <row r="350" spans="1:33" s="280" customFormat="1" ht="15.5">
      <c r="A350" s="240"/>
      <c r="B350" s="240"/>
      <c r="C350" s="240"/>
      <c r="D350" s="240"/>
      <c r="E350" s="250"/>
      <c r="F350" s="250"/>
      <c r="H350" s="250"/>
      <c r="J350" s="222"/>
      <c r="L350" s="222"/>
      <c r="N350" s="250"/>
      <c r="P350" s="222"/>
      <c r="R350" s="222"/>
      <c r="T350" s="250"/>
      <c r="V350" s="222"/>
      <c r="X350" s="222"/>
      <c r="Z350" s="250"/>
      <c r="AB350" s="222"/>
      <c r="AD350" s="222"/>
      <c r="AG350" s="250"/>
    </row>
    <row r="351" spans="1:33" s="280" customFormat="1" ht="15.5">
      <c r="A351" s="240"/>
      <c r="B351" s="257"/>
      <c r="C351" s="240"/>
      <c r="D351" s="240"/>
      <c r="E351" s="250"/>
      <c r="F351" s="250"/>
      <c r="H351" s="250"/>
      <c r="J351" s="222"/>
      <c r="L351" s="222"/>
      <c r="N351" s="250"/>
      <c r="P351" s="222"/>
      <c r="R351" s="222"/>
      <c r="T351" s="250"/>
      <c r="V351" s="222"/>
      <c r="X351" s="222"/>
      <c r="Z351" s="250"/>
      <c r="AB351" s="222"/>
      <c r="AD351" s="222"/>
      <c r="AG351" s="250"/>
    </row>
    <row r="352" spans="1:33" s="280" customFormat="1" ht="15.5">
      <c r="A352" s="240"/>
      <c r="B352" s="240"/>
      <c r="C352" s="240"/>
      <c r="D352" s="240"/>
      <c r="E352" s="250"/>
      <c r="F352" s="250"/>
      <c r="H352" s="250"/>
      <c r="J352" s="222"/>
      <c r="L352" s="222"/>
      <c r="N352" s="250"/>
      <c r="P352" s="222"/>
      <c r="R352" s="222"/>
      <c r="T352" s="250"/>
      <c r="V352" s="222"/>
      <c r="X352" s="222"/>
      <c r="Z352" s="250"/>
      <c r="AB352" s="222"/>
      <c r="AD352" s="222"/>
      <c r="AG352" s="250"/>
    </row>
    <row r="353" spans="1:33" s="280" customFormat="1" ht="15.5">
      <c r="A353" s="289"/>
      <c r="B353" s="289"/>
      <c r="C353" s="289"/>
      <c r="D353" s="289"/>
      <c r="E353" s="250"/>
      <c r="F353" s="250"/>
      <c r="H353" s="250"/>
      <c r="J353" s="222"/>
      <c r="L353" s="222"/>
      <c r="N353" s="250"/>
      <c r="P353" s="222"/>
      <c r="R353" s="222"/>
      <c r="T353" s="250"/>
      <c r="V353" s="222"/>
      <c r="X353" s="222"/>
      <c r="Z353" s="250"/>
      <c r="AB353" s="222"/>
      <c r="AD353" s="222"/>
      <c r="AG353" s="250"/>
    </row>
    <row r="354" spans="1:33" s="280" customFormat="1" ht="15.5">
      <c r="A354" s="245"/>
      <c r="B354" s="245"/>
      <c r="C354" s="245"/>
      <c r="D354" s="245"/>
      <c r="E354" s="250"/>
      <c r="F354" s="250"/>
      <c r="H354" s="250"/>
      <c r="J354" s="222"/>
      <c r="L354" s="222"/>
      <c r="N354" s="250"/>
      <c r="P354" s="222"/>
      <c r="R354" s="222"/>
      <c r="T354" s="250"/>
      <c r="V354" s="222"/>
      <c r="X354" s="222"/>
      <c r="Z354" s="250"/>
      <c r="AB354" s="222"/>
      <c r="AD354" s="222"/>
      <c r="AG354" s="250"/>
    </row>
    <row r="355" spans="1:33" s="280" customFormat="1" ht="15.5">
      <c r="A355" s="240"/>
      <c r="B355" s="240"/>
      <c r="C355" s="244"/>
      <c r="D355" s="240"/>
      <c r="E355" s="250"/>
      <c r="F355" s="250"/>
      <c r="H355" s="250"/>
      <c r="J355" s="222"/>
      <c r="L355" s="222"/>
      <c r="N355" s="250"/>
      <c r="P355" s="222"/>
      <c r="R355" s="222"/>
      <c r="T355" s="250"/>
      <c r="V355" s="222"/>
      <c r="X355" s="222"/>
      <c r="Z355" s="250"/>
      <c r="AB355" s="222"/>
      <c r="AD355" s="222"/>
      <c r="AG355" s="250"/>
    </row>
    <row r="356" spans="1:33" s="280" customFormat="1" ht="15.5">
      <c r="A356" s="240"/>
      <c r="B356" s="240"/>
      <c r="C356" s="240"/>
      <c r="D356" s="240"/>
      <c r="E356" s="250"/>
      <c r="F356" s="250"/>
      <c r="H356" s="250"/>
      <c r="J356" s="222"/>
      <c r="L356" s="222"/>
      <c r="N356" s="250"/>
      <c r="P356" s="222"/>
      <c r="R356" s="222"/>
      <c r="T356" s="250"/>
      <c r="V356" s="222"/>
      <c r="X356" s="222"/>
      <c r="Z356" s="250"/>
      <c r="AB356" s="222"/>
      <c r="AD356" s="222"/>
      <c r="AG356" s="250"/>
    </row>
    <row r="357" spans="1:33" s="280" customFormat="1" ht="15.5">
      <c r="A357" s="240"/>
      <c r="B357" s="257"/>
      <c r="C357" s="240"/>
      <c r="D357" s="240"/>
      <c r="E357" s="250"/>
      <c r="F357" s="250"/>
      <c r="H357" s="250"/>
      <c r="J357" s="222"/>
      <c r="L357" s="222"/>
      <c r="N357" s="250"/>
      <c r="P357" s="222"/>
      <c r="R357" s="222"/>
      <c r="T357" s="250"/>
      <c r="V357" s="222"/>
      <c r="X357" s="222"/>
      <c r="Z357" s="250"/>
      <c r="AB357" s="222"/>
      <c r="AD357" s="222"/>
      <c r="AG357" s="250"/>
    </row>
    <row r="358" spans="1:33" s="280" customFormat="1" ht="15.5">
      <c r="A358" s="250"/>
      <c r="B358" s="250"/>
      <c r="C358" s="250"/>
      <c r="D358" s="250"/>
      <c r="E358" s="250"/>
      <c r="F358" s="250"/>
      <c r="H358" s="250"/>
      <c r="J358" s="222"/>
      <c r="L358" s="222"/>
      <c r="N358" s="250"/>
      <c r="P358" s="222"/>
      <c r="R358" s="222"/>
      <c r="T358" s="250"/>
      <c r="V358" s="222"/>
      <c r="X358" s="222"/>
      <c r="Z358" s="250"/>
      <c r="AB358" s="222"/>
      <c r="AD358" s="222"/>
      <c r="AG358" s="250"/>
    </row>
    <row r="359" spans="1:33" s="280" customFormat="1" ht="15.5">
      <c r="A359" s="250"/>
      <c r="B359" s="250"/>
      <c r="C359" s="250"/>
      <c r="D359" s="250"/>
      <c r="E359" s="250"/>
      <c r="F359" s="250"/>
      <c r="H359" s="250"/>
      <c r="J359" s="222"/>
      <c r="L359" s="222"/>
      <c r="N359" s="250"/>
      <c r="P359" s="222"/>
      <c r="R359" s="222"/>
      <c r="T359" s="250"/>
      <c r="V359" s="222"/>
      <c r="X359" s="222"/>
      <c r="Z359" s="250"/>
      <c r="AB359" s="222"/>
      <c r="AD359" s="222"/>
      <c r="AG359" s="250"/>
    </row>
    <row r="360" spans="1:33" s="280" customFormat="1" ht="15.5">
      <c r="A360" s="250"/>
      <c r="B360" s="250"/>
      <c r="C360" s="250"/>
      <c r="D360" s="250"/>
      <c r="E360" s="250"/>
      <c r="F360" s="250"/>
      <c r="H360" s="250"/>
      <c r="J360" s="222"/>
      <c r="L360" s="222"/>
      <c r="N360" s="250"/>
      <c r="P360" s="222"/>
      <c r="R360" s="222"/>
      <c r="T360" s="250"/>
      <c r="V360" s="222"/>
      <c r="X360" s="222"/>
      <c r="Z360" s="250"/>
      <c r="AB360" s="222"/>
      <c r="AD360" s="222"/>
      <c r="AG360" s="250"/>
    </row>
    <row r="361" spans="1:33" s="280" customFormat="1" ht="15.5">
      <c r="A361" s="250"/>
      <c r="B361" s="250"/>
      <c r="C361" s="250"/>
      <c r="D361" s="250"/>
      <c r="E361" s="250"/>
      <c r="F361" s="250"/>
      <c r="H361" s="250"/>
      <c r="J361" s="222"/>
      <c r="L361" s="222"/>
      <c r="N361" s="250"/>
      <c r="P361" s="222"/>
      <c r="R361" s="222"/>
      <c r="T361" s="250"/>
      <c r="V361" s="222"/>
      <c r="X361" s="222"/>
      <c r="Z361" s="250"/>
      <c r="AB361" s="222"/>
      <c r="AD361" s="222"/>
      <c r="AG361" s="250"/>
    </row>
    <row r="362" spans="1:33" s="280" customFormat="1" ht="15.5">
      <c r="A362" s="250"/>
      <c r="B362" s="250"/>
      <c r="C362" s="250"/>
      <c r="D362" s="250"/>
      <c r="E362" s="250"/>
      <c r="F362" s="250"/>
      <c r="H362" s="250"/>
      <c r="J362" s="222"/>
      <c r="L362" s="222"/>
      <c r="N362" s="250"/>
      <c r="P362" s="222"/>
      <c r="R362" s="222"/>
      <c r="T362" s="250"/>
      <c r="V362" s="222"/>
      <c r="X362" s="222"/>
      <c r="Z362" s="250"/>
      <c r="AB362" s="222"/>
      <c r="AD362" s="222"/>
      <c r="AG362" s="250"/>
    </row>
    <row r="363" spans="1:33" s="280" customFormat="1" ht="15.5">
      <c r="A363" s="250"/>
      <c r="B363" s="250"/>
      <c r="C363" s="250"/>
      <c r="D363" s="250"/>
      <c r="E363" s="250"/>
      <c r="F363" s="250"/>
      <c r="H363" s="250"/>
      <c r="J363" s="222"/>
      <c r="L363" s="222"/>
      <c r="N363" s="250"/>
      <c r="P363" s="222"/>
      <c r="R363" s="222"/>
      <c r="T363" s="250"/>
      <c r="V363" s="222"/>
      <c r="X363" s="222"/>
      <c r="Z363" s="250"/>
      <c r="AB363" s="222"/>
      <c r="AD363" s="222"/>
      <c r="AG363" s="250"/>
    </row>
    <row r="364" spans="1:33" s="280" customFormat="1" ht="15.5">
      <c r="A364" s="250"/>
      <c r="B364" s="250"/>
      <c r="C364" s="250"/>
      <c r="D364" s="250"/>
      <c r="E364" s="250"/>
      <c r="F364" s="250"/>
      <c r="H364" s="250"/>
      <c r="J364" s="222"/>
      <c r="L364" s="222"/>
      <c r="N364" s="250"/>
      <c r="P364" s="222"/>
      <c r="R364" s="222"/>
      <c r="T364" s="250"/>
      <c r="V364" s="222"/>
      <c r="X364" s="222"/>
      <c r="Z364" s="250"/>
      <c r="AB364" s="222"/>
      <c r="AD364" s="222"/>
      <c r="AG364" s="250"/>
    </row>
    <row r="365" spans="1:33" s="280" customFormat="1" ht="15.5">
      <c r="A365" s="250"/>
      <c r="B365" s="250"/>
      <c r="C365" s="250"/>
      <c r="D365" s="250"/>
      <c r="E365" s="250"/>
      <c r="F365" s="250"/>
      <c r="H365" s="250"/>
      <c r="J365" s="222"/>
      <c r="L365" s="222"/>
      <c r="N365" s="250"/>
      <c r="P365" s="222"/>
      <c r="R365" s="222"/>
      <c r="T365" s="250"/>
      <c r="V365" s="222"/>
      <c r="X365" s="222"/>
      <c r="Z365" s="250"/>
      <c r="AB365" s="222"/>
      <c r="AD365" s="222"/>
      <c r="AG365" s="250"/>
    </row>
    <row r="366" spans="1:33" s="280" customFormat="1" ht="15.5">
      <c r="A366" s="250"/>
      <c r="B366" s="250"/>
      <c r="C366" s="250"/>
      <c r="D366" s="250"/>
      <c r="E366" s="250"/>
      <c r="F366" s="250"/>
      <c r="H366" s="250"/>
      <c r="J366" s="222"/>
      <c r="L366" s="222"/>
      <c r="N366" s="250"/>
      <c r="P366" s="222"/>
      <c r="R366" s="222"/>
      <c r="T366" s="250"/>
      <c r="V366" s="222"/>
      <c r="X366" s="222"/>
      <c r="Z366" s="250"/>
      <c r="AB366" s="222"/>
      <c r="AD366" s="222"/>
      <c r="AG366" s="250"/>
    </row>
    <row r="367" spans="1:33" s="280" customFormat="1" ht="15.5">
      <c r="A367" s="250"/>
      <c r="B367" s="250"/>
      <c r="C367" s="250"/>
      <c r="D367" s="250"/>
      <c r="E367" s="250"/>
      <c r="F367" s="250"/>
      <c r="H367" s="250"/>
      <c r="J367" s="222"/>
      <c r="L367" s="222"/>
      <c r="N367" s="250"/>
      <c r="P367" s="222"/>
      <c r="R367" s="222"/>
      <c r="T367" s="250"/>
      <c r="V367" s="222"/>
      <c r="X367" s="222"/>
      <c r="Z367" s="250"/>
      <c r="AB367" s="222"/>
      <c r="AD367" s="222"/>
      <c r="AG367" s="250"/>
    </row>
    <row r="368" spans="1:33" s="280" customFormat="1" ht="15.5">
      <c r="A368" s="250"/>
      <c r="B368" s="250"/>
      <c r="C368" s="250"/>
      <c r="D368" s="250"/>
      <c r="E368" s="250"/>
      <c r="F368" s="250"/>
      <c r="H368" s="250"/>
      <c r="J368" s="222"/>
      <c r="L368" s="222"/>
      <c r="N368" s="250"/>
      <c r="P368" s="222"/>
      <c r="R368" s="222"/>
      <c r="T368" s="250"/>
      <c r="V368" s="222"/>
      <c r="X368" s="222"/>
      <c r="Z368" s="250"/>
      <c r="AB368" s="222"/>
      <c r="AD368" s="222"/>
      <c r="AG368" s="250"/>
    </row>
    <row r="369" spans="1:33" s="280" customFormat="1" ht="15.5">
      <c r="A369" s="250"/>
      <c r="B369" s="250"/>
      <c r="C369" s="250"/>
      <c r="D369" s="250"/>
      <c r="E369" s="250"/>
      <c r="F369" s="250"/>
      <c r="H369" s="250"/>
      <c r="J369" s="222"/>
      <c r="L369" s="222"/>
      <c r="N369" s="250"/>
      <c r="P369" s="222"/>
      <c r="R369" s="222"/>
      <c r="T369" s="250"/>
      <c r="V369" s="222"/>
      <c r="X369" s="222"/>
      <c r="Z369" s="250"/>
      <c r="AB369" s="222"/>
      <c r="AD369" s="222"/>
      <c r="AG369" s="250"/>
    </row>
    <row r="370" spans="1:33" s="280" customFormat="1" ht="15.5">
      <c r="A370" s="250"/>
      <c r="B370" s="250"/>
      <c r="C370" s="250"/>
      <c r="D370" s="250"/>
      <c r="E370" s="250"/>
      <c r="F370" s="250"/>
      <c r="H370" s="250"/>
      <c r="J370" s="222"/>
      <c r="L370" s="222"/>
      <c r="N370" s="250"/>
      <c r="P370" s="222"/>
      <c r="R370" s="222"/>
      <c r="T370" s="250"/>
      <c r="V370" s="222"/>
      <c r="X370" s="222"/>
      <c r="Z370" s="250"/>
      <c r="AB370" s="222"/>
      <c r="AD370" s="222"/>
      <c r="AG370" s="250"/>
    </row>
    <row r="371" spans="1:33" s="280" customFormat="1" ht="15.5">
      <c r="A371" s="250"/>
      <c r="B371" s="250"/>
      <c r="C371" s="250"/>
      <c r="D371" s="250"/>
      <c r="E371" s="250"/>
      <c r="F371" s="250"/>
      <c r="H371" s="250"/>
      <c r="J371" s="222"/>
      <c r="L371" s="222"/>
      <c r="N371" s="250"/>
      <c r="P371" s="222"/>
      <c r="R371" s="222"/>
      <c r="T371" s="250"/>
      <c r="V371" s="222"/>
      <c r="X371" s="222"/>
      <c r="Z371" s="250"/>
      <c r="AB371" s="222"/>
      <c r="AD371" s="222"/>
      <c r="AG371" s="250"/>
    </row>
    <row r="372" spans="1:33" s="280" customFormat="1" ht="15.5">
      <c r="A372" s="250"/>
      <c r="B372" s="250"/>
      <c r="C372" s="250"/>
      <c r="D372" s="250"/>
      <c r="E372" s="250"/>
      <c r="F372" s="250"/>
      <c r="H372" s="250"/>
      <c r="J372" s="222"/>
      <c r="L372" s="222"/>
      <c r="N372" s="250"/>
      <c r="P372" s="222"/>
      <c r="R372" s="222"/>
      <c r="T372" s="250"/>
      <c r="V372" s="222"/>
      <c r="X372" s="222"/>
      <c r="Z372" s="250"/>
      <c r="AB372" s="222"/>
      <c r="AD372" s="222"/>
      <c r="AG372" s="250"/>
    </row>
    <row r="373" spans="1:33" s="280" customFormat="1" ht="15.5">
      <c r="A373" s="250"/>
      <c r="B373" s="250"/>
      <c r="C373" s="250"/>
      <c r="D373" s="250"/>
      <c r="E373" s="250"/>
      <c r="F373" s="250"/>
      <c r="H373" s="250"/>
      <c r="J373" s="222"/>
      <c r="L373" s="222"/>
      <c r="N373" s="250"/>
      <c r="P373" s="222"/>
      <c r="R373" s="222"/>
      <c r="T373" s="250"/>
      <c r="V373" s="222"/>
      <c r="X373" s="222"/>
      <c r="Z373" s="250"/>
      <c r="AB373" s="222"/>
      <c r="AD373" s="222"/>
      <c r="AG373" s="250"/>
    </row>
    <row r="374" spans="1:33" s="280" customFormat="1" ht="15.5">
      <c r="A374" s="250"/>
      <c r="B374" s="250"/>
      <c r="C374" s="250"/>
      <c r="D374" s="250"/>
      <c r="E374" s="250"/>
      <c r="F374" s="250"/>
      <c r="H374" s="250"/>
      <c r="J374" s="222"/>
      <c r="L374" s="222"/>
      <c r="N374" s="250"/>
      <c r="P374" s="222"/>
      <c r="R374" s="222"/>
      <c r="T374" s="250"/>
      <c r="V374" s="222"/>
      <c r="X374" s="222"/>
      <c r="Z374" s="250"/>
      <c r="AB374" s="222"/>
      <c r="AD374" s="222"/>
      <c r="AG374" s="250"/>
    </row>
    <row r="375" spans="1:33" s="280" customFormat="1" ht="15.5">
      <c r="A375" s="250"/>
      <c r="B375" s="250"/>
      <c r="C375" s="250"/>
      <c r="D375" s="250"/>
      <c r="E375" s="250"/>
      <c r="F375" s="250"/>
      <c r="H375" s="250"/>
      <c r="J375" s="222"/>
      <c r="L375" s="222"/>
      <c r="N375" s="250"/>
      <c r="P375" s="222"/>
      <c r="R375" s="222"/>
      <c r="T375" s="250"/>
      <c r="V375" s="222"/>
      <c r="X375" s="222"/>
      <c r="Z375" s="250"/>
      <c r="AB375" s="222"/>
      <c r="AD375" s="222"/>
      <c r="AG375" s="250"/>
    </row>
    <row r="376" spans="1:33" s="280" customFormat="1" ht="15.5">
      <c r="A376" s="250"/>
      <c r="B376" s="250"/>
      <c r="C376" s="250"/>
      <c r="D376" s="250"/>
      <c r="E376" s="250"/>
      <c r="F376" s="250"/>
      <c r="H376" s="250"/>
      <c r="J376" s="222"/>
      <c r="L376" s="222"/>
      <c r="N376" s="250"/>
      <c r="P376" s="222"/>
      <c r="R376" s="222"/>
      <c r="T376" s="250"/>
      <c r="V376" s="222"/>
      <c r="X376" s="222"/>
      <c r="Z376" s="250"/>
      <c r="AB376" s="222"/>
      <c r="AD376" s="222"/>
      <c r="AG376" s="250"/>
    </row>
    <row r="377" spans="1:33" s="280" customFormat="1" ht="15.5">
      <c r="A377" s="250"/>
      <c r="B377" s="250"/>
      <c r="C377" s="250"/>
      <c r="D377" s="250"/>
      <c r="E377" s="250"/>
      <c r="F377" s="250"/>
      <c r="H377" s="250"/>
      <c r="J377" s="222"/>
      <c r="L377" s="222"/>
      <c r="N377" s="250"/>
      <c r="P377" s="222"/>
      <c r="R377" s="222"/>
      <c r="T377" s="250"/>
      <c r="V377" s="222"/>
      <c r="X377" s="222"/>
      <c r="Z377" s="250"/>
      <c r="AB377" s="222"/>
      <c r="AD377" s="222"/>
      <c r="AG377" s="250"/>
    </row>
    <row r="378" spans="1:33" s="280" customFormat="1" ht="15.5">
      <c r="A378" s="250"/>
      <c r="B378" s="250"/>
      <c r="C378" s="250"/>
      <c r="D378" s="250"/>
      <c r="E378" s="250"/>
      <c r="F378" s="250"/>
      <c r="H378" s="250"/>
      <c r="J378" s="222"/>
      <c r="L378" s="222"/>
      <c r="N378" s="250"/>
      <c r="P378" s="222"/>
      <c r="R378" s="222"/>
      <c r="T378" s="250"/>
      <c r="V378" s="222"/>
      <c r="X378" s="222"/>
      <c r="Z378" s="250"/>
      <c r="AB378" s="222"/>
      <c r="AD378" s="222"/>
      <c r="AG378" s="250"/>
    </row>
    <row r="379" spans="1:33" s="280" customFormat="1" ht="15.5">
      <c r="A379" s="250"/>
      <c r="B379" s="250"/>
      <c r="C379" s="250"/>
      <c r="D379" s="250"/>
      <c r="E379" s="250"/>
      <c r="F379" s="250"/>
      <c r="H379" s="250"/>
      <c r="J379" s="222"/>
      <c r="L379" s="222"/>
      <c r="N379" s="250"/>
      <c r="P379" s="222"/>
      <c r="R379" s="222"/>
      <c r="T379" s="250"/>
      <c r="V379" s="222"/>
      <c r="X379" s="222"/>
      <c r="Z379" s="250"/>
      <c r="AB379" s="222"/>
      <c r="AD379" s="222"/>
      <c r="AG379" s="250"/>
    </row>
    <row r="380" spans="1:33" s="280" customFormat="1" ht="15.5">
      <c r="A380" s="250"/>
      <c r="B380" s="250"/>
      <c r="C380" s="250"/>
      <c r="D380" s="250"/>
      <c r="E380" s="250"/>
      <c r="F380" s="250"/>
      <c r="H380" s="250"/>
      <c r="J380" s="222"/>
      <c r="L380" s="222"/>
      <c r="N380" s="250"/>
      <c r="P380" s="222"/>
      <c r="R380" s="222"/>
      <c r="T380" s="250"/>
      <c r="V380" s="222"/>
      <c r="X380" s="222"/>
      <c r="Z380" s="250"/>
      <c r="AB380" s="222"/>
      <c r="AD380" s="222"/>
      <c r="AG380" s="250"/>
    </row>
    <row r="381" spans="1:33" s="280" customFormat="1" ht="15.5">
      <c r="A381" s="250"/>
      <c r="B381" s="250"/>
      <c r="C381" s="250"/>
      <c r="D381" s="250"/>
      <c r="E381" s="250"/>
      <c r="F381" s="250"/>
      <c r="H381" s="250"/>
      <c r="J381" s="222"/>
      <c r="L381" s="222"/>
      <c r="N381" s="250"/>
      <c r="P381" s="222"/>
      <c r="R381" s="222"/>
      <c r="T381" s="250"/>
      <c r="V381" s="222"/>
      <c r="X381" s="222"/>
      <c r="Z381" s="250"/>
      <c r="AB381" s="222"/>
      <c r="AD381" s="222"/>
      <c r="AG381" s="250"/>
    </row>
    <row r="382" spans="1:33" s="280" customFormat="1" ht="15.5">
      <c r="A382" s="250"/>
      <c r="B382" s="250"/>
      <c r="C382" s="250"/>
      <c r="D382" s="250"/>
      <c r="E382" s="250"/>
      <c r="F382" s="250"/>
      <c r="H382" s="250"/>
      <c r="J382" s="222"/>
      <c r="L382" s="222"/>
      <c r="N382" s="250"/>
      <c r="P382" s="222"/>
      <c r="R382" s="222"/>
      <c r="T382" s="250"/>
      <c r="V382" s="222"/>
      <c r="X382" s="222"/>
      <c r="Z382" s="250"/>
      <c r="AB382" s="222"/>
      <c r="AD382" s="222"/>
      <c r="AG382" s="250"/>
    </row>
    <row r="383" spans="1:33" s="280" customFormat="1" ht="15.5">
      <c r="A383" s="250"/>
      <c r="B383" s="250"/>
      <c r="C383" s="250"/>
      <c r="D383" s="250"/>
      <c r="E383" s="250"/>
      <c r="F383" s="250"/>
      <c r="H383" s="250"/>
      <c r="J383" s="222"/>
      <c r="L383" s="222"/>
      <c r="N383" s="250"/>
      <c r="P383" s="222"/>
      <c r="R383" s="222"/>
      <c r="T383" s="250"/>
      <c r="V383" s="222"/>
      <c r="X383" s="222"/>
      <c r="Z383" s="250"/>
      <c r="AB383" s="222"/>
      <c r="AD383" s="222"/>
      <c r="AG383" s="250"/>
    </row>
    <row r="384" spans="1:33" s="280" customFormat="1" ht="15.5">
      <c r="A384" s="250"/>
      <c r="B384" s="250"/>
      <c r="C384" s="250"/>
      <c r="D384" s="250"/>
      <c r="E384" s="250"/>
      <c r="F384" s="250"/>
      <c r="H384" s="250"/>
      <c r="J384" s="222"/>
      <c r="L384" s="222"/>
      <c r="N384" s="250"/>
      <c r="P384" s="222"/>
      <c r="R384" s="222"/>
      <c r="T384" s="250"/>
      <c r="V384" s="222"/>
      <c r="X384" s="222"/>
      <c r="Z384" s="250"/>
      <c r="AB384" s="222"/>
      <c r="AD384" s="222"/>
      <c r="AG384" s="250"/>
    </row>
    <row r="385" spans="1:33" s="280" customFormat="1" ht="15.5">
      <c r="A385" s="250"/>
      <c r="B385" s="250"/>
      <c r="C385" s="250"/>
      <c r="D385" s="250"/>
      <c r="E385" s="250"/>
      <c r="F385" s="250"/>
      <c r="H385" s="250"/>
      <c r="J385" s="222"/>
      <c r="L385" s="222"/>
      <c r="N385" s="250"/>
      <c r="P385" s="222"/>
      <c r="R385" s="222"/>
      <c r="T385" s="250"/>
      <c r="V385" s="222"/>
      <c r="X385" s="222"/>
      <c r="Z385" s="250"/>
      <c r="AB385" s="222"/>
      <c r="AD385" s="222"/>
      <c r="AG385" s="250"/>
    </row>
    <row r="386" spans="1:33" s="280" customFormat="1" ht="15.5">
      <c r="A386" s="250"/>
      <c r="B386" s="250"/>
      <c r="C386" s="250"/>
      <c r="D386" s="250"/>
      <c r="E386" s="250"/>
      <c r="F386" s="250"/>
      <c r="H386" s="250"/>
      <c r="J386" s="222"/>
      <c r="L386" s="222"/>
      <c r="N386" s="250"/>
      <c r="P386" s="222"/>
      <c r="R386" s="222"/>
      <c r="T386" s="250"/>
      <c r="V386" s="222"/>
      <c r="X386" s="222"/>
      <c r="Z386" s="250"/>
      <c r="AB386" s="222"/>
      <c r="AD386" s="222"/>
      <c r="AG386" s="250"/>
    </row>
    <row r="387" spans="1:33" s="280" customFormat="1" ht="15.5">
      <c r="A387" s="250"/>
      <c r="B387" s="250"/>
      <c r="C387" s="250"/>
      <c r="D387" s="250"/>
      <c r="E387" s="250"/>
      <c r="F387" s="250"/>
      <c r="H387" s="250"/>
      <c r="J387" s="222"/>
      <c r="L387" s="222"/>
      <c r="N387" s="250"/>
      <c r="P387" s="222"/>
      <c r="R387" s="222"/>
      <c r="T387" s="250"/>
      <c r="V387" s="222"/>
      <c r="X387" s="222"/>
      <c r="Z387" s="250"/>
      <c r="AB387" s="222"/>
      <c r="AD387" s="222"/>
      <c r="AG387" s="250"/>
    </row>
    <row r="388" spans="1:33" s="280" customFormat="1" ht="15.5">
      <c r="A388" s="250"/>
      <c r="B388" s="250"/>
      <c r="C388" s="250"/>
      <c r="D388" s="250"/>
      <c r="E388" s="250"/>
      <c r="F388" s="250"/>
      <c r="H388" s="250"/>
      <c r="J388" s="222"/>
      <c r="L388" s="222"/>
      <c r="N388" s="250"/>
      <c r="P388" s="222"/>
      <c r="R388" s="222"/>
      <c r="T388" s="250"/>
      <c r="V388" s="222"/>
      <c r="X388" s="222"/>
      <c r="Z388" s="250"/>
      <c r="AB388" s="222"/>
      <c r="AD388" s="222"/>
      <c r="AG388" s="250"/>
    </row>
    <row r="389" spans="1:33" s="280" customFormat="1" ht="15.5">
      <c r="A389" s="250"/>
      <c r="B389" s="250"/>
      <c r="C389" s="250"/>
      <c r="D389" s="250"/>
      <c r="E389" s="250"/>
      <c r="F389" s="250"/>
      <c r="H389" s="250"/>
      <c r="J389" s="222"/>
      <c r="L389" s="222"/>
      <c r="N389" s="250"/>
      <c r="P389" s="222"/>
      <c r="R389" s="222"/>
      <c r="T389" s="250"/>
      <c r="V389" s="222"/>
      <c r="X389" s="222"/>
      <c r="Z389" s="250"/>
      <c r="AB389" s="222"/>
      <c r="AD389" s="222"/>
      <c r="AG389" s="250"/>
    </row>
    <row r="390" spans="1:33" s="280" customFormat="1" ht="15.5">
      <c r="A390" s="250"/>
      <c r="B390" s="250"/>
      <c r="C390" s="250"/>
      <c r="D390" s="250"/>
      <c r="E390" s="250"/>
      <c r="F390" s="250"/>
      <c r="H390" s="250"/>
      <c r="J390" s="222"/>
      <c r="L390" s="222"/>
      <c r="N390" s="250"/>
      <c r="P390" s="222"/>
      <c r="R390" s="222"/>
      <c r="T390" s="250"/>
      <c r="V390" s="222"/>
      <c r="X390" s="222"/>
      <c r="Z390" s="250"/>
      <c r="AB390" s="222"/>
      <c r="AD390" s="222"/>
      <c r="AG390" s="250"/>
    </row>
    <row r="391" spans="1:33" s="280" customFormat="1" ht="15.5">
      <c r="A391" s="250"/>
      <c r="B391" s="250"/>
      <c r="C391" s="250"/>
      <c r="D391" s="250"/>
      <c r="E391" s="250"/>
      <c r="F391" s="250"/>
      <c r="H391" s="250"/>
      <c r="J391" s="222"/>
      <c r="L391" s="222"/>
      <c r="N391" s="250"/>
      <c r="P391" s="222"/>
      <c r="R391" s="222"/>
      <c r="T391" s="250"/>
      <c r="V391" s="222"/>
      <c r="X391" s="222"/>
      <c r="Z391" s="250"/>
      <c r="AB391" s="222"/>
      <c r="AD391" s="222"/>
      <c r="AG391" s="250"/>
    </row>
    <row r="392" spans="1:33" s="280" customFormat="1" ht="15.5">
      <c r="A392" s="250"/>
      <c r="B392" s="250"/>
      <c r="C392" s="250"/>
      <c r="D392" s="250"/>
      <c r="E392" s="250"/>
      <c r="F392" s="250"/>
      <c r="H392" s="250"/>
      <c r="J392" s="222"/>
      <c r="L392" s="222"/>
      <c r="N392" s="250"/>
      <c r="P392" s="222"/>
      <c r="R392" s="222"/>
      <c r="T392" s="250"/>
      <c r="V392" s="222"/>
      <c r="X392" s="222"/>
      <c r="Z392" s="250"/>
      <c r="AB392" s="222"/>
      <c r="AD392" s="222"/>
      <c r="AG392" s="250"/>
    </row>
    <row r="393" spans="1:33" s="280" customFormat="1" ht="15.5">
      <c r="A393" s="250"/>
      <c r="B393" s="250"/>
      <c r="C393" s="250"/>
      <c r="D393" s="250"/>
      <c r="E393" s="250"/>
      <c r="F393" s="250"/>
      <c r="H393" s="250"/>
      <c r="J393" s="222"/>
      <c r="L393" s="222"/>
      <c r="N393" s="250"/>
      <c r="P393" s="222"/>
      <c r="R393" s="222"/>
      <c r="T393" s="250"/>
      <c r="V393" s="222"/>
      <c r="X393" s="222"/>
      <c r="Z393" s="250"/>
      <c r="AB393" s="222"/>
      <c r="AD393" s="222"/>
      <c r="AG393" s="250"/>
    </row>
    <row r="394" spans="1:33" s="280" customFormat="1" ht="15.5">
      <c r="A394" s="250"/>
      <c r="B394" s="250"/>
      <c r="C394" s="250"/>
      <c r="D394" s="250"/>
      <c r="E394" s="250"/>
      <c r="F394" s="250"/>
      <c r="H394" s="250"/>
      <c r="J394" s="222"/>
      <c r="L394" s="222"/>
      <c r="N394" s="250"/>
      <c r="P394" s="222"/>
      <c r="R394" s="222"/>
      <c r="T394" s="250"/>
      <c r="V394" s="222"/>
      <c r="X394" s="222"/>
      <c r="Z394" s="250"/>
      <c r="AB394" s="222"/>
      <c r="AD394" s="222"/>
      <c r="AG394" s="250"/>
    </row>
    <row r="395" spans="1:33" s="280" customFormat="1" ht="15.5">
      <c r="A395" s="250"/>
      <c r="B395" s="250"/>
      <c r="C395" s="250"/>
      <c r="D395" s="250"/>
      <c r="E395" s="250"/>
      <c r="F395" s="250"/>
      <c r="H395" s="250"/>
      <c r="J395" s="222"/>
      <c r="L395" s="222"/>
      <c r="N395" s="250"/>
      <c r="P395" s="222"/>
      <c r="R395" s="222"/>
      <c r="T395" s="250"/>
      <c r="V395" s="222"/>
      <c r="X395" s="222"/>
      <c r="Z395" s="250"/>
      <c r="AB395" s="222"/>
      <c r="AD395" s="222"/>
      <c r="AG395" s="250"/>
    </row>
    <row r="396" spans="1:33" s="280" customFormat="1" ht="15.5">
      <c r="A396" s="250"/>
      <c r="B396" s="250"/>
      <c r="C396" s="250"/>
      <c r="D396" s="250"/>
      <c r="E396" s="250"/>
      <c r="F396" s="250"/>
      <c r="H396" s="250"/>
      <c r="J396" s="222"/>
      <c r="L396" s="222"/>
      <c r="N396" s="250"/>
      <c r="P396" s="222"/>
      <c r="R396" s="222"/>
      <c r="T396" s="250"/>
      <c r="V396" s="222"/>
      <c r="X396" s="222"/>
      <c r="Z396" s="250"/>
      <c r="AB396" s="222"/>
      <c r="AD396" s="222"/>
      <c r="AG396" s="250"/>
    </row>
    <row r="397" spans="1:33" s="280" customFormat="1" ht="15.5">
      <c r="A397" s="250"/>
      <c r="B397" s="250"/>
      <c r="C397" s="250"/>
      <c r="D397" s="250"/>
      <c r="E397" s="250"/>
      <c r="F397" s="250"/>
      <c r="H397" s="250"/>
      <c r="J397" s="222"/>
      <c r="L397" s="222"/>
      <c r="N397" s="250"/>
      <c r="P397" s="222"/>
      <c r="R397" s="222"/>
      <c r="T397" s="250"/>
      <c r="V397" s="222"/>
      <c r="X397" s="222"/>
      <c r="Z397" s="250"/>
      <c r="AB397" s="222"/>
      <c r="AD397" s="222"/>
      <c r="AG397" s="250"/>
    </row>
    <row r="398" spans="1:33" s="280" customFormat="1" ht="15.5">
      <c r="A398" s="250"/>
      <c r="B398" s="250"/>
      <c r="C398" s="250"/>
      <c r="D398" s="250"/>
      <c r="E398" s="250"/>
      <c r="F398" s="250"/>
      <c r="H398" s="250"/>
      <c r="J398" s="222"/>
      <c r="L398" s="222"/>
      <c r="N398" s="250"/>
      <c r="P398" s="222"/>
      <c r="R398" s="222"/>
      <c r="T398" s="250"/>
      <c r="V398" s="222"/>
      <c r="X398" s="222"/>
      <c r="Z398" s="250"/>
      <c r="AB398" s="222"/>
      <c r="AD398" s="222"/>
      <c r="AG398" s="250"/>
    </row>
    <row r="399" spans="1:33" s="280" customFormat="1" ht="15.5">
      <c r="A399" s="250"/>
      <c r="B399" s="250"/>
      <c r="C399" s="250"/>
      <c r="D399" s="250"/>
      <c r="E399" s="250"/>
      <c r="F399" s="250"/>
      <c r="H399" s="250"/>
      <c r="J399" s="222"/>
      <c r="L399" s="222"/>
      <c r="N399" s="250"/>
      <c r="P399" s="222"/>
      <c r="R399" s="222"/>
      <c r="T399" s="250"/>
      <c r="V399" s="222"/>
      <c r="X399" s="222"/>
      <c r="Z399" s="250"/>
      <c r="AB399" s="222"/>
      <c r="AD399" s="222"/>
      <c r="AG399" s="250"/>
    </row>
    <row r="400" spans="1:33" s="280" customFormat="1" ht="15.5">
      <c r="A400" s="250"/>
      <c r="B400" s="250"/>
      <c r="C400" s="250"/>
      <c r="D400" s="250"/>
      <c r="E400" s="250"/>
      <c r="F400" s="250"/>
      <c r="H400" s="250"/>
      <c r="J400" s="222"/>
      <c r="L400" s="222"/>
      <c r="N400" s="250"/>
      <c r="P400" s="222"/>
      <c r="R400" s="222"/>
      <c r="T400" s="250"/>
      <c r="V400" s="222"/>
      <c r="X400" s="222"/>
      <c r="Z400" s="250"/>
      <c r="AB400" s="222"/>
      <c r="AD400" s="222"/>
      <c r="AG400" s="250"/>
    </row>
    <row r="401" spans="1:33" s="280" customFormat="1" ht="15.5">
      <c r="A401" s="250"/>
      <c r="B401" s="250"/>
      <c r="C401" s="250"/>
      <c r="D401" s="250"/>
      <c r="E401" s="250"/>
      <c r="F401" s="250"/>
      <c r="H401" s="250"/>
      <c r="J401" s="222"/>
      <c r="L401" s="222"/>
      <c r="N401" s="250"/>
      <c r="P401" s="222"/>
      <c r="R401" s="222"/>
      <c r="T401" s="250"/>
      <c r="V401" s="222"/>
      <c r="X401" s="222"/>
      <c r="Z401" s="250"/>
      <c r="AB401" s="222"/>
      <c r="AD401" s="222"/>
      <c r="AG401" s="250"/>
    </row>
    <row r="402" spans="1:33" s="280" customFormat="1" ht="15.5">
      <c r="A402" s="250"/>
      <c r="B402" s="250"/>
      <c r="C402" s="250"/>
      <c r="D402" s="250"/>
      <c r="E402" s="250"/>
      <c r="F402" s="250"/>
      <c r="H402" s="250"/>
      <c r="J402" s="222"/>
      <c r="L402" s="222"/>
      <c r="N402" s="250"/>
      <c r="P402" s="222"/>
      <c r="R402" s="222"/>
      <c r="T402" s="250"/>
      <c r="V402" s="222"/>
      <c r="X402" s="222"/>
      <c r="Z402" s="250"/>
      <c r="AB402" s="222"/>
      <c r="AD402" s="222"/>
      <c r="AG402" s="250"/>
    </row>
    <row r="403" spans="1:33" s="280" customFormat="1" ht="15.5">
      <c r="A403" s="250"/>
      <c r="B403" s="250"/>
      <c r="C403" s="250"/>
      <c r="D403" s="250"/>
      <c r="E403" s="250"/>
      <c r="F403" s="250"/>
      <c r="H403" s="250"/>
      <c r="J403" s="222"/>
      <c r="L403" s="222"/>
      <c r="N403" s="250"/>
      <c r="P403" s="222"/>
      <c r="R403" s="222"/>
      <c r="T403" s="250"/>
      <c r="V403" s="222"/>
      <c r="X403" s="222"/>
      <c r="Z403" s="250"/>
      <c r="AB403" s="222"/>
      <c r="AD403" s="222"/>
      <c r="AG403" s="250"/>
    </row>
    <row r="404" spans="1:33" s="280" customFormat="1" ht="15.5">
      <c r="A404" s="250"/>
      <c r="B404" s="250"/>
      <c r="C404" s="250"/>
      <c r="D404" s="250"/>
      <c r="E404" s="250"/>
      <c r="F404" s="250"/>
      <c r="H404" s="250"/>
      <c r="J404" s="222"/>
      <c r="L404" s="222"/>
      <c r="N404" s="250"/>
      <c r="P404" s="222"/>
      <c r="R404" s="222"/>
      <c r="T404" s="250"/>
      <c r="V404" s="222"/>
      <c r="X404" s="222"/>
      <c r="Z404" s="250"/>
      <c r="AB404" s="222"/>
      <c r="AD404" s="222"/>
      <c r="AG404" s="250"/>
    </row>
    <row r="405" spans="1:33" s="280" customFormat="1" ht="15.5">
      <c r="A405" s="250"/>
      <c r="B405" s="250"/>
      <c r="C405" s="250"/>
      <c r="D405" s="250"/>
      <c r="E405" s="250"/>
      <c r="F405" s="250"/>
      <c r="H405" s="250"/>
      <c r="J405" s="222"/>
      <c r="L405" s="222"/>
      <c r="N405" s="250"/>
      <c r="P405" s="222"/>
      <c r="R405" s="222"/>
      <c r="T405" s="250"/>
      <c r="V405" s="222"/>
      <c r="X405" s="222"/>
      <c r="Z405" s="250"/>
      <c r="AB405" s="222"/>
      <c r="AD405" s="222"/>
      <c r="AG405" s="250"/>
    </row>
    <row r="406" spans="1:33" s="280" customFormat="1" ht="15.5">
      <c r="A406" s="250"/>
      <c r="B406" s="250"/>
      <c r="C406" s="250"/>
      <c r="D406" s="250"/>
      <c r="E406" s="250"/>
      <c r="F406" s="250"/>
      <c r="H406" s="250"/>
      <c r="J406" s="222"/>
      <c r="L406" s="222"/>
      <c r="N406" s="250"/>
      <c r="P406" s="222"/>
      <c r="R406" s="222"/>
      <c r="T406" s="250"/>
      <c r="V406" s="222"/>
      <c r="X406" s="222"/>
      <c r="Z406" s="250"/>
      <c r="AB406" s="222"/>
      <c r="AD406" s="222"/>
      <c r="AG406" s="250"/>
    </row>
    <row r="407" spans="1:33" s="280" customFormat="1" ht="15.5">
      <c r="A407" s="250"/>
      <c r="B407" s="250"/>
      <c r="C407" s="250"/>
      <c r="D407" s="250"/>
      <c r="E407" s="250"/>
      <c r="F407" s="250"/>
      <c r="H407" s="250"/>
      <c r="J407" s="222"/>
      <c r="L407" s="222"/>
      <c r="N407" s="250"/>
      <c r="P407" s="222"/>
      <c r="R407" s="222"/>
      <c r="T407" s="250"/>
      <c r="V407" s="222"/>
      <c r="X407" s="222"/>
      <c r="Z407" s="250"/>
      <c r="AB407" s="222"/>
      <c r="AD407" s="222"/>
      <c r="AG407" s="250"/>
    </row>
    <row r="408" spans="1:33" s="280" customFormat="1" ht="15.5">
      <c r="A408" s="250"/>
      <c r="B408" s="250"/>
      <c r="C408" s="250"/>
      <c r="D408" s="250"/>
      <c r="E408" s="250"/>
      <c r="F408" s="250"/>
      <c r="H408" s="250"/>
      <c r="J408" s="222"/>
      <c r="L408" s="222"/>
      <c r="N408" s="250"/>
      <c r="P408" s="222"/>
      <c r="R408" s="222"/>
      <c r="T408" s="250"/>
      <c r="V408" s="222"/>
      <c r="X408" s="222"/>
      <c r="Z408" s="250"/>
      <c r="AB408" s="222"/>
      <c r="AD408" s="222"/>
      <c r="AG408" s="250"/>
    </row>
    <row r="409" spans="1:33" s="280" customFormat="1" ht="15.5">
      <c r="A409" s="250"/>
      <c r="B409" s="250"/>
      <c r="C409" s="250"/>
      <c r="D409" s="250"/>
      <c r="E409" s="250"/>
      <c r="F409" s="250"/>
      <c r="H409" s="250"/>
      <c r="J409" s="222"/>
      <c r="L409" s="222"/>
      <c r="N409" s="250"/>
      <c r="P409" s="222"/>
      <c r="R409" s="222"/>
      <c r="T409" s="250"/>
      <c r="V409" s="222"/>
      <c r="X409" s="222"/>
      <c r="Z409" s="250"/>
      <c r="AB409" s="222"/>
      <c r="AD409" s="222"/>
      <c r="AG409" s="250"/>
    </row>
    <row r="410" spans="1:33" s="280" customFormat="1" ht="15.5">
      <c r="A410" s="250"/>
      <c r="B410" s="250"/>
      <c r="C410" s="250"/>
      <c r="D410" s="250"/>
      <c r="E410" s="250"/>
      <c r="F410" s="250"/>
      <c r="H410" s="250"/>
      <c r="J410" s="222"/>
      <c r="L410" s="222"/>
      <c r="N410" s="250"/>
      <c r="P410" s="222"/>
      <c r="R410" s="222"/>
      <c r="T410" s="250"/>
      <c r="V410" s="222"/>
      <c r="X410" s="222"/>
      <c r="Z410" s="250"/>
      <c r="AB410" s="222"/>
      <c r="AD410" s="222"/>
      <c r="AG410" s="250"/>
    </row>
    <row r="411" spans="1:33" s="280" customFormat="1" ht="15.5">
      <c r="A411" s="250"/>
      <c r="B411" s="250"/>
      <c r="C411" s="250"/>
      <c r="D411" s="250"/>
      <c r="E411" s="250"/>
      <c r="F411" s="250"/>
      <c r="H411" s="250"/>
      <c r="J411" s="222"/>
      <c r="L411" s="222"/>
      <c r="N411" s="250"/>
      <c r="P411" s="222"/>
      <c r="R411" s="222"/>
      <c r="T411" s="250"/>
      <c r="V411" s="222"/>
      <c r="X411" s="222"/>
      <c r="Z411" s="250"/>
      <c r="AB411" s="222"/>
      <c r="AD411" s="222"/>
      <c r="AG411" s="250"/>
    </row>
    <row r="412" spans="1:33" s="280" customFormat="1" ht="15.5">
      <c r="A412" s="250"/>
      <c r="B412" s="250"/>
      <c r="C412" s="250"/>
      <c r="D412" s="250"/>
      <c r="E412" s="250"/>
      <c r="F412" s="250"/>
      <c r="H412" s="250"/>
      <c r="J412" s="222"/>
      <c r="L412" s="222"/>
      <c r="N412" s="250"/>
      <c r="P412" s="222"/>
      <c r="R412" s="222"/>
      <c r="T412" s="250"/>
      <c r="V412" s="222"/>
      <c r="X412" s="222"/>
      <c r="Z412" s="250"/>
      <c r="AB412" s="222"/>
      <c r="AD412" s="222"/>
      <c r="AG412" s="250"/>
    </row>
    <row r="413" spans="1:33" s="280" customFormat="1" ht="15.5">
      <c r="A413" s="250"/>
      <c r="B413" s="250"/>
      <c r="C413" s="250"/>
      <c r="D413" s="250"/>
      <c r="E413" s="250"/>
      <c r="F413" s="250"/>
      <c r="H413" s="250"/>
      <c r="J413" s="222"/>
      <c r="L413" s="222"/>
      <c r="N413" s="250"/>
      <c r="P413" s="222"/>
      <c r="R413" s="222"/>
      <c r="T413" s="250"/>
      <c r="V413" s="222"/>
      <c r="X413" s="222"/>
      <c r="Z413" s="250"/>
      <c r="AB413" s="222"/>
      <c r="AD413" s="222"/>
      <c r="AG413" s="250"/>
    </row>
    <row r="414" spans="1:33" s="280" customFormat="1" ht="15.5">
      <c r="A414" s="250"/>
      <c r="B414" s="250"/>
      <c r="C414" s="250"/>
      <c r="D414" s="250"/>
      <c r="E414" s="250"/>
      <c r="F414" s="250"/>
      <c r="H414" s="250"/>
      <c r="J414" s="222"/>
      <c r="L414" s="222"/>
      <c r="N414" s="250"/>
      <c r="P414" s="222"/>
      <c r="R414" s="222"/>
      <c r="T414" s="250"/>
      <c r="V414" s="222"/>
      <c r="X414" s="222"/>
      <c r="Z414" s="250"/>
      <c r="AB414" s="222"/>
      <c r="AD414" s="222"/>
      <c r="AG414" s="250"/>
    </row>
    <row r="415" spans="1:33" s="280" customFormat="1" ht="15.5">
      <c r="A415" s="250"/>
      <c r="B415" s="250"/>
      <c r="C415" s="250"/>
      <c r="D415" s="250"/>
      <c r="E415" s="250"/>
      <c r="F415" s="250"/>
      <c r="H415" s="250"/>
      <c r="J415" s="222"/>
      <c r="L415" s="222"/>
      <c r="N415" s="250"/>
      <c r="P415" s="222"/>
      <c r="R415" s="222"/>
      <c r="T415" s="250"/>
      <c r="V415" s="222"/>
      <c r="X415" s="222"/>
      <c r="Z415" s="250"/>
      <c r="AB415" s="222"/>
      <c r="AD415" s="222"/>
      <c r="AG415" s="250"/>
    </row>
    <row r="416" spans="1:33" s="280" customFormat="1" ht="15.5">
      <c r="A416" s="250"/>
      <c r="B416" s="250"/>
      <c r="C416" s="250"/>
      <c r="D416" s="250"/>
      <c r="E416" s="250"/>
      <c r="F416" s="250"/>
      <c r="H416" s="250"/>
      <c r="J416" s="222"/>
      <c r="L416" s="222"/>
      <c r="N416" s="250"/>
      <c r="P416" s="222"/>
      <c r="R416" s="222"/>
      <c r="T416" s="250"/>
      <c r="V416" s="222"/>
      <c r="X416" s="222"/>
      <c r="Z416" s="250"/>
      <c r="AB416" s="222"/>
      <c r="AD416" s="222"/>
      <c r="AG416" s="250"/>
    </row>
    <row r="417" spans="1:33" s="280" customFormat="1" ht="15.5">
      <c r="A417" s="250"/>
      <c r="B417" s="250"/>
      <c r="C417" s="250"/>
      <c r="D417" s="250"/>
      <c r="E417" s="250"/>
      <c r="F417" s="250"/>
      <c r="H417" s="250"/>
      <c r="J417" s="222"/>
      <c r="L417" s="222"/>
      <c r="N417" s="250"/>
      <c r="P417" s="222"/>
      <c r="R417" s="222"/>
      <c r="T417" s="250"/>
      <c r="V417" s="222"/>
      <c r="X417" s="222"/>
      <c r="Z417" s="250"/>
      <c r="AB417" s="222"/>
      <c r="AD417" s="222"/>
      <c r="AG417" s="250"/>
    </row>
    <row r="418" spans="1:33" s="280" customFormat="1" ht="15.5">
      <c r="A418" s="250"/>
      <c r="B418" s="250"/>
      <c r="C418" s="250"/>
      <c r="D418" s="250"/>
      <c r="E418" s="250"/>
      <c r="F418" s="250"/>
      <c r="H418" s="250"/>
      <c r="J418" s="222"/>
      <c r="L418" s="222"/>
      <c r="N418" s="250"/>
      <c r="P418" s="222"/>
      <c r="R418" s="222"/>
      <c r="T418" s="250"/>
      <c r="V418" s="222"/>
      <c r="X418" s="222"/>
      <c r="Z418" s="250"/>
      <c r="AB418" s="222"/>
      <c r="AD418" s="222"/>
      <c r="AG418" s="250"/>
    </row>
    <row r="419" spans="1:33" s="280" customFormat="1" ht="15.5">
      <c r="A419" s="250"/>
      <c r="B419" s="250"/>
      <c r="C419" s="250"/>
      <c r="D419" s="250"/>
      <c r="E419" s="250"/>
      <c r="F419" s="250"/>
      <c r="H419" s="250"/>
      <c r="J419" s="222"/>
      <c r="L419" s="222"/>
      <c r="N419" s="250"/>
      <c r="P419" s="222"/>
      <c r="R419" s="222"/>
      <c r="T419" s="250"/>
      <c r="V419" s="222"/>
      <c r="X419" s="222"/>
      <c r="Z419" s="250"/>
      <c r="AB419" s="222"/>
      <c r="AD419" s="222"/>
      <c r="AG419" s="250"/>
    </row>
    <row r="420" spans="1:33" s="280" customFormat="1" ht="15.5">
      <c r="A420" s="250"/>
      <c r="B420" s="250"/>
      <c r="C420" s="250"/>
      <c r="D420" s="250"/>
      <c r="E420" s="250"/>
      <c r="F420" s="250"/>
      <c r="H420" s="250"/>
      <c r="J420" s="222"/>
      <c r="L420" s="222"/>
      <c r="N420" s="250"/>
      <c r="P420" s="222"/>
      <c r="R420" s="222"/>
      <c r="T420" s="250"/>
      <c r="V420" s="222"/>
      <c r="X420" s="222"/>
      <c r="Z420" s="250"/>
      <c r="AB420" s="222"/>
      <c r="AD420" s="222"/>
      <c r="AG420" s="250"/>
    </row>
    <row r="421" spans="1:33" s="280" customFormat="1" ht="15.5">
      <c r="A421" s="250"/>
      <c r="B421" s="250"/>
      <c r="C421" s="250"/>
      <c r="D421" s="250"/>
      <c r="E421" s="250"/>
      <c r="F421" s="250"/>
      <c r="H421" s="250"/>
      <c r="J421" s="222"/>
      <c r="L421" s="222"/>
      <c r="N421" s="250"/>
      <c r="P421" s="222"/>
      <c r="R421" s="222"/>
      <c r="T421" s="250"/>
      <c r="V421" s="222"/>
      <c r="X421" s="222"/>
      <c r="Z421" s="250"/>
      <c r="AB421" s="222"/>
      <c r="AD421" s="222"/>
      <c r="AG421" s="250"/>
    </row>
    <row r="422" spans="1:33" s="280" customFormat="1" ht="15.5">
      <c r="A422" s="250"/>
      <c r="B422" s="250"/>
      <c r="C422" s="250"/>
      <c r="D422" s="250"/>
      <c r="E422" s="250"/>
      <c r="F422" s="250"/>
      <c r="H422" s="250"/>
      <c r="J422" s="222"/>
      <c r="L422" s="222"/>
      <c r="N422" s="250"/>
      <c r="P422" s="222"/>
      <c r="R422" s="222"/>
      <c r="T422" s="250"/>
      <c r="V422" s="222"/>
      <c r="X422" s="222"/>
      <c r="Z422" s="250"/>
      <c r="AB422" s="222"/>
      <c r="AD422" s="222"/>
      <c r="AG422" s="250"/>
    </row>
    <row r="423" spans="1:33" s="280" customFormat="1" ht="15.5">
      <c r="A423" s="250"/>
      <c r="B423" s="250"/>
      <c r="C423" s="250"/>
      <c r="D423" s="250"/>
      <c r="E423" s="250"/>
      <c r="F423" s="250"/>
      <c r="H423" s="250"/>
      <c r="J423" s="222"/>
      <c r="L423" s="222"/>
      <c r="N423" s="250"/>
      <c r="P423" s="222"/>
      <c r="R423" s="222"/>
      <c r="T423" s="250"/>
      <c r="V423" s="222"/>
      <c r="X423" s="222"/>
      <c r="Z423" s="250"/>
      <c r="AB423" s="222"/>
      <c r="AD423" s="222"/>
      <c r="AG423" s="250"/>
    </row>
    <row r="424" spans="1:33" s="280" customFormat="1" ht="15.5">
      <c r="A424" s="250"/>
      <c r="B424" s="250"/>
      <c r="C424" s="250"/>
      <c r="D424" s="250"/>
      <c r="E424" s="250"/>
      <c r="F424" s="250"/>
      <c r="H424" s="250"/>
      <c r="J424" s="222"/>
      <c r="L424" s="222"/>
      <c r="N424" s="250"/>
      <c r="P424" s="222"/>
      <c r="R424" s="222"/>
      <c r="T424" s="250"/>
      <c r="V424" s="222"/>
      <c r="X424" s="222"/>
      <c r="Z424" s="250"/>
      <c r="AB424" s="222"/>
      <c r="AD424" s="222"/>
      <c r="AG424" s="250"/>
    </row>
    <row r="425" spans="1:33" s="280" customFormat="1" ht="15.5">
      <c r="A425" s="250"/>
      <c r="B425" s="250"/>
      <c r="C425" s="250"/>
      <c r="D425" s="250"/>
      <c r="E425" s="250"/>
      <c r="F425" s="250"/>
      <c r="H425" s="250"/>
      <c r="J425" s="222"/>
      <c r="L425" s="222"/>
      <c r="N425" s="250"/>
      <c r="P425" s="222"/>
      <c r="R425" s="222"/>
      <c r="T425" s="250"/>
      <c r="V425" s="222"/>
      <c r="X425" s="222"/>
      <c r="Z425" s="250"/>
      <c r="AB425" s="222"/>
      <c r="AD425" s="222"/>
      <c r="AG425" s="250"/>
    </row>
    <row r="426" spans="1:33" s="280" customFormat="1" ht="15.5">
      <c r="A426" s="250"/>
      <c r="B426" s="250"/>
      <c r="C426" s="250"/>
      <c r="D426" s="250"/>
      <c r="E426" s="250"/>
      <c r="F426" s="250"/>
      <c r="H426" s="250"/>
      <c r="J426" s="222"/>
      <c r="L426" s="222"/>
      <c r="N426" s="250"/>
      <c r="P426" s="222"/>
      <c r="R426" s="222"/>
      <c r="T426" s="250"/>
      <c r="V426" s="222"/>
      <c r="X426" s="222"/>
      <c r="Z426" s="250"/>
      <c r="AB426" s="222"/>
      <c r="AD426" s="222"/>
      <c r="AG426" s="250"/>
    </row>
    <row r="427" spans="1:33" s="280" customFormat="1" ht="15.5">
      <c r="A427" s="250"/>
      <c r="B427" s="250"/>
      <c r="C427" s="250"/>
      <c r="D427" s="250"/>
      <c r="E427" s="250"/>
      <c r="F427" s="250"/>
      <c r="H427" s="250"/>
      <c r="J427" s="222"/>
      <c r="L427" s="222"/>
      <c r="N427" s="250"/>
      <c r="P427" s="222"/>
      <c r="R427" s="222"/>
      <c r="T427" s="250"/>
      <c r="V427" s="222"/>
      <c r="X427" s="222"/>
      <c r="Z427" s="250"/>
      <c r="AB427" s="222"/>
      <c r="AD427" s="222"/>
      <c r="AG427" s="250"/>
    </row>
    <row r="428" spans="1:33" s="280" customFormat="1" ht="15.5">
      <c r="A428" s="250"/>
      <c r="B428" s="250"/>
      <c r="C428" s="250"/>
      <c r="D428" s="250"/>
      <c r="E428" s="250"/>
      <c r="F428" s="250"/>
      <c r="H428" s="250"/>
      <c r="J428" s="222"/>
      <c r="L428" s="222"/>
      <c r="N428" s="250"/>
      <c r="P428" s="222"/>
      <c r="R428" s="222"/>
      <c r="T428" s="250"/>
      <c r="V428" s="222"/>
      <c r="X428" s="222"/>
      <c r="Z428" s="250"/>
      <c r="AB428" s="222"/>
      <c r="AD428" s="222"/>
      <c r="AG428" s="250"/>
    </row>
    <row r="429" spans="1:33" s="280" customFormat="1" ht="15.5">
      <c r="A429" s="250"/>
      <c r="B429" s="250"/>
      <c r="C429" s="250"/>
      <c r="D429" s="250"/>
      <c r="E429" s="250"/>
      <c r="F429" s="250"/>
      <c r="H429" s="250"/>
      <c r="J429" s="222"/>
      <c r="L429" s="222"/>
      <c r="N429" s="250"/>
      <c r="P429" s="222"/>
      <c r="R429" s="222"/>
      <c r="T429" s="250"/>
      <c r="V429" s="222"/>
      <c r="X429" s="222"/>
      <c r="Z429" s="250"/>
      <c r="AB429" s="222"/>
      <c r="AD429" s="222"/>
      <c r="AG429" s="250"/>
    </row>
    <row r="430" spans="1:33" s="280" customFormat="1" ht="15.5">
      <c r="A430" s="250"/>
      <c r="B430" s="250"/>
      <c r="C430" s="250"/>
      <c r="D430" s="250"/>
      <c r="E430" s="250"/>
      <c r="F430" s="250"/>
      <c r="H430" s="250"/>
      <c r="J430" s="222"/>
      <c r="L430" s="222"/>
      <c r="N430" s="250"/>
      <c r="P430" s="222"/>
      <c r="R430" s="222"/>
      <c r="T430" s="250"/>
      <c r="V430" s="222"/>
      <c r="X430" s="222"/>
      <c r="Z430" s="250"/>
      <c r="AB430" s="222"/>
      <c r="AD430" s="222"/>
      <c r="AG430" s="250"/>
    </row>
    <row r="431" spans="1:33" s="280" customFormat="1" ht="15.5">
      <c r="A431" s="250"/>
      <c r="B431" s="250"/>
      <c r="C431" s="250"/>
      <c r="D431" s="250"/>
      <c r="E431" s="250"/>
      <c r="F431" s="250"/>
      <c r="H431" s="250"/>
      <c r="J431" s="222"/>
      <c r="L431" s="222"/>
      <c r="N431" s="250"/>
      <c r="P431" s="222"/>
      <c r="R431" s="222"/>
      <c r="T431" s="250"/>
      <c r="V431" s="222"/>
      <c r="X431" s="222"/>
      <c r="Z431" s="250"/>
      <c r="AB431" s="222"/>
      <c r="AD431" s="222"/>
      <c r="AG431" s="250"/>
    </row>
    <row r="432" spans="1:33" s="280" customFormat="1" ht="15.5">
      <c r="A432" s="250"/>
      <c r="B432" s="250"/>
      <c r="C432" s="250"/>
      <c r="D432" s="250"/>
      <c r="E432" s="250"/>
      <c r="F432" s="250"/>
      <c r="H432" s="250"/>
      <c r="J432" s="222"/>
      <c r="L432" s="222"/>
      <c r="N432" s="250"/>
      <c r="P432" s="222"/>
      <c r="R432" s="222"/>
      <c r="T432" s="250"/>
      <c r="V432" s="222"/>
      <c r="X432" s="222"/>
      <c r="Z432" s="250"/>
      <c r="AB432" s="222"/>
      <c r="AD432" s="222"/>
      <c r="AG432" s="250"/>
    </row>
    <row r="433" spans="1:33" s="280" customFormat="1" ht="15.5">
      <c r="A433" s="250"/>
      <c r="B433" s="250"/>
      <c r="C433" s="250"/>
      <c r="D433" s="250"/>
      <c r="E433" s="250"/>
      <c r="F433" s="250"/>
      <c r="H433" s="250"/>
      <c r="J433" s="222"/>
      <c r="L433" s="222"/>
      <c r="N433" s="250"/>
      <c r="P433" s="222"/>
      <c r="R433" s="222"/>
      <c r="T433" s="250"/>
      <c r="V433" s="222"/>
      <c r="X433" s="222"/>
      <c r="Z433" s="250"/>
      <c r="AB433" s="222"/>
      <c r="AD433" s="222"/>
      <c r="AG433" s="250"/>
    </row>
    <row r="434" spans="1:33" s="280" customFormat="1" ht="15.5">
      <c r="A434" s="250"/>
      <c r="B434" s="250"/>
      <c r="C434" s="250"/>
      <c r="D434" s="250"/>
      <c r="E434" s="250"/>
      <c r="F434" s="250"/>
      <c r="H434" s="250"/>
      <c r="J434" s="222"/>
      <c r="L434" s="222"/>
      <c r="N434" s="250"/>
      <c r="P434" s="222"/>
      <c r="R434" s="222"/>
      <c r="T434" s="250"/>
      <c r="V434" s="222"/>
      <c r="X434" s="222"/>
      <c r="Z434" s="250"/>
      <c r="AB434" s="222"/>
      <c r="AD434" s="222"/>
      <c r="AG434" s="250"/>
    </row>
    <row r="435" spans="1:33" s="280" customFormat="1" ht="15.5">
      <c r="A435" s="250"/>
      <c r="B435" s="250"/>
      <c r="C435" s="250"/>
      <c r="D435" s="250"/>
      <c r="E435" s="250"/>
      <c r="F435" s="250"/>
      <c r="H435" s="250"/>
      <c r="J435" s="222"/>
      <c r="L435" s="222"/>
      <c r="N435" s="250"/>
      <c r="P435" s="222"/>
      <c r="R435" s="222"/>
      <c r="T435" s="250"/>
      <c r="V435" s="222"/>
      <c r="X435" s="222"/>
      <c r="Z435" s="250"/>
      <c r="AB435" s="222"/>
      <c r="AD435" s="222"/>
      <c r="AG435" s="250"/>
    </row>
    <row r="436" spans="1:33" s="280" customFormat="1" ht="15.5">
      <c r="A436" s="250"/>
      <c r="B436" s="250"/>
      <c r="C436" s="250"/>
      <c r="D436" s="250"/>
      <c r="E436" s="250"/>
      <c r="F436" s="250"/>
      <c r="H436" s="250"/>
      <c r="J436" s="222"/>
      <c r="L436" s="222"/>
      <c r="N436" s="250"/>
      <c r="P436" s="222"/>
      <c r="R436" s="222"/>
      <c r="T436" s="250"/>
      <c r="V436" s="222"/>
      <c r="X436" s="222"/>
      <c r="Z436" s="250"/>
      <c r="AB436" s="222"/>
      <c r="AD436" s="222"/>
      <c r="AG436" s="250"/>
    </row>
    <row r="437" spans="1:33" s="280" customFormat="1" ht="15.5">
      <c r="A437" s="250"/>
      <c r="B437" s="250"/>
      <c r="C437" s="250"/>
      <c r="D437" s="250"/>
      <c r="E437" s="250"/>
      <c r="F437" s="250"/>
      <c r="H437" s="250"/>
      <c r="J437" s="222"/>
      <c r="L437" s="222"/>
      <c r="N437" s="250"/>
      <c r="P437" s="222"/>
      <c r="R437" s="222"/>
      <c r="T437" s="250"/>
      <c r="V437" s="222"/>
      <c r="X437" s="222"/>
      <c r="Z437" s="250"/>
      <c r="AB437" s="222"/>
      <c r="AD437" s="222"/>
      <c r="AG437" s="250"/>
    </row>
    <row r="438" spans="1:33" s="280" customFormat="1" ht="15.5">
      <c r="A438" s="250"/>
      <c r="B438" s="250"/>
      <c r="C438" s="250"/>
      <c r="D438" s="250"/>
      <c r="E438" s="250"/>
      <c r="F438" s="250"/>
      <c r="H438" s="250"/>
      <c r="J438" s="222"/>
      <c r="L438" s="222"/>
      <c r="N438" s="250"/>
      <c r="P438" s="222"/>
      <c r="R438" s="222"/>
      <c r="T438" s="250"/>
      <c r="V438" s="222"/>
      <c r="X438" s="222"/>
      <c r="Z438" s="250"/>
      <c r="AB438" s="222"/>
      <c r="AD438" s="222"/>
      <c r="AG438" s="250"/>
    </row>
    <row r="439" spans="1:33" s="280" customFormat="1" ht="15.5">
      <c r="A439" s="250"/>
      <c r="B439" s="250"/>
      <c r="C439" s="250"/>
      <c r="D439" s="250"/>
      <c r="E439" s="250"/>
      <c r="F439" s="250"/>
      <c r="H439" s="250"/>
      <c r="J439" s="222"/>
      <c r="L439" s="222"/>
      <c r="N439" s="250"/>
      <c r="P439" s="222"/>
      <c r="R439" s="222"/>
      <c r="T439" s="250"/>
      <c r="V439" s="222"/>
      <c r="X439" s="222"/>
      <c r="Z439" s="250"/>
      <c r="AB439" s="222"/>
      <c r="AD439" s="222"/>
      <c r="AG439" s="250"/>
    </row>
    <row r="440" spans="1:33" s="280" customFormat="1" ht="15.5">
      <c r="A440" s="250"/>
      <c r="B440" s="250"/>
      <c r="C440" s="250"/>
      <c r="D440" s="250"/>
      <c r="E440" s="250"/>
      <c r="F440" s="250"/>
      <c r="H440" s="250"/>
      <c r="J440" s="222"/>
      <c r="L440" s="222"/>
      <c r="N440" s="250"/>
      <c r="P440" s="222"/>
      <c r="R440" s="222"/>
      <c r="T440" s="250"/>
      <c r="V440" s="222"/>
      <c r="X440" s="222"/>
      <c r="Z440" s="250"/>
      <c r="AB440" s="222"/>
      <c r="AD440" s="222"/>
      <c r="AG440" s="250"/>
    </row>
    <row r="441" spans="1:33" s="280" customFormat="1" ht="15.5">
      <c r="A441" s="250"/>
      <c r="B441" s="250"/>
      <c r="C441" s="250"/>
      <c r="D441" s="250"/>
      <c r="E441" s="250"/>
      <c r="F441" s="250"/>
      <c r="H441" s="250"/>
      <c r="J441" s="222"/>
      <c r="L441" s="222"/>
      <c r="N441" s="250"/>
      <c r="P441" s="222"/>
      <c r="R441" s="222"/>
      <c r="T441" s="250"/>
      <c r="V441" s="222"/>
      <c r="X441" s="222"/>
      <c r="Z441" s="250"/>
      <c r="AB441" s="222"/>
      <c r="AD441" s="222"/>
      <c r="AG441" s="250"/>
    </row>
    <row r="442" spans="1:33" s="280" customFormat="1" ht="15.5">
      <c r="A442" s="250"/>
      <c r="B442" s="250"/>
      <c r="C442" s="250"/>
      <c r="D442" s="250"/>
      <c r="E442" s="250"/>
      <c r="F442" s="250"/>
      <c r="H442" s="250"/>
      <c r="J442" s="222"/>
      <c r="L442" s="222"/>
      <c r="N442" s="250"/>
      <c r="P442" s="222"/>
      <c r="R442" s="222"/>
      <c r="T442" s="250"/>
      <c r="V442" s="222"/>
      <c r="X442" s="222"/>
      <c r="Z442" s="250"/>
      <c r="AB442" s="222"/>
      <c r="AD442" s="222"/>
      <c r="AG442" s="250"/>
    </row>
    <row r="443" spans="1:33" s="280" customFormat="1" ht="15.5">
      <c r="A443" s="250"/>
      <c r="B443" s="250"/>
      <c r="C443" s="250"/>
      <c r="D443" s="250"/>
      <c r="E443" s="250"/>
      <c r="F443" s="250"/>
      <c r="H443" s="250"/>
      <c r="J443" s="222"/>
      <c r="L443" s="222"/>
      <c r="N443" s="250"/>
      <c r="P443" s="222"/>
      <c r="R443" s="222"/>
      <c r="T443" s="250"/>
      <c r="V443" s="222"/>
      <c r="X443" s="222"/>
      <c r="Z443" s="250"/>
      <c r="AB443" s="222"/>
      <c r="AD443" s="222"/>
      <c r="AG443" s="250"/>
    </row>
    <row r="444" spans="1:33" s="280" customFormat="1" ht="15.5">
      <c r="A444" s="250"/>
      <c r="B444" s="250"/>
      <c r="C444" s="250"/>
      <c r="D444" s="250"/>
      <c r="E444" s="250"/>
      <c r="F444" s="250"/>
      <c r="H444" s="250"/>
      <c r="J444" s="222"/>
      <c r="L444" s="222"/>
      <c r="N444" s="250"/>
      <c r="P444" s="222"/>
      <c r="R444" s="222"/>
      <c r="T444" s="250"/>
      <c r="V444" s="222"/>
      <c r="X444" s="222"/>
      <c r="Z444" s="250"/>
      <c r="AB444" s="222"/>
      <c r="AD444" s="222"/>
      <c r="AG444" s="250"/>
    </row>
    <row r="445" spans="1:33" s="280" customFormat="1" ht="15.5">
      <c r="A445" s="250"/>
      <c r="B445" s="250"/>
      <c r="C445" s="250"/>
      <c r="D445" s="250"/>
      <c r="E445" s="250"/>
      <c r="F445" s="250"/>
      <c r="H445" s="250"/>
      <c r="J445" s="222"/>
      <c r="L445" s="222"/>
      <c r="N445" s="250"/>
      <c r="P445" s="222"/>
      <c r="R445" s="222"/>
      <c r="T445" s="250"/>
      <c r="V445" s="222"/>
      <c r="X445" s="222"/>
      <c r="Z445" s="250"/>
      <c r="AB445" s="222"/>
      <c r="AD445" s="222"/>
      <c r="AG445" s="250"/>
    </row>
    <row r="446" spans="1:33" s="280" customFormat="1" ht="15.5">
      <c r="A446" s="250"/>
      <c r="B446" s="250"/>
      <c r="C446" s="250"/>
      <c r="D446" s="250"/>
      <c r="E446" s="250"/>
      <c r="F446" s="250"/>
      <c r="H446" s="250"/>
      <c r="J446" s="222"/>
      <c r="L446" s="222"/>
      <c r="N446" s="250"/>
      <c r="P446" s="222"/>
      <c r="R446" s="222"/>
      <c r="T446" s="250"/>
      <c r="V446" s="222"/>
      <c r="X446" s="222"/>
      <c r="Z446" s="250"/>
      <c r="AB446" s="222"/>
      <c r="AD446" s="222"/>
      <c r="AG446" s="250"/>
    </row>
    <row r="447" spans="1:33" s="280" customFormat="1" ht="15.5">
      <c r="A447" s="250"/>
      <c r="B447" s="250"/>
      <c r="C447" s="250"/>
      <c r="D447" s="250"/>
      <c r="E447" s="250"/>
      <c r="F447" s="250"/>
      <c r="H447" s="250"/>
      <c r="J447" s="222"/>
      <c r="L447" s="222"/>
      <c r="N447" s="250"/>
      <c r="P447" s="222"/>
      <c r="R447" s="222"/>
      <c r="T447" s="250"/>
      <c r="V447" s="222"/>
      <c r="X447" s="222"/>
      <c r="Z447" s="250"/>
      <c r="AB447" s="222"/>
      <c r="AD447" s="222"/>
      <c r="AG447" s="250"/>
    </row>
    <row r="448" spans="1:33" s="280" customFormat="1" ht="15.5">
      <c r="A448" s="250"/>
      <c r="B448" s="250"/>
      <c r="C448" s="250"/>
      <c r="D448" s="250"/>
      <c r="E448" s="250"/>
      <c r="F448" s="250"/>
      <c r="H448" s="250"/>
      <c r="J448" s="222"/>
      <c r="L448" s="222"/>
      <c r="N448" s="250"/>
      <c r="P448" s="222"/>
      <c r="R448" s="222"/>
      <c r="T448" s="250"/>
      <c r="V448" s="222"/>
      <c r="X448" s="222"/>
      <c r="Z448" s="250"/>
      <c r="AB448" s="222"/>
      <c r="AD448" s="222"/>
      <c r="AG448" s="250"/>
    </row>
    <row r="449" spans="1:33" s="280" customFormat="1" ht="15.5">
      <c r="A449" s="250"/>
      <c r="B449" s="250"/>
      <c r="C449" s="250"/>
      <c r="D449" s="250"/>
      <c r="E449" s="250"/>
      <c r="F449" s="250"/>
      <c r="H449" s="250"/>
      <c r="J449" s="222"/>
      <c r="L449" s="222"/>
      <c r="N449" s="250"/>
      <c r="P449" s="222"/>
      <c r="R449" s="222"/>
      <c r="T449" s="250"/>
      <c r="V449" s="222"/>
      <c r="X449" s="222"/>
      <c r="Z449" s="250"/>
      <c r="AB449" s="222"/>
      <c r="AD449" s="222"/>
      <c r="AG449" s="250"/>
    </row>
    <row r="450" spans="1:33" s="280" customFormat="1" ht="15.5">
      <c r="A450" s="250"/>
      <c r="B450" s="250"/>
      <c r="C450" s="250"/>
      <c r="D450" s="250"/>
      <c r="E450" s="250"/>
      <c r="F450" s="250"/>
      <c r="H450" s="250"/>
      <c r="J450" s="222"/>
      <c r="L450" s="222"/>
      <c r="N450" s="250"/>
      <c r="P450" s="222"/>
      <c r="R450" s="222"/>
      <c r="T450" s="250"/>
      <c r="V450" s="222"/>
      <c r="X450" s="222"/>
      <c r="Z450" s="250"/>
      <c r="AB450" s="222"/>
      <c r="AD450" s="222"/>
      <c r="AG450" s="250"/>
    </row>
    <row r="451" spans="1:33" s="280" customFormat="1" ht="15.5">
      <c r="A451" s="250"/>
      <c r="B451" s="250"/>
      <c r="C451" s="250"/>
      <c r="D451" s="250"/>
      <c r="E451" s="250"/>
      <c r="F451" s="250"/>
      <c r="H451" s="250"/>
      <c r="J451" s="222"/>
      <c r="L451" s="222"/>
      <c r="N451" s="250"/>
      <c r="P451" s="222"/>
      <c r="R451" s="222"/>
      <c r="T451" s="250"/>
      <c r="V451" s="222"/>
      <c r="X451" s="222"/>
      <c r="Z451" s="250"/>
      <c r="AB451" s="222"/>
      <c r="AD451" s="222"/>
      <c r="AG451" s="250"/>
    </row>
    <row r="452" spans="1:33" s="280" customFormat="1" ht="15.5">
      <c r="A452" s="250"/>
      <c r="B452" s="250"/>
      <c r="C452" s="250"/>
      <c r="D452" s="250"/>
      <c r="E452" s="250"/>
      <c r="F452" s="250"/>
      <c r="H452" s="250"/>
      <c r="J452" s="222"/>
      <c r="L452" s="222"/>
      <c r="N452" s="250"/>
      <c r="P452" s="222"/>
      <c r="R452" s="222"/>
      <c r="T452" s="250"/>
      <c r="V452" s="222"/>
      <c r="X452" s="222"/>
      <c r="Z452" s="250"/>
      <c r="AB452" s="222"/>
      <c r="AD452" s="222"/>
      <c r="AG452" s="250"/>
    </row>
    <row r="453" spans="1:33" s="280" customFormat="1" ht="15.5">
      <c r="A453" s="250"/>
      <c r="B453" s="250"/>
      <c r="C453" s="250"/>
      <c r="D453" s="250"/>
      <c r="E453" s="250"/>
      <c r="F453" s="250"/>
      <c r="H453" s="250"/>
      <c r="J453" s="222"/>
      <c r="L453" s="222"/>
      <c r="N453" s="250"/>
      <c r="P453" s="222"/>
      <c r="R453" s="222"/>
      <c r="T453" s="250"/>
      <c r="V453" s="222"/>
      <c r="X453" s="222"/>
      <c r="Z453" s="250"/>
      <c r="AB453" s="222"/>
      <c r="AD453" s="222"/>
      <c r="AG453" s="250"/>
    </row>
    <row r="454" spans="1:33" s="280" customFormat="1" ht="15.5">
      <c r="A454" s="250"/>
      <c r="B454" s="250"/>
      <c r="C454" s="250"/>
      <c r="D454" s="250"/>
      <c r="E454" s="250"/>
      <c r="F454" s="250"/>
      <c r="H454" s="250"/>
      <c r="J454" s="222"/>
      <c r="L454" s="222"/>
      <c r="N454" s="250"/>
      <c r="P454" s="222"/>
      <c r="R454" s="222"/>
      <c r="T454" s="250"/>
      <c r="V454" s="222"/>
      <c r="X454" s="222"/>
      <c r="Z454" s="250"/>
      <c r="AB454" s="222"/>
      <c r="AD454" s="222"/>
      <c r="AG454" s="250"/>
    </row>
    <row r="455" spans="1:33" s="280" customFormat="1" ht="15.5">
      <c r="A455" s="250"/>
      <c r="B455" s="250"/>
      <c r="C455" s="250"/>
      <c r="D455" s="250"/>
      <c r="E455" s="250"/>
      <c r="F455" s="250"/>
      <c r="H455" s="250"/>
      <c r="J455" s="222"/>
      <c r="L455" s="222"/>
      <c r="N455" s="250"/>
      <c r="P455" s="222"/>
      <c r="R455" s="222"/>
      <c r="T455" s="250"/>
      <c r="V455" s="222"/>
      <c r="X455" s="222"/>
      <c r="Z455" s="250"/>
      <c r="AB455" s="222"/>
      <c r="AD455" s="222"/>
      <c r="AG455" s="250"/>
    </row>
    <row r="456" spans="1:33" s="280" customFormat="1" ht="15.5">
      <c r="A456" s="250"/>
      <c r="B456" s="250"/>
      <c r="C456" s="250"/>
      <c r="D456" s="250"/>
      <c r="E456" s="250"/>
      <c r="F456" s="250"/>
      <c r="H456" s="250"/>
      <c r="J456" s="222"/>
      <c r="L456" s="222"/>
      <c r="N456" s="250"/>
      <c r="P456" s="222"/>
      <c r="R456" s="222"/>
      <c r="T456" s="250"/>
      <c r="V456" s="222"/>
      <c r="X456" s="222"/>
      <c r="Z456" s="250"/>
      <c r="AB456" s="222"/>
      <c r="AD456" s="222"/>
      <c r="AG456" s="250"/>
    </row>
    <row r="457" spans="1:33" s="280" customFormat="1" ht="15.5">
      <c r="A457" s="250"/>
      <c r="B457" s="250"/>
      <c r="C457" s="250"/>
      <c r="D457" s="250"/>
      <c r="E457" s="250"/>
      <c r="F457" s="250"/>
      <c r="H457" s="250"/>
      <c r="J457" s="222"/>
      <c r="L457" s="222"/>
      <c r="N457" s="250"/>
      <c r="P457" s="222"/>
      <c r="R457" s="222"/>
      <c r="T457" s="250"/>
      <c r="V457" s="222"/>
      <c r="X457" s="222"/>
      <c r="Z457" s="250"/>
      <c r="AB457" s="222"/>
      <c r="AD457" s="222"/>
      <c r="AG457" s="250"/>
    </row>
    <row r="458" spans="1:33" s="280" customFormat="1" ht="15.5">
      <c r="A458" s="250"/>
      <c r="B458" s="250"/>
      <c r="C458" s="250"/>
      <c r="D458" s="250"/>
      <c r="E458" s="250"/>
      <c r="F458" s="250"/>
      <c r="H458" s="250"/>
      <c r="J458" s="222"/>
      <c r="L458" s="222"/>
      <c r="N458" s="250"/>
      <c r="P458" s="222"/>
      <c r="R458" s="222"/>
      <c r="T458" s="250"/>
      <c r="V458" s="222"/>
      <c r="X458" s="222"/>
      <c r="Z458" s="250"/>
      <c r="AB458" s="222"/>
      <c r="AD458" s="222"/>
      <c r="AG458" s="250"/>
    </row>
    <row r="459" spans="1:33" s="280" customFormat="1" ht="15.5">
      <c r="A459" s="250"/>
      <c r="B459" s="250"/>
      <c r="C459" s="250"/>
      <c r="D459" s="250"/>
      <c r="E459" s="250"/>
      <c r="F459" s="250"/>
      <c r="H459" s="250"/>
      <c r="J459" s="222"/>
      <c r="L459" s="222"/>
      <c r="N459" s="250"/>
      <c r="P459" s="222"/>
      <c r="R459" s="222"/>
      <c r="T459" s="250"/>
      <c r="V459" s="222"/>
      <c r="X459" s="222"/>
      <c r="Z459" s="250"/>
      <c r="AB459" s="222"/>
      <c r="AD459" s="222"/>
      <c r="AG459" s="250"/>
    </row>
    <row r="460" spans="1:33" s="280" customFormat="1" ht="15.5">
      <c r="A460" s="250"/>
      <c r="B460" s="250"/>
      <c r="C460" s="250"/>
      <c r="D460" s="250"/>
      <c r="E460" s="250"/>
      <c r="F460" s="250"/>
      <c r="H460" s="250"/>
      <c r="J460" s="222"/>
      <c r="L460" s="222"/>
      <c r="N460" s="250"/>
      <c r="P460" s="222"/>
      <c r="R460" s="222"/>
      <c r="T460" s="250"/>
      <c r="V460" s="222"/>
      <c r="X460" s="222"/>
      <c r="Z460" s="250"/>
      <c r="AB460" s="222"/>
      <c r="AD460" s="222"/>
      <c r="AG460" s="250"/>
    </row>
    <row r="461" spans="1:33" s="280" customFormat="1" ht="15.5">
      <c r="A461" s="250"/>
      <c r="B461" s="250"/>
      <c r="C461" s="250"/>
      <c r="D461" s="250"/>
      <c r="E461" s="250"/>
      <c r="F461" s="250"/>
      <c r="H461" s="250"/>
      <c r="J461" s="222"/>
      <c r="L461" s="222"/>
      <c r="N461" s="250"/>
      <c r="P461" s="222"/>
      <c r="R461" s="222"/>
      <c r="T461" s="250"/>
      <c r="V461" s="222"/>
      <c r="X461" s="222"/>
      <c r="Z461" s="250"/>
      <c r="AB461" s="222"/>
      <c r="AD461" s="222"/>
      <c r="AG461" s="250"/>
    </row>
    <row r="462" spans="1:33" s="280" customFormat="1" ht="15.5">
      <c r="A462" s="250"/>
      <c r="B462" s="250"/>
      <c r="C462" s="250"/>
      <c r="D462" s="250"/>
      <c r="E462" s="250"/>
      <c r="F462" s="250"/>
      <c r="H462" s="250"/>
      <c r="J462" s="222"/>
      <c r="L462" s="222"/>
      <c r="N462" s="250"/>
      <c r="P462" s="222"/>
      <c r="R462" s="222"/>
      <c r="T462" s="250"/>
      <c r="V462" s="222"/>
      <c r="X462" s="222"/>
      <c r="Z462" s="250"/>
      <c r="AB462" s="222"/>
      <c r="AD462" s="222"/>
      <c r="AG462" s="250"/>
    </row>
    <row r="463" spans="1:33" s="280" customFormat="1" ht="15.5">
      <c r="A463" s="250"/>
      <c r="B463" s="250"/>
      <c r="C463" s="250"/>
      <c r="D463" s="250"/>
      <c r="E463" s="250"/>
      <c r="F463" s="250"/>
      <c r="H463" s="250"/>
      <c r="J463" s="222"/>
      <c r="L463" s="222"/>
      <c r="N463" s="250"/>
      <c r="P463" s="222"/>
      <c r="R463" s="222"/>
      <c r="T463" s="250"/>
      <c r="V463" s="222"/>
      <c r="X463" s="222"/>
      <c r="Z463" s="250"/>
      <c r="AB463" s="222"/>
      <c r="AD463" s="222"/>
      <c r="AG463" s="250"/>
    </row>
    <row r="464" spans="1:33" s="280" customFormat="1" ht="15.5">
      <c r="A464" s="250"/>
      <c r="B464" s="250"/>
      <c r="C464" s="250"/>
      <c r="D464" s="250"/>
      <c r="E464" s="250"/>
      <c r="F464" s="250"/>
      <c r="H464" s="250"/>
      <c r="J464" s="222"/>
      <c r="L464" s="222"/>
      <c r="N464" s="250"/>
      <c r="P464" s="222"/>
      <c r="R464" s="222"/>
      <c r="T464" s="250"/>
      <c r="V464" s="222"/>
      <c r="X464" s="222"/>
      <c r="Z464" s="250"/>
      <c r="AB464" s="222"/>
      <c r="AD464" s="222"/>
      <c r="AG464" s="250"/>
    </row>
    <row r="465" spans="1:33" s="280" customFormat="1" ht="15.5">
      <c r="A465" s="250"/>
      <c r="B465" s="250"/>
      <c r="C465" s="250"/>
      <c r="D465" s="250"/>
      <c r="E465" s="250"/>
      <c r="F465" s="250"/>
      <c r="H465" s="250"/>
      <c r="J465" s="222"/>
      <c r="L465" s="222"/>
      <c r="N465" s="250"/>
      <c r="P465" s="222"/>
      <c r="R465" s="222"/>
      <c r="T465" s="250"/>
      <c r="V465" s="222"/>
      <c r="X465" s="222"/>
      <c r="Z465" s="250"/>
      <c r="AB465" s="222"/>
      <c r="AD465" s="222"/>
      <c r="AG465" s="250"/>
    </row>
    <row r="466" spans="1:33" s="280" customFormat="1" ht="15.5">
      <c r="A466" s="250"/>
      <c r="B466" s="250"/>
      <c r="C466" s="250"/>
      <c r="D466" s="250"/>
      <c r="E466" s="250"/>
      <c r="F466" s="250"/>
      <c r="H466" s="250"/>
      <c r="J466" s="222"/>
      <c r="L466" s="222"/>
      <c r="N466" s="250"/>
      <c r="P466" s="222"/>
      <c r="R466" s="222"/>
      <c r="T466" s="250"/>
      <c r="V466" s="222"/>
      <c r="X466" s="222"/>
      <c r="Z466" s="250"/>
      <c r="AB466" s="222"/>
      <c r="AD466" s="222"/>
      <c r="AG466" s="250"/>
    </row>
    <row r="467" spans="1:33" s="280" customFormat="1" ht="15.5">
      <c r="A467" s="250"/>
      <c r="B467" s="250"/>
      <c r="C467" s="250"/>
      <c r="D467" s="250"/>
      <c r="E467" s="250"/>
      <c r="F467" s="250"/>
      <c r="H467" s="250"/>
      <c r="J467" s="222"/>
      <c r="L467" s="222"/>
      <c r="N467" s="250"/>
      <c r="P467" s="222"/>
      <c r="R467" s="222"/>
      <c r="T467" s="250"/>
      <c r="V467" s="222"/>
      <c r="X467" s="222"/>
      <c r="Z467" s="250"/>
      <c r="AB467" s="222"/>
      <c r="AD467" s="222"/>
      <c r="AG467" s="250"/>
    </row>
    <row r="468" spans="1:33" s="280" customFormat="1" ht="15.5">
      <c r="A468" s="250"/>
      <c r="B468" s="250"/>
      <c r="C468" s="250"/>
      <c r="D468" s="250"/>
      <c r="E468" s="250"/>
      <c r="F468" s="250"/>
      <c r="H468" s="250"/>
      <c r="J468" s="222"/>
      <c r="L468" s="222"/>
      <c r="N468" s="250"/>
      <c r="P468" s="222"/>
      <c r="R468" s="222"/>
      <c r="T468" s="250"/>
      <c r="V468" s="222"/>
      <c r="X468" s="222"/>
      <c r="Z468" s="250"/>
      <c r="AB468" s="222"/>
      <c r="AD468" s="222"/>
      <c r="AG468" s="250"/>
    </row>
    <row r="469" spans="1:33" s="280" customFormat="1" ht="15.5">
      <c r="A469" s="250"/>
      <c r="B469" s="250"/>
      <c r="C469" s="250"/>
      <c r="D469" s="250"/>
      <c r="E469" s="250"/>
      <c r="F469" s="250"/>
      <c r="H469" s="250"/>
      <c r="J469" s="222"/>
      <c r="L469" s="222"/>
      <c r="N469" s="250"/>
      <c r="P469" s="222"/>
      <c r="R469" s="222"/>
      <c r="T469" s="250"/>
      <c r="V469" s="222"/>
      <c r="X469" s="222"/>
      <c r="Z469" s="250"/>
      <c r="AB469" s="222"/>
      <c r="AD469" s="222"/>
      <c r="AG469" s="250"/>
    </row>
    <row r="470" spans="1:33" s="280" customFormat="1" ht="15.5">
      <c r="A470" s="250"/>
      <c r="B470" s="250"/>
      <c r="C470" s="250"/>
      <c r="D470" s="250"/>
      <c r="E470" s="250"/>
      <c r="F470" s="250"/>
      <c r="H470" s="250"/>
      <c r="J470" s="222"/>
      <c r="L470" s="222"/>
      <c r="N470" s="250"/>
      <c r="P470" s="222"/>
      <c r="R470" s="222"/>
      <c r="T470" s="250"/>
      <c r="V470" s="222"/>
      <c r="X470" s="222"/>
      <c r="Z470" s="250"/>
      <c r="AB470" s="222"/>
      <c r="AD470" s="222"/>
      <c r="AG470" s="250"/>
    </row>
    <row r="471" spans="1:33" s="280" customFormat="1" ht="15.5">
      <c r="A471" s="250"/>
      <c r="B471" s="250"/>
      <c r="C471" s="250"/>
      <c r="D471" s="250"/>
      <c r="E471" s="250"/>
      <c r="F471" s="250"/>
      <c r="H471" s="250"/>
      <c r="J471" s="222"/>
      <c r="L471" s="222"/>
      <c r="N471" s="250"/>
      <c r="P471" s="222"/>
      <c r="R471" s="222"/>
      <c r="T471" s="250"/>
      <c r="V471" s="222"/>
      <c r="X471" s="222"/>
      <c r="Z471" s="250"/>
      <c r="AB471" s="222"/>
      <c r="AD471" s="222"/>
      <c r="AG471" s="250"/>
    </row>
    <row r="472" spans="1:33" s="280" customFormat="1" ht="15.5">
      <c r="A472" s="250"/>
      <c r="B472" s="250"/>
      <c r="C472" s="250"/>
      <c r="D472" s="250"/>
      <c r="E472" s="250"/>
      <c r="F472" s="250"/>
      <c r="H472" s="250"/>
      <c r="J472" s="222"/>
      <c r="L472" s="222"/>
      <c r="N472" s="250"/>
      <c r="P472" s="222"/>
      <c r="R472" s="222"/>
      <c r="T472" s="250"/>
      <c r="V472" s="222"/>
      <c r="X472" s="222"/>
      <c r="Z472" s="250"/>
      <c r="AB472" s="222"/>
      <c r="AD472" s="222"/>
      <c r="AG472" s="250"/>
    </row>
    <row r="473" spans="1:33" s="280" customFormat="1" ht="15.5">
      <c r="A473" s="250"/>
      <c r="B473" s="250"/>
      <c r="C473" s="250"/>
      <c r="D473" s="250"/>
      <c r="E473" s="250"/>
      <c r="F473" s="250"/>
      <c r="H473" s="250"/>
      <c r="J473" s="222"/>
      <c r="L473" s="222"/>
      <c r="N473" s="250"/>
      <c r="P473" s="222"/>
      <c r="R473" s="222"/>
      <c r="T473" s="250"/>
      <c r="V473" s="222"/>
      <c r="X473" s="222"/>
      <c r="Z473" s="250"/>
      <c r="AB473" s="222"/>
      <c r="AD473" s="222"/>
      <c r="AG473" s="250"/>
    </row>
    <row r="474" spans="1:33" s="280" customFormat="1" ht="15.5">
      <c r="A474" s="250"/>
      <c r="B474" s="250"/>
      <c r="C474" s="250"/>
      <c r="D474" s="250"/>
      <c r="E474" s="250"/>
      <c r="F474" s="250"/>
      <c r="H474" s="250"/>
      <c r="J474" s="222"/>
      <c r="L474" s="222"/>
      <c r="N474" s="250"/>
      <c r="P474" s="222"/>
      <c r="R474" s="222"/>
      <c r="T474" s="250"/>
      <c r="V474" s="222"/>
      <c r="X474" s="222"/>
      <c r="Z474" s="250"/>
      <c r="AB474" s="222"/>
      <c r="AD474" s="222"/>
      <c r="AG474" s="250"/>
    </row>
    <row r="475" spans="1:33" s="280" customFormat="1" ht="15.5">
      <c r="A475" s="250"/>
      <c r="B475" s="250"/>
      <c r="C475" s="250"/>
      <c r="D475" s="250"/>
      <c r="E475" s="250"/>
      <c r="F475" s="250"/>
      <c r="H475" s="250"/>
      <c r="J475" s="222"/>
      <c r="L475" s="222"/>
      <c r="N475" s="250"/>
      <c r="P475" s="222"/>
      <c r="R475" s="222"/>
      <c r="T475" s="250"/>
      <c r="V475" s="222"/>
      <c r="X475" s="222"/>
      <c r="Z475" s="250"/>
      <c r="AB475" s="222"/>
      <c r="AD475" s="222"/>
      <c r="AG475" s="250"/>
    </row>
    <row r="476" spans="1:33" s="280" customFormat="1" ht="15.5">
      <c r="A476" s="250"/>
      <c r="B476" s="250"/>
      <c r="C476" s="250"/>
      <c r="D476" s="250"/>
      <c r="E476" s="250"/>
      <c r="F476" s="250"/>
      <c r="H476" s="250"/>
      <c r="J476" s="222"/>
      <c r="L476" s="222"/>
      <c r="N476" s="250"/>
      <c r="P476" s="222"/>
      <c r="R476" s="222"/>
      <c r="T476" s="250"/>
      <c r="V476" s="222"/>
      <c r="X476" s="222"/>
      <c r="Z476" s="250"/>
      <c r="AB476" s="222"/>
      <c r="AD476" s="222"/>
      <c r="AG476" s="250"/>
    </row>
    <row r="477" spans="1:33" s="280" customFormat="1" ht="15.5">
      <c r="A477" s="250"/>
      <c r="B477" s="250"/>
      <c r="C477" s="250"/>
      <c r="D477" s="250"/>
      <c r="E477" s="250"/>
      <c r="F477" s="250"/>
      <c r="H477" s="250"/>
      <c r="J477" s="222"/>
      <c r="L477" s="222"/>
      <c r="N477" s="250"/>
      <c r="P477" s="222"/>
      <c r="R477" s="222"/>
      <c r="T477" s="250"/>
      <c r="V477" s="222"/>
      <c r="X477" s="222"/>
      <c r="Z477" s="250"/>
      <c r="AB477" s="222"/>
      <c r="AD477" s="222"/>
      <c r="AG477" s="250"/>
    </row>
    <row r="478" spans="1:33" s="280" customFormat="1" ht="15.5">
      <c r="A478" s="250"/>
      <c r="B478" s="250"/>
      <c r="C478" s="250"/>
      <c r="D478" s="250"/>
      <c r="E478" s="250"/>
      <c r="F478" s="250"/>
      <c r="H478" s="250"/>
      <c r="J478" s="222"/>
      <c r="L478" s="222"/>
      <c r="N478" s="250"/>
      <c r="P478" s="222"/>
      <c r="R478" s="222"/>
      <c r="T478" s="250"/>
      <c r="V478" s="222"/>
      <c r="X478" s="222"/>
      <c r="Z478" s="250"/>
      <c r="AB478" s="222"/>
      <c r="AD478" s="222"/>
      <c r="AG478" s="250"/>
    </row>
    <row r="479" spans="1:33" s="280" customFormat="1" ht="15.5">
      <c r="A479" s="250"/>
      <c r="B479" s="250"/>
      <c r="C479" s="250"/>
      <c r="D479" s="250"/>
      <c r="E479" s="250"/>
      <c r="F479" s="250"/>
      <c r="H479" s="250"/>
      <c r="J479" s="222"/>
      <c r="L479" s="222"/>
      <c r="N479" s="250"/>
      <c r="P479" s="222"/>
      <c r="R479" s="222"/>
      <c r="T479" s="250"/>
      <c r="V479" s="222"/>
      <c r="X479" s="222"/>
      <c r="Z479" s="250"/>
      <c r="AB479" s="222"/>
      <c r="AD479" s="222"/>
      <c r="AG479" s="250"/>
    </row>
    <row r="480" spans="1:33" s="280" customFormat="1" ht="15.5">
      <c r="A480" s="250"/>
      <c r="B480" s="250"/>
      <c r="C480" s="250"/>
      <c r="D480" s="250"/>
      <c r="E480" s="250"/>
      <c r="F480" s="250"/>
      <c r="H480" s="250"/>
      <c r="J480" s="222"/>
      <c r="L480" s="222"/>
      <c r="N480" s="250"/>
      <c r="P480" s="222"/>
      <c r="R480" s="222"/>
      <c r="T480" s="250"/>
      <c r="V480" s="222"/>
      <c r="X480" s="222"/>
      <c r="Z480" s="250"/>
      <c r="AB480" s="222"/>
      <c r="AD480" s="222"/>
      <c r="AG480" s="250"/>
    </row>
    <row r="481" spans="1:33" s="280" customFormat="1" ht="15.5">
      <c r="A481" s="250"/>
      <c r="B481" s="250"/>
      <c r="C481" s="250"/>
      <c r="D481" s="250"/>
      <c r="E481" s="250"/>
      <c r="F481" s="250"/>
      <c r="H481" s="250"/>
      <c r="J481" s="222"/>
      <c r="L481" s="222"/>
      <c r="N481" s="250"/>
      <c r="P481" s="222"/>
      <c r="R481" s="222"/>
      <c r="T481" s="250"/>
      <c r="V481" s="222"/>
      <c r="X481" s="222"/>
      <c r="Z481" s="250"/>
      <c r="AB481" s="222"/>
      <c r="AD481" s="222"/>
      <c r="AG481" s="250"/>
    </row>
    <row r="482" spans="1:33" s="280" customFormat="1" ht="15.5">
      <c r="A482" s="250"/>
      <c r="B482" s="250"/>
      <c r="C482" s="250"/>
      <c r="D482" s="250"/>
      <c r="E482" s="250"/>
      <c r="F482" s="250"/>
      <c r="H482" s="250"/>
      <c r="J482" s="222"/>
      <c r="L482" s="222"/>
      <c r="N482" s="250"/>
      <c r="P482" s="222"/>
      <c r="R482" s="222"/>
      <c r="T482" s="250"/>
      <c r="V482" s="222"/>
      <c r="X482" s="222"/>
      <c r="Z482" s="250"/>
      <c r="AB482" s="222"/>
      <c r="AD482" s="222"/>
      <c r="AG482" s="250"/>
    </row>
    <row r="483" spans="1:33" s="280" customFormat="1" ht="15.5">
      <c r="A483" s="250"/>
      <c r="B483" s="250"/>
      <c r="C483" s="250"/>
      <c r="D483" s="250"/>
      <c r="E483" s="250"/>
      <c r="F483" s="250"/>
      <c r="H483" s="250"/>
      <c r="J483" s="222"/>
      <c r="L483" s="222"/>
      <c r="N483" s="250"/>
      <c r="P483" s="222"/>
      <c r="R483" s="222"/>
      <c r="T483" s="250"/>
      <c r="V483" s="222"/>
      <c r="X483" s="222"/>
      <c r="Z483" s="250"/>
      <c r="AB483" s="222"/>
      <c r="AD483" s="222"/>
      <c r="AG483" s="250"/>
    </row>
    <row r="484" spans="1:33" s="280" customFormat="1" ht="15.5">
      <c r="A484" s="250"/>
      <c r="B484" s="250"/>
      <c r="C484" s="250"/>
      <c r="D484" s="250"/>
      <c r="E484" s="250"/>
      <c r="F484" s="250"/>
      <c r="H484" s="250"/>
      <c r="J484" s="222"/>
      <c r="L484" s="222"/>
      <c r="N484" s="250"/>
      <c r="P484" s="222"/>
      <c r="R484" s="222"/>
      <c r="T484" s="250"/>
      <c r="V484" s="222"/>
      <c r="X484" s="222"/>
      <c r="Z484" s="250"/>
      <c r="AB484" s="222"/>
      <c r="AD484" s="222"/>
      <c r="AG484" s="250"/>
    </row>
    <row r="485" spans="1:33" s="280" customFormat="1" ht="15.5">
      <c r="A485" s="250"/>
      <c r="B485" s="250"/>
      <c r="C485" s="250"/>
      <c r="D485" s="250"/>
      <c r="E485" s="250"/>
      <c r="F485" s="250"/>
      <c r="H485" s="250"/>
      <c r="J485" s="222"/>
      <c r="L485" s="222"/>
      <c r="N485" s="250"/>
      <c r="P485" s="222"/>
      <c r="R485" s="222"/>
      <c r="T485" s="250"/>
      <c r="V485" s="222"/>
      <c r="X485" s="222"/>
      <c r="Z485" s="250"/>
      <c r="AB485" s="222"/>
      <c r="AD485" s="222"/>
      <c r="AG485" s="250"/>
    </row>
    <row r="486" spans="1:33" s="280" customFormat="1" ht="15.5">
      <c r="A486" s="250"/>
      <c r="B486" s="250"/>
      <c r="C486" s="250"/>
      <c r="D486" s="250"/>
      <c r="E486" s="250"/>
      <c r="F486" s="250"/>
      <c r="H486" s="250"/>
      <c r="J486" s="222"/>
      <c r="L486" s="222"/>
      <c r="N486" s="250"/>
      <c r="P486" s="222"/>
      <c r="R486" s="222"/>
      <c r="T486" s="250"/>
      <c r="V486" s="222"/>
      <c r="X486" s="222"/>
      <c r="Z486" s="250"/>
      <c r="AB486" s="222"/>
      <c r="AD486" s="222"/>
      <c r="AG486" s="250"/>
    </row>
    <row r="487" spans="1:33" s="280" customFormat="1" ht="15.5">
      <c r="A487" s="250"/>
      <c r="B487" s="250"/>
      <c r="C487" s="250"/>
      <c r="D487" s="250"/>
      <c r="E487" s="250"/>
      <c r="F487" s="250"/>
      <c r="H487" s="250"/>
      <c r="J487" s="222"/>
      <c r="L487" s="222"/>
      <c r="N487" s="250"/>
      <c r="P487" s="222"/>
      <c r="R487" s="222"/>
      <c r="T487" s="250"/>
      <c r="V487" s="222"/>
      <c r="X487" s="222"/>
      <c r="Z487" s="250"/>
      <c r="AB487" s="222"/>
      <c r="AD487" s="222"/>
      <c r="AG487" s="250"/>
    </row>
    <row r="488" spans="1:33" s="280" customFormat="1" ht="15.5">
      <c r="A488" s="250"/>
      <c r="B488" s="250"/>
      <c r="C488" s="250"/>
      <c r="D488" s="250"/>
      <c r="E488" s="250"/>
      <c r="F488" s="250"/>
      <c r="H488" s="250"/>
      <c r="J488" s="222"/>
      <c r="L488" s="222"/>
      <c r="N488" s="250"/>
      <c r="P488" s="222"/>
      <c r="R488" s="222"/>
      <c r="T488" s="250"/>
      <c r="V488" s="222"/>
      <c r="X488" s="222"/>
      <c r="Z488" s="250"/>
      <c r="AB488" s="222"/>
      <c r="AD488" s="222"/>
      <c r="AG488" s="250"/>
    </row>
    <row r="489" spans="1:33" s="280" customFormat="1" ht="15.5">
      <c r="A489" s="250"/>
      <c r="B489" s="250"/>
      <c r="C489" s="250"/>
      <c r="D489" s="250"/>
      <c r="E489" s="250"/>
      <c r="F489" s="250"/>
      <c r="H489" s="250"/>
      <c r="J489" s="222"/>
      <c r="L489" s="222"/>
      <c r="N489" s="250"/>
      <c r="P489" s="222"/>
      <c r="R489" s="222"/>
      <c r="T489" s="250"/>
      <c r="V489" s="222"/>
      <c r="X489" s="222"/>
      <c r="Z489" s="250"/>
      <c r="AB489" s="222"/>
      <c r="AD489" s="222"/>
      <c r="AG489" s="250"/>
    </row>
    <row r="490" spans="1:33" s="280" customFormat="1" ht="15.5">
      <c r="A490" s="250"/>
      <c r="B490" s="250"/>
      <c r="C490" s="250"/>
      <c r="D490" s="250"/>
      <c r="E490" s="250"/>
      <c r="F490" s="250"/>
      <c r="H490" s="250"/>
      <c r="J490" s="222"/>
      <c r="L490" s="222"/>
      <c r="N490" s="250"/>
      <c r="P490" s="222"/>
      <c r="R490" s="222"/>
      <c r="T490" s="250"/>
      <c r="V490" s="222"/>
      <c r="X490" s="222"/>
      <c r="Z490" s="250"/>
      <c r="AB490" s="222"/>
      <c r="AD490" s="222"/>
      <c r="AG490" s="250"/>
    </row>
    <row r="491" spans="1:33" s="280" customFormat="1" ht="15.5">
      <c r="A491" s="250"/>
      <c r="B491" s="250"/>
      <c r="C491" s="250"/>
      <c r="D491" s="250"/>
      <c r="E491" s="250"/>
      <c r="F491" s="250"/>
      <c r="H491" s="250"/>
      <c r="J491" s="222"/>
      <c r="L491" s="222"/>
      <c r="N491" s="250"/>
      <c r="P491" s="222"/>
      <c r="R491" s="222"/>
      <c r="T491" s="250"/>
      <c r="V491" s="222"/>
      <c r="X491" s="222"/>
      <c r="Z491" s="250"/>
      <c r="AB491" s="222"/>
      <c r="AD491" s="222"/>
      <c r="AG491" s="250"/>
    </row>
    <row r="492" spans="1:33" s="280" customFormat="1" ht="15.5">
      <c r="A492" s="250"/>
      <c r="B492" s="250"/>
      <c r="C492" s="250"/>
      <c r="D492" s="250"/>
      <c r="E492" s="250"/>
      <c r="F492" s="250"/>
      <c r="H492" s="250"/>
      <c r="J492" s="222"/>
      <c r="L492" s="222"/>
      <c r="N492" s="250"/>
      <c r="P492" s="222"/>
      <c r="R492" s="222"/>
      <c r="T492" s="250"/>
      <c r="V492" s="222"/>
      <c r="X492" s="222"/>
      <c r="Z492" s="250"/>
      <c r="AB492" s="222"/>
      <c r="AD492" s="222"/>
      <c r="AG492" s="250"/>
    </row>
    <row r="493" spans="1:33" s="280" customFormat="1" ht="15.5">
      <c r="A493" s="250"/>
      <c r="B493" s="250"/>
      <c r="C493" s="250"/>
      <c r="D493" s="250"/>
      <c r="E493" s="250"/>
      <c r="F493" s="250"/>
      <c r="H493" s="250"/>
      <c r="J493" s="222"/>
      <c r="L493" s="222"/>
      <c r="N493" s="250"/>
      <c r="P493" s="222"/>
      <c r="R493" s="222"/>
      <c r="T493" s="250"/>
      <c r="V493" s="222"/>
      <c r="X493" s="222"/>
      <c r="Z493" s="250"/>
      <c r="AB493" s="222"/>
      <c r="AD493" s="222"/>
      <c r="AG493" s="250"/>
    </row>
    <row r="494" spans="1:33" s="280" customFormat="1" ht="15.5">
      <c r="A494" s="250"/>
      <c r="B494" s="250"/>
      <c r="C494" s="250"/>
      <c r="D494" s="250"/>
      <c r="E494" s="250"/>
      <c r="F494" s="250"/>
      <c r="H494" s="250"/>
      <c r="J494" s="222"/>
      <c r="L494" s="222"/>
      <c r="N494" s="250"/>
      <c r="P494" s="222"/>
      <c r="R494" s="222"/>
      <c r="T494" s="250"/>
      <c r="V494" s="222"/>
      <c r="X494" s="222"/>
      <c r="Z494" s="250"/>
      <c r="AB494" s="222"/>
      <c r="AD494" s="222"/>
      <c r="AG494" s="250"/>
    </row>
    <row r="495" spans="1:33" s="280" customFormat="1" ht="15.5">
      <c r="A495" s="250"/>
      <c r="B495" s="250"/>
      <c r="C495" s="250"/>
      <c r="D495" s="250"/>
      <c r="E495" s="250"/>
      <c r="F495" s="250"/>
      <c r="H495" s="250"/>
      <c r="J495" s="222"/>
      <c r="L495" s="222"/>
      <c r="N495" s="250"/>
      <c r="P495" s="222"/>
      <c r="R495" s="222"/>
      <c r="T495" s="250"/>
      <c r="V495" s="222"/>
      <c r="X495" s="222"/>
      <c r="Z495" s="250"/>
      <c r="AB495" s="222"/>
      <c r="AD495" s="222"/>
      <c r="AG495" s="250"/>
    </row>
    <row r="496" spans="1:33" s="280" customFormat="1" ht="15.5">
      <c r="A496" s="250"/>
      <c r="B496" s="250"/>
      <c r="C496" s="250"/>
      <c r="D496" s="250"/>
      <c r="E496" s="250"/>
      <c r="F496" s="250"/>
      <c r="H496" s="250"/>
      <c r="J496" s="222"/>
      <c r="L496" s="222"/>
      <c r="N496" s="250"/>
      <c r="P496" s="222"/>
      <c r="R496" s="222"/>
      <c r="T496" s="250"/>
      <c r="V496" s="222"/>
      <c r="X496" s="222"/>
      <c r="Z496" s="250"/>
      <c r="AB496" s="222"/>
      <c r="AD496" s="222"/>
      <c r="AG496" s="250"/>
    </row>
    <row r="497" spans="1:33" s="280" customFormat="1" ht="15.5">
      <c r="A497" s="250"/>
      <c r="B497" s="250"/>
      <c r="C497" s="250"/>
      <c r="D497" s="250"/>
      <c r="E497" s="250"/>
      <c r="F497" s="250"/>
      <c r="H497" s="250"/>
      <c r="J497" s="222"/>
      <c r="L497" s="222"/>
      <c r="N497" s="250"/>
      <c r="P497" s="222"/>
      <c r="R497" s="222"/>
      <c r="T497" s="250"/>
      <c r="V497" s="222"/>
      <c r="X497" s="222"/>
      <c r="Z497" s="250"/>
      <c r="AB497" s="222"/>
      <c r="AD497" s="222"/>
      <c r="AG497" s="250"/>
    </row>
    <row r="498" spans="1:33" s="280" customFormat="1" ht="15.5">
      <c r="A498" s="250"/>
      <c r="B498" s="250"/>
      <c r="C498" s="250"/>
      <c r="D498" s="250"/>
      <c r="E498" s="250"/>
      <c r="F498" s="250"/>
      <c r="H498" s="250"/>
      <c r="J498" s="222"/>
      <c r="L498" s="222"/>
      <c r="N498" s="250"/>
      <c r="P498" s="222"/>
      <c r="R498" s="222"/>
      <c r="T498" s="250"/>
      <c r="V498" s="222"/>
      <c r="X498" s="222"/>
      <c r="Z498" s="250"/>
      <c r="AB498" s="222"/>
      <c r="AD498" s="222"/>
      <c r="AG498" s="250"/>
    </row>
    <row r="499" spans="1:33" s="280" customFormat="1" ht="15.5">
      <c r="A499" s="250"/>
      <c r="B499" s="250"/>
      <c r="C499" s="250"/>
      <c r="D499" s="250"/>
      <c r="E499" s="250"/>
      <c r="F499" s="250"/>
      <c r="H499" s="250"/>
      <c r="J499" s="222"/>
      <c r="L499" s="222"/>
      <c r="N499" s="250"/>
      <c r="P499" s="222"/>
      <c r="R499" s="222"/>
      <c r="T499" s="250"/>
      <c r="V499" s="222"/>
      <c r="X499" s="222"/>
      <c r="Z499" s="250"/>
      <c r="AB499" s="222"/>
      <c r="AD499" s="222"/>
      <c r="AG499" s="250"/>
    </row>
    <row r="500" spans="1:33" s="280" customFormat="1" ht="15.5">
      <c r="A500" s="250"/>
      <c r="B500" s="250"/>
      <c r="C500" s="250"/>
      <c r="D500" s="250"/>
      <c r="E500" s="250"/>
      <c r="F500" s="250"/>
      <c r="H500" s="250"/>
      <c r="J500" s="222"/>
      <c r="L500" s="222"/>
      <c r="N500" s="250"/>
      <c r="P500" s="222"/>
      <c r="R500" s="222"/>
      <c r="T500" s="250"/>
      <c r="V500" s="222"/>
      <c r="X500" s="222"/>
      <c r="Z500" s="250"/>
      <c r="AB500" s="222"/>
      <c r="AD500" s="222"/>
      <c r="AG500" s="250"/>
    </row>
    <row r="501" spans="1:33" s="280" customFormat="1" ht="15.5">
      <c r="A501" s="250"/>
      <c r="B501" s="250"/>
      <c r="C501" s="250"/>
      <c r="D501" s="250"/>
      <c r="E501" s="250"/>
      <c r="F501" s="250"/>
      <c r="H501" s="250"/>
      <c r="J501" s="222"/>
      <c r="L501" s="222"/>
      <c r="N501" s="250"/>
      <c r="P501" s="222"/>
      <c r="R501" s="222"/>
      <c r="T501" s="250"/>
      <c r="V501" s="222"/>
      <c r="X501" s="222"/>
      <c r="Z501" s="250"/>
      <c r="AB501" s="222"/>
      <c r="AD501" s="222"/>
      <c r="AG501" s="250"/>
    </row>
    <row r="502" spans="1:33" s="280" customFormat="1" ht="15.5">
      <c r="A502" s="250"/>
      <c r="B502" s="250"/>
      <c r="C502" s="250"/>
      <c r="D502" s="250"/>
      <c r="E502" s="250"/>
      <c r="F502" s="250"/>
      <c r="H502" s="250"/>
      <c r="J502" s="222"/>
      <c r="L502" s="222"/>
      <c r="N502" s="250"/>
      <c r="P502" s="222"/>
      <c r="R502" s="222"/>
      <c r="T502" s="250"/>
      <c r="V502" s="222"/>
      <c r="X502" s="222"/>
      <c r="Z502" s="250"/>
      <c r="AB502" s="222"/>
      <c r="AD502" s="222"/>
      <c r="AG502" s="250"/>
    </row>
    <row r="503" spans="1:33" s="280" customFormat="1" ht="15.5">
      <c r="A503" s="250"/>
      <c r="B503" s="250"/>
      <c r="C503" s="250"/>
      <c r="D503" s="250"/>
      <c r="E503" s="250"/>
      <c r="F503" s="250"/>
      <c r="H503" s="250"/>
      <c r="J503" s="222"/>
      <c r="L503" s="222"/>
      <c r="N503" s="250"/>
      <c r="P503" s="222"/>
      <c r="R503" s="222"/>
      <c r="T503" s="250"/>
      <c r="V503" s="222"/>
      <c r="X503" s="222"/>
      <c r="Z503" s="250"/>
      <c r="AB503" s="222"/>
      <c r="AD503" s="222"/>
      <c r="AG503" s="250"/>
    </row>
    <row r="504" spans="1:33" s="280" customFormat="1" ht="15.5">
      <c r="A504" s="250"/>
      <c r="B504" s="250"/>
      <c r="C504" s="250"/>
      <c r="D504" s="250"/>
      <c r="E504" s="250"/>
      <c r="F504" s="250"/>
      <c r="H504" s="250"/>
      <c r="J504" s="222"/>
      <c r="L504" s="222"/>
      <c r="N504" s="250"/>
      <c r="P504" s="222"/>
      <c r="R504" s="222"/>
      <c r="T504" s="250"/>
      <c r="V504" s="222"/>
      <c r="X504" s="222"/>
      <c r="Z504" s="250"/>
      <c r="AB504" s="222"/>
      <c r="AD504" s="222"/>
      <c r="AG504" s="250"/>
    </row>
    <row r="505" spans="1:33" s="280" customFormat="1" ht="15.5">
      <c r="A505" s="250"/>
      <c r="B505" s="250"/>
      <c r="C505" s="250"/>
      <c r="D505" s="250"/>
      <c r="E505" s="250"/>
      <c r="F505" s="250"/>
      <c r="H505" s="250"/>
      <c r="J505" s="222"/>
      <c r="L505" s="222"/>
      <c r="N505" s="250"/>
      <c r="P505" s="222"/>
      <c r="R505" s="222"/>
      <c r="T505" s="250"/>
      <c r="V505" s="222"/>
      <c r="X505" s="222"/>
      <c r="Z505" s="250"/>
      <c r="AB505" s="222"/>
      <c r="AD505" s="222"/>
      <c r="AG505" s="250"/>
    </row>
    <row r="506" spans="1:33" s="280" customFormat="1" ht="15.5">
      <c r="A506" s="250"/>
      <c r="B506" s="250"/>
      <c r="C506" s="250"/>
      <c r="D506" s="250"/>
      <c r="E506" s="250"/>
      <c r="F506" s="250"/>
      <c r="H506" s="250"/>
      <c r="J506" s="222"/>
      <c r="L506" s="222"/>
      <c r="N506" s="250"/>
      <c r="P506" s="222"/>
      <c r="R506" s="222"/>
      <c r="T506" s="250"/>
      <c r="V506" s="222"/>
      <c r="X506" s="222"/>
      <c r="Z506" s="250"/>
      <c r="AB506" s="222"/>
      <c r="AD506" s="222"/>
      <c r="AG506" s="250"/>
    </row>
    <row r="507" spans="1:33" s="280" customFormat="1" ht="15.5">
      <c r="A507" s="250"/>
      <c r="B507" s="250"/>
      <c r="C507" s="250"/>
      <c r="D507" s="250"/>
      <c r="E507" s="250"/>
      <c r="F507" s="250"/>
      <c r="H507" s="250"/>
      <c r="J507" s="222"/>
      <c r="L507" s="222"/>
      <c r="N507" s="250"/>
      <c r="P507" s="222"/>
      <c r="R507" s="222"/>
      <c r="T507" s="250"/>
      <c r="V507" s="222"/>
      <c r="X507" s="222"/>
      <c r="Z507" s="250"/>
      <c r="AB507" s="222"/>
      <c r="AD507" s="222"/>
      <c r="AG507" s="250"/>
    </row>
    <row r="508" spans="1:33" s="280" customFormat="1" ht="15.5">
      <c r="A508" s="250"/>
      <c r="B508" s="250"/>
      <c r="C508" s="250"/>
      <c r="D508" s="250"/>
      <c r="E508" s="250"/>
      <c r="F508" s="250"/>
      <c r="H508" s="250"/>
      <c r="J508" s="222"/>
      <c r="L508" s="222"/>
      <c r="N508" s="250"/>
      <c r="P508" s="222"/>
      <c r="R508" s="222"/>
      <c r="T508" s="250"/>
      <c r="V508" s="222"/>
      <c r="X508" s="222"/>
      <c r="Z508" s="250"/>
      <c r="AB508" s="222"/>
      <c r="AD508" s="222"/>
      <c r="AG508" s="250"/>
    </row>
    <row r="509" spans="1:33" s="280" customFormat="1" ht="15.5">
      <c r="A509" s="250"/>
      <c r="B509" s="250"/>
      <c r="C509" s="250"/>
      <c r="D509" s="250"/>
      <c r="E509" s="250"/>
      <c r="F509" s="250"/>
      <c r="H509" s="250"/>
      <c r="J509" s="222"/>
      <c r="L509" s="222"/>
      <c r="N509" s="250"/>
      <c r="P509" s="222"/>
      <c r="R509" s="222"/>
      <c r="T509" s="250"/>
      <c r="V509" s="222"/>
      <c r="X509" s="222"/>
      <c r="Z509" s="250"/>
      <c r="AB509" s="222"/>
      <c r="AD509" s="222"/>
      <c r="AG509" s="250"/>
    </row>
    <row r="510" spans="1:33" s="280" customFormat="1" ht="15.5">
      <c r="A510" s="250"/>
      <c r="B510" s="250"/>
      <c r="C510" s="250"/>
      <c r="D510" s="250"/>
      <c r="E510" s="250"/>
      <c r="F510" s="250"/>
      <c r="H510" s="250"/>
      <c r="J510" s="222"/>
      <c r="L510" s="222"/>
      <c r="N510" s="250"/>
      <c r="P510" s="222"/>
      <c r="R510" s="222"/>
      <c r="T510" s="250"/>
      <c r="V510" s="222"/>
      <c r="X510" s="222"/>
      <c r="Z510" s="250"/>
      <c r="AB510" s="222"/>
      <c r="AD510" s="222"/>
      <c r="AG510" s="250"/>
    </row>
    <row r="511" spans="1:33" s="280" customFormat="1" ht="15.5">
      <c r="A511" s="250"/>
      <c r="B511" s="250"/>
      <c r="C511" s="250"/>
      <c r="D511" s="250"/>
      <c r="E511" s="250"/>
      <c r="F511" s="250"/>
      <c r="H511" s="250"/>
      <c r="J511" s="222"/>
      <c r="L511" s="222"/>
      <c r="N511" s="250"/>
      <c r="P511" s="222"/>
      <c r="R511" s="222"/>
      <c r="T511" s="250"/>
      <c r="V511" s="222"/>
      <c r="X511" s="222"/>
      <c r="Z511" s="250"/>
      <c r="AB511" s="222"/>
      <c r="AD511" s="222"/>
      <c r="AG511" s="250"/>
    </row>
    <row r="512" spans="1:33" s="280" customFormat="1" ht="15.5">
      <c r="A512" s="250"/>
      <c r="B512" s="250"/>
      <c r="C512" s="250"/>
      <c r="D512" s="250"/>
      <c r="E512" s="250"/>
      <c r="F512" s="250"/>
      <c r="H512" s="250"/>
      <c r="J512" s="222"/>
      <c r="L512" s="222"/>
      <c r="N512" s="250"/>
      <c r="P512" s="222"/>
      <c r="R512" s="222"/>
      <c r="T512" s="250"/>
      <c r="V512" s="222"/>
      <c r="X512" s="222"/>
      <c r="Z512" s="250"/>
      <c r="AB512" s="222"/>
      <c r="AD512" s="222"/>
      <c r="AG512" s="250"/>
    </row>
    <row r="513" spans="1:33" s="280" customFormat="1" ht="15.5">
      <c r="A513" s="250"/>
      <c r="B513" s="250"/>
      <c r="C513" s="250"/>
      <c r="D513" s="250"/>
      <c r="E513" s="250"/>
      <c r="F513" s="250"/>
      <c r="H513" s="250"/>
      <c r="J513" s="222"/>
      <c r="L513" s="222"/>
      <c r="N513" s="250"/>
      <c r="P513" s="222"/>
      <c r="R513" s="222"/>
      <c r="T513" s="250"/>
      <c r="V513" s="222"/>
      <c r="X513" s="222"/>
      <c r="Z513" s="250"/>
      <c r="AB513" s="222"/>
      <c r="AD513" s="222"/>
      <c r="AG513" s="250"/>
    </row>
    <row r="514" spans="1:33" s="280" customFormat="1" ht="15.5">
      <c r="A514" s="250"/>
      <c r="B514" s="250"/>
      <c r="C514" s="250"/>
      <c r="D514" s="250"/>
      <c r="E514" s="250"/>
      <c r="F514" s="250"/>
      <c r="H514" s="250"/>
      <c r="J514" s="222"/>
      <c r="L514" s="222"/>
      <c r="N514" s="250"/>
      <c r="P514" s="222"/>
      <c r="R514" s="222"/>
      <c r="T514" s="250"/>
      <c r="V514" s="222"/>
      <c r="X514" s="222"/>
      <c r="Z514" s="250"/>
      <c r="AB514" s="222"/>
      <c r="AD514" s="222"/>
      <c r="AG514" s="250"/>
    </row>
    <row r="515" spans="1:33" s="280" customFormat="1" ht="15.5">
      <c r="A515" s="250"/>
      <c r="B515" s="250"/>
      <c r="C515" s="250"/>
      <c r="D515" s="250"/>
      <c r="E515" s="250"/>
      <c r="F515" s="250"/>
      <c r="H515" s="250"/>
      <c r="J515" s="222"/>
      <c r="L515" s="222"/>
      <c r="N515" s="250"/>
      <c r="P515" s="222"/>
      <c r="R515" s="222"/>
      <c r="T515" s="250"/>
      <c r="V515" s="222"/>
      <c r="X515" s="222"/>
      <c r="Z515" s="250"/>
      <c r="AB515" s="222"/>
      <c r="AD515" s="222"/>
      <c r="AG515" s="250"/>
    </row>
    <row r="516" spans="1:33" s="280" customFormat="1" ht="15.5">
      <c r="A516" s="250"/>
      <c r="B516" s="250"/>
      <c r="C516" s="250"/>
      <c r="D516" s="250"/>
      <c r="E516" s="250"/>
      <c r="F516" s="250"/>
      <c r="H516" s="250"/>
      <c r="J516" s="222"/>
      <c r="L516" s="222"/>
      <c r="N516" s="250"/>
      <c r="P516" s="222"/>
      <c r="R516" s="222"/>
      <c r="T516" s="250"/>
      <c r="V516" s="222"/>
      <c r="X516" s="222"/>
      <c r="Z516" s="250"/>
      <c r="AB516" s="222"/>
      <c r="AD516" s="222"/>
      <c r="AG516" s="250"/>
    </row>
    <row r="517" spans="1:33" s="280" customFormat="1" ht="15.5">
      <c r="A517" s="250"/>
      <c r="B517" s="250"/>
      <c r="C517" s="250"/>
      <c r="D517" s="250"/>
      <c r="E517" s="250"/>
      <c r="F517" s="250"/>
      <c r="H517" s="250"/>
      <c r="J517" s="222"/>
      <c r="L517" s="222"/>
      <c r="N517" s="250"/>
      <c r="P517" s="222"/>
      <c r="R517" s="222"/>
      <c r="T517" s="250"/>
      <c r="V517" s="222"/>
      <c r="X517" s="222"/>
      <c r="Z517" s="250"/>
      <c r="AB517" s="222"/>
      <c r="AD517" s="222"/>
      <c r="AG517" s="250"/>
    </row>
    <row r="518" spans="1:33" s="280" customFormat="1" ht="15.5">
      <c r="A518" s="250"/>
      <c r="B518" s="250"/>
      <c r="C518" s="250"/>
      <c r="D518" s="250"/>
      <c r="E518" s="250"/>
      <c r="F518" s="250"/>
      <c r="H518" s="250"/>
      <c r="J518" s="222"/>
      <c r="L518" s="222"/>
      <c r="N518" s="250"/>
      <c r="P518" s="222"/>
      <c r="R518" s="222"/>
      <c r="T518" s="250"/>
      <c r="V518" s="222"/>
      <c r="X518" s="222"/>
      <c r="Z518" s="250"/>
      <c r="AB518" s="222"/>
      <c r="AD518" s="222"/>
      <c r="AG518" s="250"/>
    </row>
    <row r="519" spans="1:33" s="280" customFormat="1" ht="15.5">
      <c r="A519" s="250"/>
      <c r="B519" s="250"/>
      <c r="C519" s="250"/>
      <c r="D519" s="250"/>
      <c r="E519" s="250"/>
      <c r="F519" s="250"/>
      <c r="H519" s="250"/>
      <c r="J519" s="222"/>
      <c r="L519" s="222"/>
      <c r="N519" s="250"/>
      <c r="P519" s="222"/>
      <c r="R519" s="222"/>
      <c r="T519" s="250"/>
      <c r="V519" s="222"/>
      <c r="X519" s="222"/>
      <c r="Z519" s="250"/>
      <c r="AB519" s="222"/>
      <c r="AD519" s="222"/>
      <c r="AG519" s="250"/>
    </row>
    <row r="520" spans="1:33" s="280" customFormat="1" ht="15.5">
      <c r="A520" s="250"/>
      <c r="B520" s="250"/>
      <c r="C520" s="250"/>
      <c r="D520" s="250"/>
      <c r="E520" s="250"/>
      <c r="F520" s="250"/>
      <c r="H520" s="250"/>
      <c r="J520" s="222"/>
      <c r="L520" s="222"/>
      <c r="N520" s="250"/>
      <c r="P520" s="222"/>
      <c r="R520" s="222"/>
      <c r="T520" s="250"/>
      <c r="V520" s="222"/>
      <c r="X520" s="222"/>
      <c r="Z520" s="250"/>
      <c r="AB520" s="222"/>
      <c r="AD520" s="222"/>
      <c r="AG520" s="250"/>
    </row>
    <row r="521" spans="1:33" s="280" customFormat="1" ht="15.5">
      <c r="A521" s="250"/>
      <c r="B521" s="250"/>
      <c r="C521" s="250"/>
      <c r="D521" s="250"/>
      <c r="E521" s="250"/>
      <c r="F521" s="250"/>
      <c r="H521" s="250"/>
      <c r="J521" s="222"/>
      <c r="L521" s="222"/>
      <c r="N521" s="250"/>
      <c r="P521" s="222"/>
      <c r="R521" s="222"/>
      <c r="T521" s="250"/>
      <c r="V521" s="222"/>
      <c r="X521" s="222"/>
      <c r="Z521" s="250"/>
      <c r="AB521" s="222"/>
      <c r="AD521" s="222"/>
      <c r="AG521" s="250"/>
    </row>
    <row r="522" spans="1:33" s="280" customFormat="1" ht="15.5">
      <c r="A522" s="250"/>
      <c r="B522" s="250"/>
      <c r="C522" s="250"/>
      <c r="D522" s="250"/>
      <c r="E522" s="250"/>
      <c r="F522" s="250"/>
      <c r="H522" s="250"/>
      <c r="J522" s="222"/>
      <c r="L522" s="222"/>
      <c r="N522" s="250"/>
      <c r="P522" s="222"/>
      <c r="R522" s="222"/>
      <c r="T522" s="250"/>
      <c r="V522" s="222"/>
      <c r="X522" s="222"/>
      <c r="Z522" s="250"/>
      <c r="AB522" s="222"/>
      <c r="AD522" s="222"/>
      <c r="AG522" s="250"/>
    </row>
    <row r="523" spans="1:33" s="280" customFormat="1">
      <c r="A523" s="250"/>
      <c r="B523" s="250"/>
      <c r="C523" s="250"/>
      <c r="D523" s="250"/>
      <c r="E523" s="250"/>
      <c r="F523" s="250"/>
      <c r="H523" s="250"/>
      <c r="J523" s="250"/>
      <c r="L523" s="250"/>
      <c r="N523" s="250"/>
      <c r="P523" s="250"/>
      <c r="R523" s="250"/>
      <c r="T523" s="250"/>
      <c r="V523" s="250"/>
      <c r="X523" s="250"/>
      <c r="Z523" s="250"/>
      <c r="AB523" s="250"/>
      <c r="AD523" s="250"/>
      <c r="AF523" s="250"/>
      <c r="AG523" s="250"/>
    </row>
    <row r="524" spans="1:33" s="280" customFormat="1">
      <c r="A524" s="250"/>
      <c r="B524" s="250"/>
      <c r="C524" s="250"/>
      <c r="D524" s="250"/>
      <c r="E524" s="250"/>
      <c r="F524" s="250"/>
      <c r="H524" s="250"/>
      <c r="J524" s="250"/>
      <c r="L524" s="250"/>
      <c r="N524" s="250"/>
      <c r="P524" s="250"/>
      <c r="R524" s="250"/>
      <c r="T524" s="250"/>
      <c r="V524" s="250"/>
      <c r="X524" s="250"/>
      <c r="Z524" s="250"/>
      <c r="AB524" s="250"/>
      <c r="AD524" s="250"/>
      <c r="AF524" s="250"/>
      <c r="AG524" s="250"/>
    </row>
    <row r="525" spans="1:33" s="280" customFormat="1">
      <c r="A525" s="250"/>
      <c r="B525" s="250"/>
      <c r="C525" s="250"/>
      <c r="D525" s="250"/>
      <c r="E525" s="250"/>
      <c r="F525" s="250"/>
      <c r="H525" s="250"/>
      <c r="J525" s="250"/>
      <c r="L525" s="250"/>
      <c r="N525" s="250"/>
      <c r="P525" s="250"/>
      <c r="R525" s="250"/>
      <c r="T525" s="250"/>
      <c r="V525" s="250"/>
      <c r="X525" s="250"/>
      <c r="Z525" s="250"/>
      <c r="AB525" s="250"/>
      <c r="AD525" s="250"/>
      <c r="AF525" s="250"/>
      <c r="AG525" s="250"/>
    </row>
    <row r="526" spans="1:33" s="280" customFormat="1">
      <c r="A526" s="250"/>
      <c r="B526" s="250"/>
      <c r="C526" s="250"/>
      <c r="D526" s="250"/>
      <c r="E526" s="250"/>
      <c r="F526" s="250"/>
      <c r="H526" s="250"/>
      <c r="J526" s="250"/>
      <c r="L526" s="250"/>
      <c r="N526" s="250"/>
      <c r="P526" s="250"/>
      <c r="R526" s="250"/>
      <c r="T526" s="250"/>
      <c r="V526" s="250"/>
      <c r="X526" s="250"/>
      <c r="Z526" s="250"/>
      <c r="AB526" s="250"/>
      <c r="AD526" s="250"/>
      <c r="AF526" s="250"/>
      <c r="AG526" s="250"/>
    </row>
    <row r="527" spans="1:33" s="280" customFormat="1">
      <c r="A527" s="250"/>
      <c r="B527" s="250"/>
      <c r="C527" s="250"/>
      <c r="D527" s="250"/>
      <c r="E527" s="250"/>
      <c r="F527" s="250"/>
      <c r="H527" s="250"/>
      <c r="J527" s="250"/>
      <c r="L527" s="250"/>
      <c r="N527" s="250"/>
      <c r="P527" s="250"/>
      <c r="R527" s="250"/>
      <c r="T527" s="250"/>
      <c r="V527" s="250"/>
      <c r="X527" s="250"/>
      <c r="Z527" s="250"/>
      <c r="AB527" s="250"/>
      <c r="AD527" s="250"/>
      <c r="AF527" s="250"/>
      <c r="AG527" s="250"/>
    </row>
    <row r="528" spans="1:33" s="280" customFormat="1">
      <c r="A528" s="250"/>
      <c r="B528" s="250"/>
      <c r="C528" s="250"/>
      <c r="D528" s="250"/>
      <c r="E528" s="250"/>
      <c r="F528" s="250"/>
      <c r="H528" s="250"/>
      <c r="J528" s="250"/>
      <c r="L528" s="250"/>
      <c r="N528" s="250"/>
      <c r="P528" s="250"/>
      <c r="R528" s="250"/>
      <c r="T528" s="250"/>
      <c r="V528" s="250"/>
      <c r="X528" s="250"/>
      <c r="Z528" s="250"/>
      <c r="AB528" s="250"/>
      <c r="AD528" s="250"/>
      <c r="AF528" s="250"/>
      <c r="AG528" s="250"/>
    </row>
    <row r="529" spans="1:33" s="280" customFormat="1">
      <c r="A529" s="250"/>
      <c r="B529" s="250"/>
      <c r="C529" s="250"/>
      <c r="D529" s="250"/>
      <c r="E529" s="250"/>
      <c r="F529" s="250"/>
      <c r="H529" s="250"/>
      <c r="J529" s="250"/>
      <c r="L529" s="250"/>
      <c r="N529" s="250"/>
      <c r="P529" s="250"/>
      <c r="R529" s="250"/>
      <c r="T529" s="250"/>
      <c r="V529" s="250"/>
      <c r="X529" s="250"/>
      <c r="Z529" s="250"/>
      <c r="AB529" s="250"/>
      <c r="AD529" s="250"/>
      <c r="AF529" s="250"/>
      <c r="AG529" s="250"/>
    </row>
    <row r="530" spans="1:33" s="280" customFormat="1">
      <c r="A530" s="250"/>
      <c r="B530" s="250"/>
      <c r="C530" s="250"/>
      <c r="D530" s="250"/>
      <c r="E530" s="250"/>
      <c r="F530" s="250"/>
      <c r="H530" s="250"/>
      <c r="J530" s="250"/>
      <c r="L530" s="250"/>
      <c r="N530" s="250"/>
      <c r="P530" s="250"/>
      <c r="R530" s="250"/>
      <c r="T530" s="250"/>
      <c r="V530" s="250"/>
      <c r="X530" s="250"/>
      <c r="Z530" s="250"/>
      <c r="AB530" s="250"/>
      <c r="AD530" s="250"/>
      <c r="AF530" s="250"/>
      <c r="AG530" s="250"/>
    </row>
    <row r="531" spans="1:33" s="280" customFormat="1">
      <c r="A531" s="250"/>
      <c r="B531" s="250"/>
      <c r="C531" s="250"/>
      <c r="D531" s="250"/>
      <c r="E531" s="250"/>
      <c r="F531" s="250"/>
      <c r="H531" s="250"/>
      <c r="J531" s="250"/>
      <c r="L531" s="250"/>
      <c r="N531" s="250"/>
      <c r="P531" s="250"/>
      <c r="R531" s="250"/>
      <c r="T531" s="250"/>
      <c r="V531" s="250"/>
      <c r="X531" s="250"/>
      <c r="Z531" s="250"/>
      <c r="AB531" s="250"/>
      <c r="AD531" s="250"/>
      <c r="AF531" s="250"/>
      <c r="AG531" s="250"/>
    </row>
    <row r="532" spans="1:33" s="280" customFormat="1">
      <c r="A532" s="250"/>
      <c r="B532" s="250"/>
      <c r="C532" s="250"/>
      <c r="D532" s="250"/>
      <c r="E532" s="250"/>
      <c r="F532" s="250"/>
      <c r="H532" s="250"/>
      <c r="J532" s="250"/>
      <c r="L532" s="250"/>
      <c r="N532" s="250"/>
      <c r="P532" s="250"/>
      <c r="R532" s="250"/>
      <c r="T532" s="250"/>
      <c r="V532" s="250"/>
      <c r="X532" s="250"/>
      <c r="Z532" s="250"/>
      <c r="AB532" s="250"/>
      <c r="AD532" s="250"/>
      <c r="AF532" s="250"/>
      <c r="AG532" s="250"/>
    </row>
    <row r="533" spans="1:33" s="280" customFormat="1">
      <c r="A533" s="250"/>
      <c r="B533" s="250"/>
      <c r="C533" s="250"/>
      <c r="D533" s="250"/>
      <c r="E533" s="250"/>
      <c r="F533" s="250"/>
      <c r="H533" s="250"/>
      <c r="J533" s="250"/>
      <c r="L533" s="250"/>
      <c r="N533" s="250"/>
      <c r="P533" s="250"/>
      <c r="R533" s="250"/>
      <c r="T533" s="250"/>
      <c r="V533" s="250"/>
      <c r="X533" s="250"/>
      <c r="Z533" s="250"/>
      <c r="AB533" s="250"/>
      <c r="AD533" s="250"/>
      <c r="AF533" s="250"/>
      <c r="AG533" s="250"/>
    </row>
    <row r="534" spans="1:33" s="280" customFormat="1">
      <c r="A534" s="250"/>
      <c r="B534" s="250"/>
      <c r="C534" s="250"/>
      <c r="D534" s="250"/>
      <c r="E534" s="250"/>
      <c r="F534" s="250"/>
      <c r="H534" s="250"/>
      <c r="J534" s="250"/>
      <c r="L534" s="250"/>
      <c r="N534" s="250"/>
      <c r="P534" s="250"/>
      <c r="R534" s="250"/>
      <c r="T534" s="250"/>
      <c r="V534" s="250"/>
      <c r="X534" s="250"/>
      <c r="Z534" s="250"/>
      <c r="AB534" s="250"/>
      <c r="AD534" s="250"/>
      <c r="AF534" s="250"/>
      <c r="AG534" s="250"/>
    </row>
    <row r="535" spans="1:33" s="280" customFormat="1">
      <c r="A535" s="250"/>
      <c r="B535" s="250"/>
      <c r="C535" s="250"/>
      <c r="D535" s="250"/>
      <c r="E535" s="250"/>
      <c r="F535" s="250"/>
      <c r="H535" s="250"/>
      <c r="J535" s="250"/>
      <c r="L535" s="250"/>
      <c r="N535" s="250"/>
      <c r="P535" s="250"/>
      <c r="R535" s="250"/>
      <c r="T535" s="250"/>
      <c r="V535" s="250"/>
      <c r="X535" s="250"/>
      <c r="Z535" s="250"/>
      <c r="AB535" s="250"/>
      <c r="AD535" s="250"/>
      <c r="AF535" s="250"/>
      <c r="AG535" s="250"/>
    </row>
    <row r="536" spans="1:33" s="280" customFormat="1">
      <c r="A536" s="250"/>
      <c r="B536" s="250"/>
      <c r="C536" s="250"/>
      <c r="D536" s="250"/>
      <c r="E536" s="250"/>
      <c r="F536" s="250"/>
      <c r="H536" s="250"/>
      <c r="J536" s="250"/>
      <c r="L536" s="250"/>
      <c r="N536" s="250"/>
      <c r="P536" s="250"/>
      <c r="R536" s="250"/>
      <c r="T536" s="250"/>
      <c r="V536" s="250"/>
      <c r="X536" s="250"/>
      <c r="Z536" s="250"/>
      <c r="AB536" s="250"/>
      <c r="AD536" s="250"/>
      <c r="AF536" s="250"/>
      <c r="AG536" s="250"/>
    </row>
    <row r="537" spans="1:33" s="280" customFormat="1">
      <c r="A537" s="250"/>
      <c r="B537" s="250"/>
      <c r="C537" s="250"/>
      <c r="D537" s="250"/>
      <c r="E537" s="250"/>
      <c r="F537" s="250"/>
      <c r="H537" s="250"/>
      <c r="J537" s="250"/>
      <c r="L537" s="250"/>
      <c r="N537" s="250"/>
      <c r="P537" s="250"/>
      <c r="R537" s="250"/>
      <c r="T537" s="250"/>
      <c r="V537" s="250"/>
      <c r="X537" s="250"/>
      <c r="Z537" s="250"/>
      <c r="AB537" s="250"/>
      <c r="AD537" s="250"/>
      <c r="AF537" s="250"/>
      <c r="AG537" s="250"/>
    </row>
  </sheetData>
  <pageMargins left="0.25" right="0.25" top="0.27" bottom="0.4" header="0.18" footer="0.25"/>
  <pageSetup scale="48" fitToHeight="6" orientation="landscape" errors="blank" horizontalDpi="4294967292" r:id="rId1"/>
  <headerFooter alignWithMargins="0">
    <oddFooter>&amp;L&amp;F - &amp;A&amp;CPrinted &amp;D - &amp;T&amp;RPage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TG</Prefix>
    <DocumentSetType xmlns="dc463f71-b30c-4ab2-9473-d307f9d35888">Workpapers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227</IndustryCode>
    <CaseStatus xmlns="dc463f71-b30c-4ab2-9473-d307f9d35888">Closed</CaseStatus>
    <OpenedDate xmlns="dc463f71-b30c-4ab2-9473-d307f9d35888">2016-01-13T08:00:00+00:00</OpenedDate>
    <Date1 xmlns="dc463f71-b30c-4ab2-9473-d307f9d35888">2016-01-13T08:00:00+00:00</Date1>
    <IsDocumentOrder xmlns="dc463f71-b30c-4ab2-9473-d307f9d35888" xsi:nil="true"/>
    <IsHighlyConfidential xmlns="dc463f71-b30c-4ab2-9473-d307f9d35888">false</IsHighlyConfidential>
    <CaseCompanyNames xmlns="dc463f71-b30c-4ab2-9473-d307f9d35888">AMERICAN DISPOSAL COMPANY, INC.</CaseCompanyNames>
    <DocketNumber xmlns="dc463f71-b30c-4ab2-9473-d307f9d35888">160079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8BAC5560F8B30049BEEFE7445DE31844" ma:contentTypeVersion="104" ma:contentTypeDescription="" ma:contentTypeScope="" ma:versionID="46be3dc0dd27ce708bed413210596d74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c67bbc6b01ef53d9eb67ed595f238ae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4F6399A-28F0-43BB-AB3C-55D3591F246E}"/>
</file>

<file path=customXml/itemProps2.xml><?xml version="1.0" encoding="utf-8"?>
<ds:datastoreItem xmlns:ds="http://schemas.openxmlformats.org/officeDocument/2006/customXml" ds:itemID="{1AE1ACDC-2007-4705-A88B-4D30494E460D}"/>
</file>

<file path=customXml/itemProps3.xml><?xml version="1.0" encoding="utf-8"?>
<ds:datastoreItem xmlns:ds="http://schemas.openxmlformats.org/officeDocument/2006/customXml" ds:itemID="{8FF5CEE6-0378-4A8B-96AA-A9233D8AAC16}"/>
</file>

<file path=customXml/itemProps4.xml><?xml version="1.0" encoding="utf-8"?>
<ds:datastoreItem xmlns:ds="http://schemas.openxmlformats.org/officeDocument/2006/customXml" ds:itemID="{1624D627-245B-4330-96B5-BBD6306D9E8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23</vt:i4>
      </vt:variant>
    </vt:vector>
  </HeadingPairs>
  <TitlesOfParts>
    <vt:vector size="33" baseType="lpstr">
      <vt:lpstr>References</vt:lpstr>
      <vt:lpstr>DF Calculation</vt:lpstr>
      <vt:lpstr>Consolidated Cust Cnt</vt:lpstr>
      <vt:lpstr>Disposal Schedule</vt:lpstr>
      <vt:lpstr>Proposed Rates</vt:lpstr>
      <vt:lpstr>Rev Recon</vt:lpstr>
      <vt:lpstr>Murrey's Rev 2015</vt:lpstr>
      <vt:lpstr>American Rev 2015</vt:lpstr>
      <vt:lpstr>Murrey's IS</vt:lpstr>
      <vt:lpstr>American IS</vt:lpstr>
      <vt:lpstr>'American IS'!District</vt:lpstr>
      <vt:lpstr>'Murrey''s IS'!District</vt:lpstr>
      <vt:lpstr>'American IS'!DistrictName</vt:lpstr>
      <vt:lpstr>'Murrey''s IS'!DistrictName</vt:lpstr>
      <vt:lpstr>'American IS'!ExcludeIC</vt:lpstr>
      <vt:lpstr>'Murrey''s IS'!ExcludeIC</vt:lpstr>
      <vt:lpstr>'American IS'!Print_Area</vt:lpstr>
      <vt:lpstr>'American Rev 2015'!Print_Area</vt:lpstr>
      <vt:lpstr>'Consolidated Cust Cnt'!Print_Area</vt:lpstr>
      <vt:lpstr>'DF Calculation'!Print_Area</vt:lpstr>
      <vt:lpstr>'Murrey''s IS'!Print_Area</vt:lpstr>
      <vt:lpstr>'Murrey''s Rev 2015'!Print_Area</vt:lpstr>
      <vt:lpstr>'American IS'!Print_Titles</vt:lpstr>
      <vt:lpstr>'American Rev 2015'!Print_Titles</vt:lpstr>
      <vt:lpstr>'Consolidated Cust Cnt'!Print_Titles</vt:lpstr>
      <vt:lpstr>'DF Calculation'!Print_Titles</vt:lpstr>
      <vt:lpstr>'Murrey''s IS'!Print_Titles</vt:lpstr>
      <vt:lpstr>'Murrey''s Rev 2015'!Print_Titles</vt:lpstr>
      <vt:lpstr>'Proposed Rates'!Print_Titles</vt:lpstr>
      <vt:lpstr>'American IS'!System</vt:lpstr>
      <vt:lpstr>'Murrey''s IS'!System</vt:lpstr>
      <vt:lpstr>'American IS'!YearMonth</vt:lpstr>
      <vt:lpstr>'Murrey''s IS'!YearMonth</vt:lpstr>
    </vt:vector>
  </TitlesOfParts>
  <Company>Washington Utilities and Transportation Commission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Young</dc:creator>
  <cp:lastModifiedBy>Rollman, Courtney (UTC)</cp:lastModifiedBy>
  <cp:lastPrinted>2016-01-13T20:36:37Z</cp:lastPrinted>
  <dcterms:created xsi:type="dcterms:W3CDTF">2013-10-29T22:33:54Z</dcterms:created>
  <dcterms:modified xsi:type="dcterms:W3CDTF">2016-01-13T23:34:25Z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0x0101006E56B4D1795A2E4DB2F0B01679ED314A008BAC5560F8B30049BEEFE7445DE31844</vt:lpwstr>
  </property>
  <property fmtid="{D5CDD505-2E9C-101B-9397-08002B2CF9AE}" pid="3" name="_docset_NoMedatataSyncRequired">
    <vt:lpwstr>False</vt:lpwstr>
  </property>
</Properties>
</file>