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ocuments\"/>
    </mc:Choice>
  </mc:AlternateContent>
  <bookViews>
    <workbookView xWindow="200" yWindow="120" windowWidth="13380" windowHeight="7410" activeTab="2"/>
  </bookViews>
  <sheets>
    <sheet name="References" sheetId="4" r:id="rId1"/>
    <sheet name="Staff Calcs " sheetId="7" r:id="rId2"/>
    <sheet name="Proposed Rates" sheetId="13" r:id="rId3"/>
    <sheet name="Co Provided Priceout" sheetId="12" r:id="rId4"/>
  </sheets>
  <definedNames>
    <definedName name="_xlnm.Print_Area" localSheetId="1">'Staff Calcs '!$L$2:$N$68</definedName>
    <definedName name="_xlnm.Print_Titles" localSheetId="1">'Staff Calcs '!$B:$C</definedName>
  </definedNames>
  <calcPr calcId="152511"/>
</workbook>
</file>

<file path=xl/calcChain.xml><?xml version="1.0" encoding="utf-8"?>
<calcChain xmlns="http://schemas.openxmlformats.org/spreadsheetml/2006/main">
  <c r="B63" i="13" l="1"/>
  <c r="M67" i="7" l="1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38" i="7" l="1"/>
  <c r="M39" i="7"/>
  <c r="M40" i="7"/>
  <c r="M37" i="7"/>
  <c r="M42" i="7"/>
  <c r="M41" i="7"/>
  <c r="M36" i="7"/>
  <c r="M35" i="7"/>
  <c r="M34" i="7"/>
  <c r="M33" i="7"/>
  <c r="M32" i="7"/>
  <c r="M31" i="7"/>
  <c r="M30" i="7"/>
  <c r="M28" i="7"/>
  <c r="M29" i="7" s="1"/>
  <c r="M27" i="7"/>
  <c r="M26" i="7"/>
  <c r="M25" i="7"/>
  <c r="M24" i="7"/>
  <c r="M23" i="7"/>
  <c r="M22" i="7"/>
  <c r="M21" i="7"/>
  <c r="M20" i="7"/>
  <c r="M18" i="7"/>
  <c r="M17" i="7"/>
  <c r="M16" i="7"/>
  <c r="M14" i="7"/>
  <c r="M15" i="7" s="1"/>
  <c r="M13" i="7"/>
  <c r="M12" i="7"/>
  <c r="M10" i="7"/>
  <c r="M11" i="7" s="1"/>
  <c r="M9" i="7"/>
  <c r="M8" i="7"/>
  <c r="M4" i="7"/>
  <c r="M5" i="7"/>
  <c r="M6" i="7"/>
  <c r="M7" i="7"/>
  <c r="M3" i="7"/>
  <c r="G57" i="7" l="1"/>
  <c r="G56" i="7"/>
  <c r="G55" i="7"/>
  <c r="F55" i="7"/>
  <c r="H55" i="7" l="1"/>
  <c r="Y43" i="7" l="1"/>
  <c r="Y19" i="7"/>
  <c r="D43" i="7" l="1"/>
  <c r="G38" i="7"/>
  <c r="G39" i="7"/>
  <c r="G40" i="7"/>
  <c r="G37" i="7"/>
  <c r="F40" i="7"/>
  <c r="F39" i="7"/>
  <c r="F38" i="7"/>
  <c r="G31" i="7"/>
  <c r="G32" i="7"/>
  <c r="G26" i="7"/>
  <c r="G21" i="7"/>
  <c r="G22" i="7"/>
  <c r="F43" i="7" l="1"/>
  <c r="G66" i="7"/>
  <c r="G65" i="7"/>
  <c r="G64" i="7"/>
  <c r="G67" i="7"/>
  <c r="F11" i="7"/>
  <c r="P37" i="7" l="1"/>
  <c r="P38" i="7"/>
  <c r="P39" i="7"/>
  <c r="P40" i="7"/>
  <c r="P41" i="7"/>
  <c r="P11" i="7"/>
  <c r="P15" i="7"/>
  <c r="G15" i="7"/>
  <c r="D19" i="7"/>
  <c r="P17" i="7"/>
  <c r="P18" i="7"/>
  <c r="P16" i="7"/>
  <c r="G62" i="7"/>
  <c r="F62" i="7"/>
  <c r="G61" i="7"/>
  <c r="G60" i="7"/>
  <c r="G59" i="7"/>
  <c r="G58" i="7"/>
  <c r="G63" i="7"/>
  <c r="H63" i="7" s="1"/>
  <c r="G54" i="7"/>
  <c r="G52" i="7"/>
  <c r="G51" i="7"/>
  <c r="F58" i="7"/>
  <c r="F59" i="7"/>
  <c r="F63" i="7"/>
  <c r="F60" i="7"/>
  <c r="F61" i="7"/>
  <c r="G42" i="7"/>
  <c r="G41" i="7"/>
  <c r="G36" i="7"/>
  <c r="G33" i="7"/>
  <c r="G34" i="7"/>
  <c r="G35" i="7"/>
  <c r="G30" i="7"/>
  <c r="G27" i="7"/>
  <c r="G28" i="7"/>
  <c r="G29" i="7"/>
  <c r="G25" i="7"/>
  <c r="G24" i="7"/>
  <c r="G23" i="7"/>
  <c r="G20" i="7"/>
  <c r="G18" i="7"/>
  <c r="G17" i="7"/>
  <c r="G16" i="7"/>
  <c r="G14" i="7"/>
  <c r="G13" i="7"/>
  <c r="G12" i="7"/>
  <c r="G9" i="7"/>
  <c r="G8" i="7"/>
  <c r="G7" i="7"/>
  <c r="H58" i="7" l="1"/>
  <c r="H59" i="7"/>
  <c r="H60" i="7"/>
  <c r="H61" i="7"/>
  <c r="H62" i="7"/>
  <c r="D44" i="7"/>
  <c r="G53" i="7"/>
  <c r="H53" i="7" s="1"/>
  <c r="G50" i="7"/>
  <c r="H50" i="7" s="1"/>
  <c r="G49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42" i="7"/>
  <c r="P20" i="7"/>
  <c r="H42" i="7"/>
  <c r="H41" i="7"/>
  <c r="P5" i="7"/>
  <c r="P6" i="7"/>
  <c r="P7" i="7"/>
  <c r="P8" i="7"/>
  <c r="P9" i="7"/>
  <c r="P10" i="7"/>
  <c r="P12" i="7"/>
  <c r="P13" i="7"/>
  <c r="P14" i="7"/>
  <c r="G10" i="7"/>
  <c r="G3" i="7"/>
  <c r="H16" i="7"/>
  <c r="H17" i="7"/>
  <c r="H18" i="7"/>
  <c r="H11" i="7"/>
  <c r="B60" i="4"/>
  <c r="H15" i="7" l="1"/>
  <c r="P43" i="7"/>
  <c r="G48" i="7" l="1"/>
  <c r="G6" i="7"/>
  <c r="G5" i="7"/>
  <c r="G4" i="7"/>
  <c r="F54" i="7" l="1"/>
  <c r="H54" i="7" s="1"/>
  <c r="P4" i="7"/>
  <c r="H25" i="7"/>
  <c r="H26" i="7"/>
  <c r="H36" i="7"/>
  <c r="H37" i="7"/>
  <c r="H38" i="7"/>
  <c r="H39" i="7"/>
  <c r="H40" i="7"/>
  <c r="B5" i="4" l="1"/>
  <c r="B6" i="4"/>
  <c r="B7" i="4"/>
  <c r="B8" i="4"/>
  <c r="H21" i="7" l="1"/>
  <c r="H24" i="7"/>
  <c r="D7" i="4"/>
  <c r="C6" i="4"/>
  <c r="E6" i="4"/>
  <c r="G6" i="4"/>
  <c r="F7" i="4"/>
  <c r="C7" i="4"/>
  <c r="D6" i="4"/>
  <c r="F6" i="4"/>
  <c r="H6" i="4"/>
  <c r="C8" i="4"/>
  <c r="H8" i="4"/>
  <c r="E7" i="4"/>
  <c r="G7" i="4"/>
  <c r="H7" i="4"/>
  <c r="C5" i="4"/>
  <c r="D5" i="4"/>
  <c r="E5" i="4"/>
  <c r="F5" i="4"/>
  <c r="G5" i="4"/>
  <c r="H5" i="4"/>
  <c r="G8" i="4" l="1"/>
  <c r="F8" i="4"/>
  <c r="E8" i="4"/>
  <c r="D8" i="4"/>
  <c r="D74" i="7" l="1"/>
  <c r="P3" i="7"/>
  <c r="P19" i="7" s="1"/>
  <c r="G53" i="4" l="1"/>
  <c r="G54" i="4"/>
  <c r="B55" i="4"/>
  <c r="D55" i="4" s="1"/>
  <c r="C54" i="4"/>
  <c r="C53" i="4"/>
  <c r="B11" i="4"/>
  <c r="B10" i="4"/>
  <c r="B9" i="4"/>
  <c r="E67" i="7" l="1"/>
  <c r="F67" i="7" s="1"/>
  <c r="H67" i="7" s="1"/>
  <c r="E65" i="7"/>
  <c r="F65" i="7" s="1"/>
  <c r="H65" i="7" s="1"/>
  <c r="E56" i="7"/>
  <c r="F56" i="7" s="1"/>
  <c r="H56" i="7" s="1"/>
  <c r="E66" i="7"/>
  <c r="F66" i="7" s="1"/>
  <c r="H66" i="7" s="1"/>
  <c r="E57" i="7"/>
  <c r="F57" i="7" s="1"/>
  <c r="H57" i="7" s="1"/>
  <c r="E64" i="7"/>
  <c r="F64" i="7" s="1"/>
  <c r="H64" i="7" s="1"/>
  <c r="B58" i="4"/>
  <c r="R60" i="7" s="1"/>
  <c r="C46" i="13"/>
  <c r="D46" i="13" s="1"/>
  <c r="E11" i="7"/>
  <c r="E8" i="7"/>
  <c r="F8" i="7" s="1"/>
  <c r="H8" i="7" s="1"/>
  <c r="E52" i="7"/>
  <c r="F52" i="7" s="1"/>
  <c r="H52" i="7" s="1"/>
  <c r="E51" i="7"/>
  <c r="F51" i="7" s="1"/>
  <c r="H51" i="7" s="1"/>
  <c r="E14" i="7"/>
  <c r="F14" i="7" s="1"/>
  <c r="H14" i="7" s="1"/>
  <c r="E53" i="7"/>
  <c r="E12" i="7"/>
  <c r="F12" i="7" s="1"/>
  <c r="H12" i="7" s="1"/>
  <c r="E10" i="7"/>
  <c r="F10" i="7" s="1"/>
  <c r="H10" i="7" s="1"/>
  <c r="E50" i="7"/>
  <c r="E13" i="7"/>
  <c r="F13" i="7" s="1"/>
  <c r="H13" i="7" s="1"/>
  <c r="E49" i="7"/>
  <c r="F49" i="7" s="1"/>
  <c r="H49" i="7" s="1"/>
  <c r="H23" i="7"/>
  <c r="E7" i="7"/>
  <c r="F7" i="7" s="1"/>
  <c r="H7" i="7" s="1"/>
  <c r="E5" i="7"/>
  <c r="F5" i="7" s="1"/>
  <c r="H5" i="7" s="1"/>
  <c r="E48" i="7"/>
  <c r="F48" i="7" s="1"/>
  <c r="H48" i="7" s="1"/>
  <c r="H22" i="7"/>
  <c r="E6" i="7"/>
  <c r="F6" i="7" s="1"/>
  <c r="H6" i="7" s="1"/>
  <c r="E9" i="7"/>
  <c r="F9" i="7" s="1"/>
  <c r="H9" i="7" s="1"/>
  <c r="E3" i="7"/>
  <c r="F3" i="7" s="1"/>
  <c r="E4" i="7"/>
  <c r="F4" i="7" s="1"/>
  <c r="H4" i="7" s="1"/>
  <c r="H10" i="4"/>
  <c r="G10" i="4"/>
  <c r="F10" i="4"/>
  <c r="E10" i="4"/>
  <c r="D10" i="4"/>
  <c r="C10" i="4"/>
  <c r="H9" i="4"/>
  <c r="C9" i="4"/>
  <c r="G9" i="4"/>
  <c r="F9" i="4"/>
  <c r="E9" i="4"/>
  <c r="D9" i="4"/>
  <c r="H11" i="4"/>
  <c r="G11" i="4"/>
  <c r="F11" i="4"/>
  <c r="E11" i="4"/>
  <c r="D11" i="4"/>
  <c r="C11" i="4"/>
  <c r="E15" i="7" s="1"/>
  <c r="G56" i="4"/>
  <c r="G58" i="4" s="1"/>
  <c r="M7" i="12" s="1"/>
  <c r="C55" i="4"/>
  <c r="L7" i="12" s="1"/>
  <c r="L62" i="12" l="1"/>
  <c r="M62" i="12" s="1"/>
  <c r="L15" i="12"/>
  <c r="M15" i="12" s="1"/>
  <c r="N15" i="12" s="1"/>
  <c r="L18" i="12"/>
  <c r="M18" i="12" s="1"/>
  <c r="N18" i="12" s="1"/>
  <c r="L23" i="12"/>
  <c r="M23" i="12" s="1"/>
  <c r="N23" i="12" s="1"/>
  <c r="L10" i="12"/>
  <c r="M10" i="12" s="1"/>
  <c r="N10" i="12" s="1"/>
  <c r="L43" i="12"/>
  <c r="M43" i="12" s="1"/>
  <c r="O43" i="12" s="1"/>
  <c r="P43" i="12" s="1"/>
  <c r="L59" i="12"/>
  <c r="M59" i="12" s="1"/>
  <c r="L48" i="12"/>
  <c r="M48" i="12" s="1"/>
  <c r="O48" i="12" s="1"/>
  <c r="P48" i="12" s="1"/>
  <c r="L47" i="12"/>
  <c r="M47" i="12" s="1"/>
  <c r="O47" i="12" s="1"/>
  <c r="P47" i="12" s="1"/>
  <c r="L17" i="12"/>
  <c r="M17" i="12" s="1"/>
  <c r="N17" i="12" s="1"/>
  <c r="L54" i="12"/>
  <c r="M54" i="12" s="1"/>
  <c r="O54" i="12" s="1"/>
  <c r="P54" i="12" s="1"/>
  <c r="L51" i="12"/>
  <c r="M51" i="12" s="1"/>
  <c r="O51" i="12" s="1"/>
  <c r="L22" i="12"/>
  <c r="M22" i="12" s="1"/>
  <c r="N22" i="12" s="1"/>
  <c r="L16" i="12"/>
  <c r="M16" i="12" s="1"/>
  <c r="N16" i="12" s="1"/>
  <c r="P16" i="12" s="1"/>
  <c r="L13" i="12"/>
  <c r="M13" i="12" s="1"/>
  <c r="N13" i="12" s="1"/>
  <c r="L60" i="12"/>
  <c r="M60" i="12" s="1"/>
  <c r="L45" i="12"/>
  <c r="M45" i="12" s="1"/>
  <c r="O45" i="12" s="1"/>
  <c r="P45" i="12" s="1"/>
  <c r="L61" i="12"/>
  <c r="M61" i="12" s="1"/>
  <c r="L20" i="12"/>
  <c r="M20" i="12" s="1"/>
  <c r="N20" i="12" s="1"/>
  <c r="P20" i="12" s="1"/>
  <c r="L50" i="12"/>
  <c r="M50" i="12" s="1"/>
  <c r="O50" i="12" s="1"/>
  <c r="P50" i="12" s="1"/>
  <c r="L63" i="12"/>
  <c r="M63" i="12" s="1"/>
  <c r="L52" i="12"/>
  <c r="M52" i="12" s="1"/>
  <c r="O52" i="12" s="1"/>
  <c r="P52" i="12" s="1"/>
  <c r="L49" i="12"/>
  <c r="M49" i="12" s="1"/>
  <c r="O49" i="12" s="1"/>
  <c r="P49" i="12" s="1"/>
  <c r="L12" i="12"/>
  <c r="M12" i="12" s="1"/>
  <c r="N12" i="12" s="1"/>
  <c r="L21" i="12"/>
  <c r="M21" i="12" s="1"/>
  <c r="N21" i="12" s="1"/>
  <c r="L9" i="12"/>
  <c r="M9" i="12" s="1"/>
  <c r="N9" i="12" s="1"/>
  <c r="L19" i="12"/>
  <c r="M19" i="12" s="1"/>
  <c r="N19" i="12" s="1"/>
  <c r="L55" i="12"/>
  <c r="M55" i="12" s="1"/>
  <c r="O55" i="12" s="1"/>
  <c r="P55" i="12" s="1"/>
  <c r="L8" i="12"/>
  <c r="L56" i="12"/>
  <c r="M56" i="12" s="1"/>
  <c r="O56" i="12" s="1"/>
  <c r="P56" i="12" s="1"/>
  <c r="L53" i="12"/>
  <c r="M53" i="12" s="1"/>
  <c r="O53" i="12" s="1"/>
  <c r="P53" i="12" s="1"/>
  <c r="L58" i="12"/>
  <c r="M58" i="12" s="1"/>
  <c r="L44" i="12"/>
  <c r="M44" i="12" s="1"/>
  <c r="O44" i="12" s="1"/>
  <c r="P44" i="12" s="1"/>
  <c r="L41" i="12"/>
  <c r="L57" i="12"/>
  <c r="M57" i="12" s="1"/>
  <c r="O57" i="12" s="1"/>
  <c r="L11" i="12"/>
  <c r="M11" i="12" s="1"/>
  <c r="N11" i="12" s="1"/>
  <c r="L46" i="12"/>
  <c r="M46" i="12" s="1"/>
  <c r="O46" i="12" s="1"/>
  <c r="L42" i="12"/>
  <c r="M42" i="12" s="1"/>
  <c r="O42" i="12" s="1"/>
  <c r="P42" i="12" s="1"/>
  <c r="L14" i="12"/>
  <c r="M14" i="12" s="1"/>
  <c r="N14" i="12" s="1"/>
  <c r="F19" i="7"/>
  <c r="H3" i="7"/>
  <c r="H19" i="7" s="1"/>
  <c r="H31" i="7"/>
  <c r="H28" i="7"/>
  <c r="H20" i="7"/>
  <c r="H27" i="7"/>
  <c r="H33" i="7"/>
  <c r="H30" i="7"/>
  <c r="B59" i="4"/>
  <c r="B61" i="4" s="1"/>
  <c r="P12" i="12" l="1"/>
  <c r="P13" i="12"/>
  <c r="P46" i="12"/>
  <c r="M8" i="12"/>
  <c r="L38" i="12"/>
  <c r="N63" i="12"/>
  <c r="P63" i="12" s="1"/>
  <c r="O63" i="12"/>
  <c r="O22" i="12"/>
  <c r="P22" i="12"/>
  <c r="P10" i="12"/>
  <c r="O60" i="12"/>
  <c r="N60" i="12"/>
  <c r="P60" i="12" s="1"/>
  <c r="P57" i="12"/>
  <c r="P18" i="12"/>
  <c r="P14" i="12"/>
  <c r="P11" i="12"/>
  <c r="P51" i="12"/>
  <c r="P19" i="12"/>
  <c r="M41" i="12"/>
  <c r="L83" i="12"/>
  <c r="L85" i="12" s="1"/>
  <c r="P9" i="12"/>
  <c r="O61" i="12"/>
  <c r="N61" i="12"/>
  <c r="P61" i="12" s="1"/>
  <c r="P17" i="12"/>
  <c r="P15" i="12"/>
  <c r="N58" i="12"/>
  <c r="O58" i="12"/>
  <c r="N59" i="12"/>
  <c r="P59" i="12" s="1"/>
  <c r="O59" i="12"/>
  <c r="O23" i="12"/>
  <c r="P23" i="12"/>
  <c r="O21" i="12"/>
  <c r="P21" i="12"/>
  <c r="O62" i="12"/>
  <c r="N62" i="12"/>
  <c r="H29" i="7"/>
  <c r="H32" i="7"/>
  <c r="H35" i="7"/>
  <c r="H34" i="7"/>
  <c r="F44" i="7"/>
  <c r="P62" i="12" l="1"/>
  <c r="P58" i="12"/>
  <c r="O41" i="12"/>
  <c r="M83" i="12"/>
  <c r="N8" i="12"/>
  <c r="M38" i="12"/>
  <c r="H43" i="7"/>
  <c r="H44" i="7" s="1"/>
  <c r="D76" i="7" s="1"/>
  <c r="P44" i="7"/>
  <c r="D75" i="7"/>
  <c r="M85" i="12" l="1"/>
  <c r="P8" i="12"/>
  <c r="P38" i="12" s="1"/>
  <c r="P41" i="12"/>
  <c r="P83" i="12" s="1"/>
  <c r="P85" i="12" s="1"/>
  <c r="I56" i="7"/>
  <c r="J56" i="7" s="1"/>
  <c r="K56" i="7" s="1"/>
  <c r="L56" i="7" s="1"/>
  <c r="I57" i="7"/>
  <c r="J57" i="7" s="1"/>
  <c r="K57" i="7" s="1"/>
  <c r="L57" i="7" s="1"/>
  <c r="N57" i="7" s="1"/>
  <c r="I55" i="7"/>
  <c r="J55" i="7" s="1"/>
  <c r="K55" i="7" s="1"/>
  <c r="L55" i="7" s="1"/>
  <c r="I67" i="7"/>
  <c r="J67" i="7" s="1"/>
  <c r="K67" i="7" s="1"/>
  <c r="L67" i="7" s="1"/>
  <c r="I64" i="7"/>
  <c r="J64" i="7" s="1"/>
  <c r="K64" i="7" s="1"/>
  <c r="L64" i="7" s="1"/>
  <c r="I65" i="7"/>
  <c r="J65" i="7" s="1"/>
  <c r="K65" i="7" s="1"/>
  <c r="L65" i="7" s="1"/>
  <c r="I66" i="7"/>
  <c r="J66" i="7" s="1"/>
  <c r="K66" i="7" s="1"/>
  <c r="L66" i="7" s="1"/>
  <c r="I62" i="7"/>
  <c r="J62" i="7" s="1"/>
  <c r="K62" i="7" s="1"/>
  <c r="I59" i="7"/>
  <c r="J59" i="7" s="1"/>
  <c r="K59" i="7" s="1"/>
  <c r="I58" i="7"/>
  <c r="J58" i="7" s="1"/>
  <c r="K58" i="7" s="1"/>
  <c r="I63" i="7"/>
  <c r="J63" i="7" s="1"/>
  <c r="K63" i="7" s="1"/>
  <c r="I60" i="7"/>
  <c r="J60" i="7" s="1"/>
  <c r="K60" i="7" s="1"/>
  <c r="I61" i="7"/>
  <c r="J61" i="7" s="1"/>
  <c r="K61" i="7" s="1"/>
  <c r="I52" i="7"/>
  <c r="J52" i="7" s="1"/>
  <c r="K52" i="7" s="1"/>
  <c r="I51" i="7"/>
  <c r="J51" i="7" s="1"/>
  <c r="K51" i="7" s="1"/>
  <c r="I3" i="7"/>
  <c r="J3" i="7" s="1"/>
  <c r="I50" i="7"/>
  <c r="J50" i="7" s="1"/>
  <c r="K50" i="7" s="1"/>
  <c r="I53" i="7"/>
  <c r="J53" i="7" s="1"/>
  <c r="K53" i="7" s="1"/>
  <c r="I41" i="7"/>
  <c r="J41" i="7" s="1"/>
  <c r="K41" i="7" s="1"/>
  <c r="L41" i="7" s="1"/>
  <c r="I42" i="7"/>
  <c r="J42" i="7" s="1"/>
  <c r="K42" i="7" s="1"/>
  <c r="L42" i="7" s="1"/>
  <c r="I5" i="7"/>
  <c r="J5" i="7" s="1"/>
  <c r="K5" i="7" s="1"/>
  <c r="I7" i="7"/>
  <c r="J7" i="7" s="1"/>
  <c r="K7" i="7" s="1"/>
  <c r="I9" i="7"/>
  <c r="J9" i="7" s="1"/>
  <c r="K9" i="7" s="1"/>
  <c r="I11" i="7"/>
  <c r="J11" i="7" s="1"/>
  <c r="K11" i="7" s="1"/>
  <c r="L11" i="7" s="1"/>
  <c r="I13" i="7"/>
  <c r="J13" i="7" s="1"/>
  <c r="K13" i="7" s="1"/>
  <c r="I15" i="7"/>
  <c r="J15" i="7" s="1"/>
  <c r="K15" i="7" s="1"/>
  <c r="L15" i="7" s="1"/>
  <c r="I17" i="7"/>
  <c r="J17" i="7" s="1"/>
  <c r="K17" i="7" s="1"/>
  <c r="I4" i="7"/>
  <c r="J4" i="7" s="1"/>
  <c r="K4" i="7" s="1"/>
  <c r="I6" i="7"/>
  <c r="J6" i="7" s="1"/>
  <c r="K6" i="7" s="1"/>
  <c r="I8" i="7"/>
  <c r="J8" i="7" s="1"/>
  <c r="K8" i="7" s="1"/>
  <c r="I10" i="7"/>
  <c r="J10" i="7" s="1"/>
  <c r="K10" i="7" s="1"/>
  <c r="L10" i="7" s="1"/>
  <c r="C21" i="13" s="1"/>
  <c r="I12" i="7"/>
  <c r="J12" i="7" s="1"/>
  <c r="K12" i="7" s="1"/>
  <c r="I14" i="7"/>
  <c r="J14" i="7" s="1"/>
  <c r="K14" i="7" s="1"/>
  <c r="L14" i="7" s="1"/>
  <c r="I16" i="7"/>
  <c r="J16" i="7" s="1"/>
  <c r="K16" i="7" s="1"/>
  <c r="I18" i="7"/>
  <c r="J18" i="7" s="1"/>
  <c r="K18" i="7" s="1"/>
  <c r="I48" i="7"/>
  <c r="J48" i="7" s="1"/>
  <c r="I49" i="7"/>
  <c r="J49" i="7" s="1"/>
  <c r="I54" i="7"/>
  <c r="J54" i="7" s="1"/>
  <c r="I20" i="7"/>
  <c r="I21" i="7"/>
  <c r="J21" i="7" s="1"/>
  <c r="I40" i="7"/>
  <c r="J40" i="7" s="1"/>
  <c r="I25" i="7"/>
  <c r="J25" i="7" s="1"/>
  <c r="I24" i="7"/>
  <c r="J24" i="7" s="1"/>
  <c r="I33" i="7"/>
  <c r="J33" i="7" s="1"/>
  <c r="I32" i="7"/>
  <c r="J32" i="7" s="1"/>
  <c r="I38" i="7"/>
  <c r="J38" i="7" s="1"/>
  <c r="I37" i="7"/>
  <c r="J37" i="7" s="1"/>
  <c r="I29" i="7"/>
  <c r="J29" i="7" s="1"/>
  <c r="I36" i="7"/>
  <c r="J36" i="7" s="1"/>
  <c r="I28" i="7"/>
  <c r="J28" i="7" s="1"/>
  <c r="I39" i="7"/>
  <c r="J39" i="7" s="1"/>
  <c r="I35" i="7"/>
  <c r="J35" i="7" s="1"/>
  <c r="I31" i="7"/>
  <c r="J31" i="7" s="1"/>
  <c r="I23" i="7"/>
  <c r="J23" i="7" s="1"/>
  <c r="I27" i="7"/>
  <c r="J27" i="7" s="1"/>
  <c r="I34" i="7"/>
  <c r="J34" i="7" s="1"/>
  <c r="I30" i="7"/>
  <c r="J30" i="7" s="1"/>
  <c r="I26" i="7"/>
  <c r="J26" i="7" s="1"/>
  <c r="I22" i="7"/>
  <c r="J22" i="7" s="1"/>
  <c r="C105" i="13" l="1"/>
  <c r="C82" i="13"/>
  <c r="C25" i="13"/>
  <c r="D25" i="13" s="1"/>
  <c r="O14" i="7" s="1"/>
  <c r="C85" i="13"/>
  <c r="C74" i="13"/>
  <c r="C75" i="13" s="1"/>
  <c r="N56" i="7"/>
  <c r="C52" i="13"/>
  <c r="N55" i="7"/>
  <c r="C90" i="13"/>
  <c r="D90" i="13" s="1"/>
  <c r="O63" i="7" s="1"/>
  <c r="D82" i="13"/>
  <c r="O42" i="7" s="1"/>
  <c r="Q42" i="7" s="1"/>
  <c r="R42" i="7" s="1"/>
  <c r="N67" i="7"/>
  <c r="C54" i="13"/>
  <c r="C95" i="13"/>
  <c r="N64" i="7"/>
  <c r="C92" i="13"/>
  <c r="N65" i="7"/>
  <c r="C93" i="13"/>
  <c r="N66" i="7"/>
  <c r="C94" i="13"/>
  <c r="C53" i="13"/>
  <c r="D21" i="13"/>
  <c r="N14" i="7"/>
  <c r="S14" i="7" s="1"/>
  <c r="N42" i="7"/>
  <c r="S42" i="7" s="1"/>
  <c r="N41" i="7"/>
  <c r="S41" i="7" s="1"/>
  <c r="L50" i="7"/>
  <c r="N50" i="7" s="1"/>
  <c r="L51" i="7"/>
  <c r="L61" i="7"/>
  <c r="N61" i="7" s="1"/>
  <c r="L63" i="7"/>
  <c r="L58" i="7"/>
  <c r="N58" i="7" s="1"/>
  <c r="L62" i="7"/>
  <c r="N62" i="7" s="1"/>
  <c r="L53" i="7"/>
  <c r="C86" i="13" s="1"/>
  <c r="L52" i="7"/>
  <c r="L60" i="7"/>
  <c r="L59" i="7"/>
  <c r="N59" i="7" s="1"/>
  <c r="L18" i="7"/>
  <c r="N10" i="7"/>
  <c r="L6" i="7"/>
  <c r="L17" i="7"/>
  <c r="C31" i="13" s="1"/>
  <c r="L13" i="7"/>
  <c r="L9" i="7"/>
  <c r="L5" i="7"/>
  <c r="L16" i="7"/>
  <c r="L12" i="7"/>
  <c r="L8" i="7"/>
  <c r="L4" i="7"/>
  <c r="N15" i="7"/>
  <c r="S15" i="7" s="1"/>
  <c r="N11" i="7"/>
  <c r="S11" i="7" s="1"/>
  <c r="L7" i="7"/>
  <c r="J20" i="7"/>
  <c r="K20" i="7" s="1"/>
  <c r="L20" i="7" s="1"/>
  <c r="C49" i="13" s="1"/>
  <c r="I43" i="7"/>
  <c r="I19" i="7"/>
  <c r="K49" i="7"/>
  <c r="K54" i="7"/>
  <c r="K48" i="7"/>
  <c r="K3" i="7"/>
  <c r="K26" i="7"/>
  <c r="L26" i="7" s="1"/>
  <c r="K34" i="7"/>
  <c r="L34" i="7" s="1"/>
  <c r="K23" i="7"/>
  <c r="L23" i="7" s="1"/>
  <c r="K35" i="7"/>
  <c r="L35" i="7" s="1"/>
  <c r="K28" i="7"/>
  <c r="L28" i="7" s="1"/>
  <c r="K29" i="7"/>
  <c r="L29" i="7" s="1"/>
  <c r="K38" i="7"/>
  <c r="L38" i="7" s="1"/>
  <c r="K33" i="7"/>
  <c r="L33" i="7" s="1"/>
  <c r="K25" i="7"/>
  <c r="L25" i="7" s="1"/>
  <c r="C50" i="13" s="1"/>
  <c r="K21" i="7"/>
  <c r="L21" i="7" s="1"/>
  <c r="K22" i="7"/>
  <c r="L22" i="7" s="1"/>
  <c r="K30" i="7"/>
  <c r="L30" i="7" s="1"/>
  <c r="C51" i="13" s="1"/>
  <c r="K27" i="7"/>
  <c r="L27" i="7" s="1"/>
  <c r="K31" i="7"/>
  <c r="L31" i="7" s="1"/>
  <c r="K39" i="7"/>
  <c r="L39" i="7" s="1"/>
  <c r="K36" i="7"/>
  <c r="L36" i="7" s="1"/>
  <c r="C38" i="13" s="1"/>
  <c r="K37" i="7"/>
  <c r="L37" i="7" s="1"/>
  <c r="K32" i="7"/>
  <c r="L32" i="7" s="1"/>
  <c r="K24" i="7"/>
  <c r="L24" i="7" s="1"/>
  <c r="K40" i="7"/>
  <c r="L40" i="7" s="1"/>
  <c r="O15" i="7" l="1"/>
  <c r="Q15" i="7" s="1"/>
  <c r="R15" i="7" s="1"/>
  <c r="Q14" i="7"/>
  <c r="R14" i="7" s="1"/>
  <c r="C22" i="13"/>
  <c r="D22" i="13" s="1"/>
  <c r="O12" i="7" s="1"/>
  <c r="Q12" i="7" s="1"/>
  <c r="R12" i="7" s="1"/>
  <c r="D35" i="13"/>
  <c r="C35" i="13"/>
  <c r="C32" i="13"/>
  <c r="C33" i="13" s="1"/>
  <c r="C34" i="13" s="1"/>
  <c r="D54" i="13"/>
  <c r="O57" i="7" s="1"/>
  <c r="C61" i="13"/>
  <c r="D61" i="13" s="1"/>
  <c r="C80" i="13"/>
  <c r="C40" i="13"/>
  <c r="C103" i="13"/>
  <c r="D103" i="13" s="1"/>
  <c r="C39" i="13"/>
  <c r="C43" i="13"/>
  <c r="C9" i="13"/>
  <c r="D9" i="13" s="1"/>
  <c r="O18" i="7" s="1"/>
  <c r="Q18" i="7" s="1"/>
  <c r="R18" i="7" s="1"/>
  <c r="C63" i="13"/>
  <c r="C56" i="13"/>
  <c r="C13" i="13"/>
  <c r="D13" i="13" s="1"/>
  <c r="O4" i="7" s="1"/>
  <c r="Q4" i="7" s="1"/>
  <c r="R4" i="7" s="1"/>
  <c r="D14" i="13"/>
  <c r="O5" i="7" s="1"/>
  <c r="C14" i="13"/>
  <c r="C15" i="13"/>
  <c r="D15" i="13" s="1"/>
  <c r="O6" i="7" s="1"/>
  <c r="Q6" i="7" s="1"/>
  <c r="R6" i="7" s="1"/>
  <c r="D52" i="13"/>
  <c r="O55" i="7" s="1"/>
  <c r="C59" i="13"/>
  <c r="C58" i="13"/>
  <c r="C65" i="13"/>
  <c r="D65" i="13" s="1"/>
  <c r="D23" i="13"/>
  <c r="C23" i="13"/>
  <c r="D53" i="13"/>
  <c r="O56" i="7" s="1"/>
  <c r="C60" i="13"/>
  <c r="D60" i="13" s="1"/>
  <c r="N37" i="7"/>
  <c r="C89" i="13"/>
  <c r="C107" i="13"/>
  <c r="C64" i="13"/>
  <c r="C57" i="13"/>
  <c r="C16" i="13"/>
  <c r="D16" i="13" s="1"/>
  <c r="O7" i="7" s="1"/>
  <c r="Q7" i="7" s="1"/>
  <c r="R7" i="7" s="1"/>
  <c r="D18" i="13"/>
  <c r="O8" i="7" s="1"/>
  <c r="Q8" i="7" s="1"/>
  <c r="R8" i="7" s="1"/>
  <c r="C18" i="13"/>
  <c r="C19" i="13"/>
  <c r="D19" i="13" s="1"/>
  <c r="O9" i="7" s="1"/>
  <c r="Q9" i="7" s="1"/>
  <c r="R9" i="7" s="1"/>
  <c r="O16" i="7"/>
  <c r="Q16" i="7" s="1"/>
  <c r="R16" i="7" s="1"/>
  <c r="O13" i="7"/>
  <c r="O10" i="7"/>
  <c r="O11" i="7" s="1"/>
  <c r="Q11" i="7" s="1"/>
  <c r="R11" i="7" s="1"/>
  <c r="D59" i="13"/>
  <c r="C66" i="13"/>
  <c r="D66" i="13" s="1"/>
  <c r="D89" i="13"/>
  <c r="N60" i="7"/>
  <c r="D75" i="13"/>
  <c r="O60" i="7" s="1"/>
  <c r="D95" i="13"/>
  <c r="O67" i="7" s="1"/>
  <c r="C101" i="13"/>
  <c r="D101" i="13" s="1"/>
  <c r="N51" i="7"/>
  <c r="C71" i="13"/>
  <c r="C84" i="13"/>
  <c r="D84" i="13" s="1"/>
  <c r="D93" i="13"/>
  <c r="O65" i="7" s="1"/>
  <c r="C99" i="13"/>
  <c r="D99" i="13" s="1"/>
  <c r="N53" i="7"/>
  <c r="D86" i="13"/>
  <c r="C77" i="13"/>
  <c r="D77" i="13" s="1"/>
  <c r="O61" i="7" s="1"/>
  <c r="C78" i="13"/>
  <c r="D78" i="13" s="1"/>
  <c r="O62" i="7" s="1"/>
  <c r="D80" i="13"/>
  <c r="O36" i="7" s="1"/>
  <c r="Q36" i="7" s="1"/>
  <c r="R36" i="7" s="1"/>
  <c r="N52" i="7"/>
  <c r="D85" i="13"/>
  <c r="D74" i="13"/>
  <c r="N63" i="7"/>
  <c r="D94" i="13"/>
  <c r="O66" i="7" s="1"/>
  <c r="C100" i="13"/>
  <c r="D100" i="13" s="1"/>
  <c r="D92" i="13"/>
  <c r="O64" i="7" s="1"/>
  <c r="C98" i="13"/>
  <c r="D98" i="13" s="1"/>
  <c r="D51" i="13"/>
  <c r="O51" i="7"/>
  <c r="C26" i="13"/>
  <c r="D26" i="13" s="1"/>
  <c r="D50" i="13"/>
  <c r="D49" i="13"/>
  <c r="C24" i="13"/>
  <c r="D24" i="13" s="1"/>
  <c r="O50" i="7" s="1"/>
  <c r="D43" i="13"/>
  <c r="D40" i="13"/>
  <c r="D39" i="13"/>
  <c r="D38" i="13"/>
  <c r="C27" i="13"/>
  <c r="D27" i="13" s="1"/>
  <c r="O52" i="7" s="1"/>
  <c r="D32" i="13"/>
  <c r="D31" i="13"/>
  <c r="O17" i="7" s="1"/>
  <c r="Q17" i="7" s="1"/>
  <c r="R17" i="7" s="1"/>
  <c r="D34" i="13"/>
  <c r="D33" i="13"/>
  <c r="O53" i="7"/>
  <c r="C28" i="13"/>
  <c r="D28" i="13" s="1"/>
  <c r="N4" i="7"/>
  <c r="U4" i="7" s="1"/>
  <c r="N22" i="7"/>
  <c r="S22" i="7" s="1"/>
  <c r="N18" i="7"/>
  <c r="S18" i="7" s="1"/>
  <c r="N32" i="7"/>
  <c r="N16" i="7"/>
  <c r="S16" i="7" s="1"/>
  <c r="N25" i="7"/>
  <c r="U25" i="7" s="1"/>
  <c r="N33" i="7"/>
  <c r="N7" i="7"/>
  <c r="U7" i="7" s="1"/>
  <c r="N9" i="7"/>
  <c r="U9" i="7" s="1"/>
  <c r="N28" i="7"/>
  <c r="S28" i="7" s="1"/>
  <c r="N6" i="7"/>
  <c r="U6" i="7" s="1"/>
  <c r="N35" i="7"/>
  <c r="N24" i="7"/>
  <c r="S24" i="7" s="1"/>
  <c r="N12" i="7"/>
  <c r="S12" i="7" s="1"/>
  <c r="N34" i="7"/>
  <c r="S34" i="7" s="1"/>
  <c r="N26" i="7"/>
  <c r="S26" i="7" s="1"/>
  <c r="N5" i="7"/>
  <c r="U5" i="7" s="1"/>
  <c r="Q5" i="7"/>
  <c r="R5" i="7" s="1"/>
  <c r="N13" i="7"/>
  <c r="U13" i="7" s="1"/>
  <c r="Q13" i="7"/>
  <c r="R13" i="7" s="1"/>
  <c r="N27" i="7"/>
  <c r="N30" i="7"/>
  <c r="S30" i="7" s="1"/>
  <c r="N8" i="7"/>
  <c r="U8" i="7" s="1"/>
  <c r="N23" i="7"/>
  <c r="N21" i="7"/>
  <c r="S21" i="7" s="1"/>
  <c r="N20" i="7"/>
  <c r="S20" i="7" s="1"/>
  <c r="N36" i="7"/>
  <c r="S36" i="7" s="1"/>
  <c r="N31" i="7"/>
  <c r="N29" i="7"/>
  <c r="S29" i="7" s="1"/>
  <c r="N17" i="7"/>
  <c r="S17" i="7" s="1"/>
  <c r="T14" i="7"/>
  <c r="S37" i="7"/>
  <c r="N39" i="7"/>
  <c r="N38" i="7"/>
  <c r="S38" i="7" s="1"/>
  <c r="L48" i="7"/>
  <c r="N48" i="7" s="1"/>
  <c r="L49" i="7"/>
  <c r="N49" i="7" s="1"/>
  <c r="N40" i="7"/>
  <c r="S40" i="7" s="1"/>
  <c r="L54" i="7"/>
  <c r="N54" i="7" s="1"/>
  <c r="U11" i="7"/>
  <c r="U14" i="7"/>
  <c r="U15" i="7"/>
  <c r="T15" i="7"/>
  <c r="U10" i="7"/>
  <c r="S10" i="7"/>
  <c r="L3" i="7"/>
  <c r="U41" i="7"/>
  <c r="U42" i="7"/>
  <c r="Y42" i="7" s="1"/>
  <c r="T42" i="7"/>
  <c r="I44" i="7"/>
  <c r="C67" i="13" l="1"/>
  <c r="D67" i="13" s="1"/>
  <c r="C12" i="13"/>
  <c r="D12" i="13" s="1"/>
  <c r="O3" i="7" s="1"/>
  <c r="Q3" i="7" s="1"/>
  <c r="O41" i="7"/>
  <c r="Q41" i="7" s="1"/>
  <c r="R41" i="7" s="1"/>
  <c r="O35" i="7"/>
  <c r="Q35" i="7" s="1"/>
  <c r="R35" i="7" s="1"/>
  <c r="T11" i="7"/>
  <c r="Y11" i="7"/>
  <c r="Q10" i="7"/>
  <c r="R10" i="7" s="1"/>
  <c r="U12" i="7"/>
  <c r="O20" i="7"/>
  <c r="Q20" i="7" s="1"/>
  <c r="R20" i="7" s="1"/>
  <c r="O21" i="7"/>
  <c r="Q21" i="7" s="1"/>
  <c r="R21" i="7" s="1"/>
  <c r="O22" i="7"/>
  <c r="Q22" i="7" s="1"/>
  <c r="R22" i="7" s="1"/>
  <c r="O23" i="7"/>
  <c r="Q23" i="7" s="1"/>
  <c r="R23" i="7" s="1"/>
  <c r="O40" i="7"/>
  <c r="Q40" i="7" s="1"/>
  <c r="R40" i="7" s="1"/>
  <c r="O37" i="7"/>
  <c r="Q37" i="7" s="1"/>
  <c r="R37" i="7" s="1"/>
  <c r="O38" i="7"/>
  <c r="Q38" i="7" s="1"/>
  <c r="R38" i="7" s="1"/>
  <c r="O39" i="7"/>
  <c r="Q39" i="7" s="1"/>
  <c r="R39" i="7" s="1"/>
  <c r="O25" i="7"/>
  <c r="Q25" i="7" s="1"/>
  <c r="R25" i="7" s="1"/>
  <c r="O26" i="7"/>
  <c r="Q26" i="7" s="1"/>
  <c r="R26" i="7" s="1"/>
  <c r="O27" i="7"/>
  <c r="Q27" i="7" s="1"/>
  <c r="R27" i="7" s="1"/>
  <c r="O31" i="7"/>
  <c r="Q31" i="7" s="1"/>
  <c r="R31" i="7" s="1"/>
  <c r="O32" i="7"/>
  <c r="Q32" i="7" s="1"/>
  <c r="R32" i="7" s="1"/>
  <c r="O30" i="7"/>
  <c r="Q30" i="7" s="1"/>
  <c r="R30" i="7" s="1"/>
  <c r="O33" i="7"/>
  <c r="Q33" i="7" s="1"/>
  <c r="R33" i="7" s="1"/>
  <c r="D107" i="13"/>
  <c r="D105" i="13"/>
  <c r="C72" i="13"/>
  <c r="D72" i="13" s="1"/>
  <c r="O59" i="7" s="1"/>
  <c r="D71" i="13"/>
  <c r="O58" i="7" s="1"/>
  <c r="D56" i="13"/>
  <c r="D63" i="13"/>
  <c r="D57" i="13"/>
  <c r="D64" i="13"/>
  <c r="D58" i="13"/>
  <c r="S9" i="7"/>
  <c r="T9" i="7" s="1"/>
  <c r="T12" i="7"/>
  <c r="S13" i="7"/>
  <c r="T13" i="7" s="1"/>
  <c r="S4" i="7"/>
  <c r="T4" i="7" s="1"/>
  <c r="T16" i="7"/>
  <c r="U16" i="7"/>
  <c r="Y16" i="7" s="1"/>
  <c r="S5" i="7"/>
  <c r="T5" i="7" s="1"/>
  <c r="C20" i="13"/>
  <c r="D20" i="13" s="1"/>
  <c r="O49" i="7" s="1"/>
  <c r="S8" i="7"/>
  <c r="T8" i="7" s="1"/>
  <c r="U29" i="7"/>
  <c r="V29" i="7" s="1"/>
  <c r="W29" i="7" s="1"/>
  <c r="C17" i="13"/>
  <c r="D17" i="13" s="1"/>
  <c r="O48" i="7" s="1"/>
  <c r="T17" i="7"/>
  <c r="U17" i="7"/>
  <c r="Y17" i="7" s="1"/>
  <c r="S7" i="7"/>
  <c r="T7" i="7" s="1"/>
  <c r="N3" i="7"/>
  <c r="U3" i="7" s="1"/>
  <c r="T18" i="7"/>
  <c r="U18" i="7"/>
  <c r="Y18" i="7" s="1"/>
  <c r="S6" i="7"/>
  <c r="T6" i="7" s="1"/>
  <c r="V41" i="7"/>
  <c r="W41" i="7" s="1"/>
  <c r="Y41" i="7"/>
  <c r="V5" i="7"/>
  <c r="W5" i="7" s="1"/>
  <c r="Y5" i="7"/>
  <c r="V12" i="7"/>
  <c r="W12" i="7" s="1"/>
  <c r="Y12" i="7"/>
  <c r="V13" i="7"/>
  <c r="W13" i="7" s="1"/>
  <c r="Y13" i="7"/>
  <c r="V25" i="7"/>
  <c r="W25" i="7" s="1"/>
  <c r="V15" i="7"/>
  <c r="W15" i="7" s="1"/>
  <c r="Y15" i="7"/>
  <c r="V4" i="7"/>
  <c r="W4" i="7" s="1"/>
  <c r="Y4" i="7"/>
  <c r="V9" i="7"/>
  <c r="W9" i="7" s="1"/>
  <c r="Y9" i="7"/>
  <c r="V7" i="7"/>
  <c r="W7" i="7" s="1"/>
  <c r="Y7" i="7"/>
  <c r="V14" i="7"/>
  <c r="W14" i="7" s="1"/>
  <c r="Y14" i="7"/>
  <c r="V6" i="7"/>
  <c r="W6" i="7" s="1"/>
  <c r="Y6" i="7"/>
  <c r="V10" i="7"/>
  <c r="W10" i="7" s="1"/>
  <c r="Y10" i="7"/>
  <c r="V8" i="7"/>
  <c r="W8" i="7" s="1"/>
  <c r="Y8" i="7"/>
  <c r="S39" i="7"/>
  <c r="V11" i="7"/>
  <c r="W11" i="7" s="1"/>
  <c r="U39" i="7"/>
  <c r="U40" i="7"/>
  <c r="V42" i="7"/>
  <c r="W42" i="7" s="1"/>
  <c r="S25" i="7"/>
  <c r="S23" i="7"/>
  <c r="S35" i="7"/>
  <c r="T35" i="7" s="1"/>
  <c r="U33" i="7"/>
  <c r="S33" i="7"/>
  <c r="T33" i="7" s="1"/>
  <c r="S31" i="7"/>
  <c r="U32" i="7"/>
  <c r="S32" i="7"/>
  <c r="S27" i="7"/>
  <c r="T27" i="7" s="1"/>
  <c r="U38" i="7"/>
  <c r="U36" i="7"/>
  <c r="U37" i="7"/>
  <c r="U21" i="7"/>
  <c r="U24" i="7"/>
  <c r="U20" i="7"/>
  <c r="U30" i="7"/>
  <c r="U26" i="7"/>
  <c r="U22" i="7"/>
  <c r="U34" i="7"/>
  <c r="U35" i="7"/>
  <c r="U31" i="7"/>
  <c r="T36" i="7"/>
  <c r="U23" i="7"/>
  <c r="U28" i="7"/>
  <c r="U27" i="7"/>
  <c r="T10" i="7" l="1"/>
  <c r="T41" i="7"/>
  <c r="Y39" i="7"/>
  <c r="T37" i="7"/>
  <c r="O28" i="7"/>
  <c r="O24" i="7"/>
  <c r="Q24" i="7" s="1"/>
  <c r="R24" i="7" s="1"/>
  <c r="O34" i="7"/>
  <c r="Q34" i="7" s="1"/>
  <c r="R34" i="7" s="1"/>
  <c r="O54" i="7"/>
  <c r="Y25" i="7"/>
  <c r="T26" i="7"/>
  <c r="T30" i="7"/>
  <c r="T39" i="7"/>
  <c r="Y21" i="7"/>
  <c r="T21" i="7"/>
  <c r="T22" i="7"/>
  <c r="T20" i="7"/>
  <c r="T38" i="7"/>
  <c r="T32" i="7"/>
  <c r="T40" i="7"/>
  <c r="T31" i="7"/>
  <c r="T25" i="7"/>
  <c r="Y24" i="7"/>
  <c r="Y20" i="7"/>
  <c r="T24" i="7"/>
  <c r="T23" i="7"/>
  <c r="O29" i="7"/>
  <c r="Q29" i="7" s="1"/>
  <c r="Q28" i="7"/>
  <c r="V17" i="7"/>
  <c r="W17" i="7" s="1"/>
  <c r="V16" i="7"/>
  <c r="W16" i="7" s="1"/>
  <c r="Q19" i="7"/>
  <c r="R3" i="7"/>
  <c r="R19" i="7" s="1"/>
  <c r="R52" i="7" s="1"/>
  <c r="V18" i="7"/>
  <c r="W18" i="7" s="1"/>
  <c r="S3" i="7"/>
  <c r="S19" i="7" s="1"/>
  <c r="V31" i="7"/>
  <c r="W31" i="7" s="1"/>
  <c r="Y31" i="7"/>
  <c r="V30" i="7"/>
  <c r="W30" i="7" s="1"/>
  <c r="Y30" i="7"/>
  <c r="V37" i="7"/>
  <c r="W37" i="7" s="1"/>
  <c r="Y37" i="7"/>
  <c r="V3" i="7"/>
  <c r="W3" i="7" s="1"/>
  <c r="Y3" i="7"/>
  <c r="V38" i="7"/>
  <c r="W38" i="7" s="1"/>
  <c r="Y38" i="7"/>
  <c r="V22" i="7"/>
  <c r="W22" i="7" s="1"/>
  <c r="Y22" i="7"/>
  <c r="V36" i="7"/>
  <c r="W36" i="7" s="1"/>
  <c r="Y36" i="7"/>
  <c r="V27" i="7"/>
  <c r="W27" i="7" s="1"/>
  <c r="Y27" i="7"/>
  <c r="V33" i="7"/>
  <c r="W33" i="7" s="1"/>
  <c r="Y33" i="7"/>
  <c r="V23" i="7"/>
  <c r="W23" i="7" s="1"/>
  <c r="Y23" i="7"/>
  <c r="V35" i="7"/>
  <c r="W35" i="7" s="1"/>
  <c r="Y35" i="7"/>
  <c r="V32" i="7"/>
  <c r="W32" i="7" s="1"/>
  <c r="Y32" i="7"/>
  <c r="V34" i="7"/>
  <c r="V40" i="7"/>
  <c r="W40" i="7" s="1"/>
  <c r="Y40" i="7"/>
  <c r="V28" i="7"/>
  <c r="W28" i="7" s="1"/>
  <c r="Y28" i="7"/>
  <c r="V26" i="7"/>
  <c r="W26" i="7" s="1"/>
  <c r="Y26" i="7"/>
  <c r="V39" i="7"/>
  <c r="W39" i="7" s="1"/>
  <c r="S43" i="7"/>
  <c r="V20" i="7"/>
  <c r="V24" i="7"/>
  <c r="W24" i="7" s="1"/>
  <c r="V21" i="7"/>
  <c r="W21" i="7" s="1"/>
  <c r="Y34" i="7" l="1"/>
  <c r="T34" i="7"/>
  <c r="Y29" i="7"/>
  <c r="T3" i="7"/>
  <c r="T19" i="7" s="1"/>
  <c r="R29" i="7"/>
  <c r="T29" i="7"/>
  <c r="R28" i="7"/>
  <c r="Q43" i="7"/>
  <c r="Q44" i="7" s="1"/>
  <c r="T28" i="7"/>
  <c r="W19" i="7"/>
  <c r="V19" i="7"/>
  <c r="W20" i="7"/>
  <c r="V43" i="7"/>
  <c r="S44" i="7"/>
  <c r="W34" i="7"/>
  <c r="R43" i="7" l="1"/>
  <c r="T43" i="7"/>
  <c r="T44" i="7" s="1"/>
  <c r="V44" i="7"/>
  <c r="W43" i="7"/>
  <c r="W44" i="7" s="1"/>
  <c r="B70" i="4" s="1"/>
  <c r="B71" i="4" s="1"/>
  <c r="R44" i="7" l="1"/>
  <c r="R46" i="7" s="1"/>
  <c r="R53" i="7"/>
  <c r="R54" i="7" s="1"/>
  <c r="R47" i="7" l="1"/>
  <c r="R48" i="7" s="1"/>
  <c r="B66" i="4"/>
  <c r="B67" i="4" s="1"/>
</calcChain>
</file>

<file path=xl/comments1.xml><?xml version="1.0" encoding="utf-8"?>
<comments xmlns="http://schemas.openxmlformats.org/spreadsheetml/2006/main">
  <authors>
    <author>Ann LaRue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Difference due to company rounding monthly freq to 2 decimal places.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Difference due to company rounding monthly freq to 2 decimal places.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This service not offerred on tariff.  Double the freq and decrease weight to 1 can.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freq and use single can weight.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Per pcik up rate applies here.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doubled annual pick ups and use single can weight.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tripled annual pick ups and use single can weight.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Service not offerred on tariff, quadrupled annual pick ups and use single can weight.</t>
        </r>
      </text>
    </comment>
  </commentList>
</comments>
</file>

<file path=xl/sharedStrings.xml><?xml version="1.0" encoding="utf-8"?>
<sst xmlns="http://schemas.openxmlformats.org/spreadsheetml/2006/main" count="503" uniqueCount="414">
  <si>
    <t>Monthly Frequency</t>
  </si>
  <si>
    <t>Annual PU's</t>
  </si>
  <si>
    <t>Gross Up</t>
  </si>
  <si>
    <t>Totals</t>
  </si>
  <si>
    <t>Increase per ton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</si>
  <si>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</si>
  <si>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</si>
  <si>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</si>
  <si>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</si>
  <si>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</si>
  <si>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</si>
  <si>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</si>
  <si>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</si>
  <si>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</si>
  <si>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</si>
  <si>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</si>
  <si>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</si>
  <si>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</si>
  <si>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</si>
  <si>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</si>
  <si>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</si>
  <si>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</si>
  <si>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</si>
  <si>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</si>
  <si>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</si>
  <si>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</si>
  <si>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</si>
  <si>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</si>
  <si>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</si>
  <si>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</si>
  <si>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</si>
  <si>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</si>
  <si>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</si>
  <si>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</si>
  <si>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</si>
  <si>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</si>
  <si>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</si>
  <si>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Staff Calculated Rate</t>
  </si>
  <si>
    <t>Company Proposed Tariff</t>
  </si>
  <si>
    <t>Company Proposed Revenue</t>
  </si>
  <si>
    <t>Company Current Tariff</t>
  </si>
  <si>
    <t>Company Current Revenue</t>
  </si>
  <si>
    <t>Staff Calculated Revenue</t>
  </si>
  <si>
    <t>Monthly Customers</t>
  </si>
  <si>
    <t xml:space="preserve"> Company Over/(Under) collecting</t>
  </si>
  <si>
    <t>Tariff Rate Increase</t>
  </si>
  <si>
    <t>Company Increased Revenue</t>
  </si>
  <si>
    <t>Revised Tariff Rate</t>
  </si>
  <si>
    <t>Revised Revenue Increase</t>
  </si>
  <si>
    <t>Revised Revenue</t>
  </si>
  <si>
    <t>1 unit</t>
  </si>
  <si>
    <t>2 units</t>
  </si>
  <si>
    <t>3 units</t>
  </si>
  <si>
    <t>n/a</t>
  </si>
  <si>
    <t>Revenue from Revised Rates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</si>
  <si>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</si>
  <si>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</si>
  <si>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</si>
  <si>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</si>
  <si>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</si>
  <si>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</si>
  <si>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</si>
  <si>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</si>
  <si>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</si>
  <si>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</si>
  <si>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</si>
  <si>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</si>
  <si>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</si>
  <si>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</si>
  <si>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</si>
  <si>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</si>
  <si>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</si>
  <si>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</si>
  <si>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</si>
  <si>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</si>
  <si>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</si>
  <si>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</si>
  <si>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</si>
  <si>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</si>
  <si>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</si>
  <si>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</si>
  <si>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</si>
  <si>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</si>
  <si>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</si>
  <si>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</si>
  <si>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</si>
  <si>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</si>
  <si>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</si>
  <si>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</si>
  <si>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</si>
  <si>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</si>
  <si>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</si>
  <si>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Annual</t>
  </si>
  <si>
    <t>Revenue</t>
  </si>
  <si>
    <t>Customers</t>
  </si>
  <si>
    <t>Res'l &amp; Com'l</t>
  </si>
  <si>
    <t>Revenue Inc from Co Proposed Rates</t>
  </si>
  <si>
    <t>Company Proposed Rates</t>
  </si>
  <si>
    <t>Staff Revised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</si>
  <si>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</si>
  <si>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</si>
  <si>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</si>
  <si>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</si>
  <si>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</si>
  <si>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</si>
  <si>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Service Code</t>
  </si>
  <si>
    <t>Service Code Description</t>
  </si>
  <si>
    <t>* not on meeks - calculated by staff</t>
  </si>
  <si>
    <t>6 yd container (2)</t>
  </si>
  <si>
    <t>4 yd container (2)</t>
  </si>
  <si>
    <t>3 yd container (2)</t>
  </si>
  <si>
    <t>1.5 yd container (2)</t>
  </si>
  <si>
    <t>Jefferson County</t>
  </si>
  <si>
    <t>Transfer Station</t>
  </si>
  <si>
    <t>1-20 GAL CAN WEEKLY SVC</t>
  </si>
  <si>
    <t>1-32 GAL CAN-WEEKLY SVC</t>
  </si>
  <si>
    <t>2-32 GAL CANS-WEEKLY SVC</t>
  </si>
  <si>
    <t>3-32 GAL CANS-WEEKLY SVC</t>
  </si>
  <si>
    <t>1-35 GAL CART WEEKLY SVC</t>
  </si>
  <si>
    <t>1-60 GAL CART WEEKLY SVC</t>
  </si>
  <si>
    <t>1-32 GAL CAN-EOW SVC</t>
  </si>
  <si>
    <t>2-32 GAL CAN-EOW SVC</t>
  </si>
  <si>
    <t>1-35 GAL CART EOW SVC</t>
  </si>
  <si>
    <t>1-60GAL CART EOW SVC</t>
  </si>
  <si>
    <t>1-32 GAL CAN-MONTHLY SVC</t>
  </si>
  <si>
    <t>2-32 GAL CANS MONTHLY SVC</t>
  </si>
  <si>
    <t>1-32 GAL CAN-ON CALL SVC</t>
  </si>
  <si>
    <t>EXTRA CAN/BAGS</t>
  </si>
  <si>
    <t>OVERFILL/OVERWEIGHT CHG</t>
  </si>
  <si>
    <t>1YD CONT 1xWEEKLY SVC</t>
  </si>
  <si>
    <t>1.5YD CONT 1xWEEKLY SVC</t>
  </si>
  <si>
    <t>2YD CONT 1xWEEKLY SVC</t>
  </si>
  <si>
    <t>2YD CONT 2xWEEKLY SVC</t>
  </si>
  <si>
    <t>1YD CONT EOW SVC</t>
  </si>
  <si>
    <t>1.5YD CONT EOW SVC</t>
  </si>
  <si>
    <t>2YD CONT EOW SVC</t>
  </si>
  <si>
    <t>1YD TEMP CONT PU</t>
  </si>
  <si>
    <t>1.5YD CONTAINER EXTRA PU</t>
  </si>
  <si>
    <t>1.5YD TEMP CONTAINER PU</t>
  </si>
  <si>
    <t>2YD CONTAINER EXTRA PU</t>
  </si>
  <si>
    <t>2YD TEMP CONTAINER PU</t>
  </si>
  <si>
    <t>1-32 GAL CAN WEEKLY SVC</t>
  </si>
  <si>
    <t>3-32 GAL CANS WKLY SVC</t>
  </si>
  <si>
    <t>1-60 GAL CART CMML WKLY</t>
  </si>
  <si>
    <t>Olympic Disposal</t>
  </si>
  <si>
    <t>USOA Standard Can Weights:</t>
  </si>
  <si>
    <t xml:space="preserve">Gross-Up </t>
  </si>
  <si>
    <t>Increase per Lb</t>
  </si>
  <si>
    <t>for Taxes</t>
  </si>
  <si>
    <t>Frequency</t>
  </si>
  <si>
    <t>Pick-Ups</t>
  </si>
  <si>
    <t>Lbs</t>
  </si>
  <si>
    <t>per Month</t>
  </si>
  <si>
    <t>per Pick-Up</t>
  </si>
  <si>
    <t>Check</t>
  </si>
  <si>
    <t>1 Can</t>
  </si>
  <si>
    <t>20RW1</t>
  </si>
  <si>
    <t>2 Cans</t>
  </si>
  <si>
    <t>32RW1</t>
  </si>
  <si>
    <t>3 Cans</t>
  </si>
  <si>
    <t>32RW2</t>
  </si>
  <si>
    <t>4 Cans</t>
  </si>
  <si>
    <t>32RW3</t>
  </si>
  <si>
    <t>60 Gal</t>
  </si>
  <si>
    <t>35RW1</t>
  </si>
  <si>
    <t>90 Gal</t>
  </si>
  <si>
    <t>60RW1</t>
  </si>
  <si>
    <t>32RE1</t>
  </si>
  <si>
    <t>Commerical</t>
  </si>
  <si>
    <t>32RE2</t>
  </si>
  <si>
    <t>35RE1</t>
  </si>
  <si>
    <t>1 Yd</t>
  </si>
  <si>
    <t>60RE1</t>
  </si>
  <si>
    <t>1.5 Yd</t>
  </si>
  <si>
    <t>2 Yd</t>
  </si>
  <si>
    <t>32RM1</t>
  </si>
  <si>
    <t>3 Yd</t>
  </si>
  <si>
    <t>32RM2</t>
  </si>
  <si>
    <t>4 Yd</t>
  </si>
  <si>
    <t>6 Yd</t>
  </si>
  <si>
    <t>8 Yd</t>
  </si>
  <si>
    <t>32ROCPU</t>
  </si>
  <si>
    <t>EXTRAR</t>
  </si>
  <si>
    <t>OFOWR</t>
  </si>
  <si>
    <t>ADJOTHR</t>
  </si>
  <si>
    <t>ADJUSTMENT</t>
  </si>
  <si>
    <t>CARRYRE</t>
  </si>
  <si>
    <t>CARRYOUT PER CAN-EOW</t>
  </si>
  <si>
    <t>CARRYRW</t>
  </si>
  <si>
    <t>CARRYOUT PER CAN-WKLY</t>
  </si>
  <si>
    <t>Number of Pick-Ups:</t>
  </si>
  <si>
    <t>Months</t>
  </si>
  <si>
    <t>DRVNRW2</t>
  </si>
  <si>
    <t>DRIVE IN OVER 250'</t>
  </si>
  <si>
    <t>4 pick-ups per month</t>
  </si>
  <si>
    <t>DRVNRE2</t>
  </si>
  <si>
    <t>DRIVE IN OVER 250'-EOW</t>
  </si>
  <si>
    <t>5 pick-ups per month</t>
  </si>
  <si>
    <t>DRVNRM2</t>
  </si>
  <si>
    <t>DRIVE IN OVER 250'-MTHLY</t>
  </si>
  <si>
    <t>DRVNRW1</t>
  </si>
  <si>
    <t>DRIVE IN UP TO 250'</t>
  </si>
  <si>
    <t>DRVNRE1</t>
  </si>
  <si>
    <t>DRIVE IN UP TO 250'-EOW</t>
  </si>
  <si>
    <t>Weekly pick-up use---</t>
  </si>
  <si>
    <t>Every-other-week use---</t>
  </si>
  <si>
    <t>RCARRYOUT OVER 25</t>
  </si>
  <si>
    <t>RESI CARRYOUT FEE 25+ FT</t>
  </si>
  <si>
    <t>Once-a-month</t>
  </si>
  <si>
    <t>RCARRYOUT 5-25</t>
  </si>
  <si>
    <t>RESI CARRYOUT FEE 5-25 FT</t>
  </si>
  <si>
    <t>Extra units</t>
  </si>
  <si>
    <t>Twice a week</t>
  </si>
  <si>
    <t>Three times a week</t>
  </si>
  <si>
    <t>TRIPRCANS</t>
  </si>
  <si>
    <t>RETURN TRIP CHARGE - CANS</t>
  </si>
  <si>
    <t>Four times a week</t>
  </si>
  <si>
    <t>RESTART</t>
  </si>
  <si>
    <t>SERVICE RESTART FEE</t>
  </si>
  <si>
    <t>Five times a week</t>
  </si>
  <si>
    <t>R1YD1W</t>
  </si>
  <si>
    <t>R1.5YD1W</t>
  </si>
  <si>
    <t>R2YD1W</t>
  </si>
  <si>
    <t>R2YD2W</t>
  </si>
  <si>
    <t>R1YDEOW</t>
  </si>
  <si>
    <t>R1.5YDEOW</t>
  </si>
  <si>
    <t>R2YDEOW</t>
  </si>
  <si>
    <t>R1YDTPU</t>
  </si>
  <si>
    <t>R1.5YDEX</t>
  </si>
  <si>
    <t>R1.5YDTPU</t>
  </si>
  <si>
    <t>R2YDEX</t>
  </si>
  <si>
    <t>R2YDTPU</t>
  </si>
  <si>
    <t>32CW1</t>
  </si>
  <si>
    <t>32CW3</t>
  </si>
  <si>
    <t>60CW1</t>
  </si>
  <si>
    <t>ADJOTHC</t>
  </si>
  <si>
    <t>CEXYD</t>
  </si>
  <si>
    <t>CMML EXTRA YARDAGE</t>
  </si>
  <si>
    <t>R1YDRENTT</t>
  </si>
  <si>
    <t>1YD TEMP CONT RENT</t>
  </si>
  <si>
    <t>R1.5YDRENTTD</t>
  </si>
  <si>
    <t>1.5 YD TEMP CONT RENT DAILY</t>
  </si>
  <si>
    <t>R1.5YDRENTT</t>
  </si>
  <si>
    <t>1.5YD TEMP CONTAINER RENT</t>
  </si>
  <si>
    <t>R2YDRENTTD</t>
  </si>
  <si>
    <t>2 YD TEMP CONT RENT DAILY</t>
  </si>
  <si>
    <t>R2YDRENTT</t>
  </si>
  <si>
    <t>2YD TEMP CONTAINER RENT</t>
  </si>
  <si>
    <t>R2YDRENTM</t>
  </si>
  <si>
    <t>2YD CONTAINER RENT-MTHLY</t>
  </si>
  <si>
    <t>DRVNCW2</t>
  </si>
  <si>
    <t>COMM DRIVE IN OVER 125'</t>
  </si>
  <si>
    <t>CGATE</t>
  </si>
  <si>
    <t>GATE CHARGE</t>
  </si>
  <si>
    <t>CLOCKEOW</t>
  </si>
  <si>
    <t>LOCK CHARGE - CONT EOW</t>
  </si>
  <si>
    <t>CLOCKWKLY</t>
  </si>
  <si>
    <t>LOCK CHARGE-CONTAINER WKL</t>
  </si>
  <si>
    <t>RDELTO8</t>
  </si>
  <si>
    <t>REDELIVERY FEE UP TO 8YDS</t>
  </si>
  <si>
    <t>CTRIPCAN</t>
  </si>
  <si>
    <t>RETURN TRIP CHG - CANS</t>
  </si>
  <si>
    <t>CTDEL</t>
  </si>
  <si>
    <t>TEMP CONTAINER DELIV</t>
  </si>
  <si>
    <t>Comments</t>
  </si>
  <si>
    <t>Not on Meeks</t>
  </si>
  <si>
    <t>Differ from Company</t>
  </si>
  <si>
    <t>4-32 GAL CANS-WEEKLY SVC</t>
  </si>
  <si>
    <t>35 gallon Can</t>
  </si>
  <si>
    <t>provided by wcon</t>
  </si>
  <si>
    <t>Note:  Revenue is from detailed billing system reports and cannot be linked.</t>
  </si>
  <si>
    <t>October 1, 2012 - September 30, 2013</t>
  </si>
  <si>
    <t xml:space="preserve">Tariff </t>
  </si>
  <si>
    <t xml:space="preserve">Monthly </t>
  </si>
  <si>
    <t xml:space="preserve">Meeks </t>
  </si>
  <si>
    <t xml:space="preserve">Projected </t>
  </si>
  <si>
    <t>Adjusted</t>
  </si>
  <si>
    <t>Rate</t>
  </si>
  <si>
    <t>Weights</t>
  </si>
  <si>
    <t>Tons</t>
  </si>
  <si>
    <t>32RW4</t>
  </si>
  <si>
    <t>Extra Yards</t>
  </si>
  <si>
    <t>CARRYRM</t>
  </si>
  <si>
    <t>CARRYOUT PER CAN -MONTHLY</t>
  </si>
  <si>
    <t>DRVNRM1</t>
  </si>
  <si>
    <t>DRIVE IN UP TO 250'-MTHLY</t>
  </si>
  <si>
    <t>(Monthly Rate)</t>
  </si>
  <si>
    <t>R1YD2W</t>
  </si>
  <si>
    <t>1YD CONT 2xWEEKLY SVC</t>
  </si>
  <si>
    <t>R1YD3W</t>
  </si>
  <si>
    <t>1YD CONT 3xWEEKLY SVC</t>
  </si>
  <si>
    <t>R1.5YD2W</t>
  </si>
  <si>
    <t>1.5YD CONT 2xWEEKLY SVC</t>
  </si>
  <si>
    <t>R2YD3W</t>
  </si>
  <si>
    <t>2YD CONT 3xWEEKLY SVC</t>
  </si>
  <si>
    <t>32CW2</t>
  </si>
  <si>
    <t>2-32 GAL CANS WKLY SVC</t>
  </si>
  <si>
    <t>32CW4</t>
  </si>
  <si>
    <t>4-32 GAL CANS WKLY SVC</t>
  </si>
  <si>
    <t>CEX</t>
  </si>
  <si>
    <t>EXTRA CANS</t>
  </si>
  <si>
    <t>60CRE1</t>
  </si>
  <si>
    <t>1-60 GAL CART RECY EOW</t>
  </si>
  <si>
    <t>R1.5YDRENTM</t>
  </si>
  <si>
    <t>1.5YD CONTAINER RENT-MTH</t>
  </si>
  <si>
    <t>R2YDOCCW</t>
  </si>
  <si>
    <t>2YD OCC-WEEKLY</t>
  </si>
  <si>
    <t>CRENT</t>
  </si>
  <si>
    <t>CONTAINER RENT</t>
  </si>
  <si>
    <t>CTRIP</t>
  </si>
  <si>
    <t>RETURN TRIP CHARGE - CONT</t>
  </si>
  <si>
    <t>Actual Lbs</t>
  </si>
  <si>
    <t>1-35 GAL CART MG</t>
  </si>
  <si>
    <t>1-60 GAL CART MG</t>
  </si>
  <si>
    <t>1YD CONTAINER Special PU</t>
  </si>
  <si>
    <t>21A</t>
  </si>
  <si>
    <t>32 gal can Temp</t>
  </si>
  <si>
    <t xml:space="preserve">35 gal can </t>
  </si>
  <si>
    <t>35 gal can Temp</t>
  </si>
  <si>
    <t>60 gal can Temp</t>
  </si>
  <si>
    <t>28,32,35 &amp; 36</t>
  </si>
  <si>
    <t>35.5 &amp; 36</t>
  </si>
  <si>
    <t>2 Yard</t>
  </si>
  <si>
    <t>3 Yard</t>
  </si>
  <si>
    <t>4 Yard</t>
  </si>
  <si>
    <t>6  Yard</t>
  </si>
  <si>
    <t>Murrey's Disposal Co. Inc. G-09</t>
  </si>
  <si>
    <t>d/b/a Olympic Disposal</t>
  </si>
  <si>
    <t>DF Increase</t>
  </si>
  <si>
    <t>Item 55, Pg. 16</t>
  </si>
  <si>
    <t>Oversized Container</t>
  </si>
  <si>
    <t>Item 100, Pg. 21</t>
  </si>
  <si>
    <t>Mini Can</t>
  </si>
  <si>
    <t>1 Can Weekly</t>
  </si>
  <si>
    <t>2 Can Weekly</t>
  </si>
  <si>
    <t>3 Can Weekly</t>
  </si>
  <si>
    <t>4 Can Weekly</t>
  </si>
  <si>
    <t>5 Can Weekly</t>
  </si>
  <si>
    <t>35 Gal Weekly</t>
  </si>
  <si>
    <t>60 Gal Weekly</t>
  </si>
  <si>
    <t>96 Gal Weekly</t>
  </si>
  <si>
    <t>1 Can EOW</t>
  </si>
  <si>
    <t>35 Gal EOW</t>
  </si>
  <si>
    <t>60 Gal EOW</t>
  </si>
  <si>
    <t>96 Gal EOW</t>
  </si>
  <si>
    <t>1 Can Monthly</t>
  </si>
  <si>
    <t>35 Gal Monthly</t>
  </si>
  <si>
    <t>60 Gal Monthly</t>
  </si>
  <si>
    <t>96 Gal Monthly</t>
  </si>
  <si>
    <t>Item 100, Pg. 21A</t>
  </si>
  <si>
    <t>32 Gal Extra</t>
  </si>
  <si>
    <t>Mini-Can Extra</t>
  </si>
  <si>
    <t>35 Gal Extra</t>
  </si>
  <si>
    <t>60 Gal Extra</t>
  </si>
  <si>
    <t>On-Call</t>
  </si>
  <si>
    <t>Item 150, Pg. 28</t>
  </si>
  <si>
    <t>Loose Material 1-4yd</t>
  </si>
  <si>
    <t>Loose Material per Yard</t>
  </si>
  <si>
    <t>Loose Material Min Charge</t>
  </si>
  <si>
    <t>Item 207, Pg. 32</t>
  </si>
  <si>
    <t>Overfilled Container</t>
  </si>
  <si>
    <t>Item 230, Pg. 34</t>
  </si>
  <si>
    <t>Item 240, Pg. 35</t>
  </si>
  <si>
    <t>1 Yard</t>
  </si>
  <si>
    <t>1.5 Yard</t>
  </si>
  <si>
    <t>6 Yard</t>
  </si>
  <si>
    <t>1 Yard - Special</t>
  </si>
  <si>
    <t>1.5 Yard - Special</t>
  </si>
  <si>
    <t>2 Yard - Special</t>
  </si>
  <si>
    <t>6 Yard - Special</t>
  </si>
  <si>
    <t>1 Yard - Temp</t>
  </si>
  <si>
    <t>1.5 Yard - Temp</t>
  </si>
  <si>
    <t>2 Yard - Temp</t>
  </si>
  <si>
    <t>Item 240, Pg 35.5</t>
  </si>
  <si>
    <t>35 Gal</t>
  </si>
  <si>
    <t>35 Gal - Temp</t>
  </si>
  <si>
    <t>60 Gal - Temp</t>
  </si>
  <si>
    <t>96 Gal</t>
  </si>
  <si>
    <t>96 Gal - Temp</t>
  </si>
  <si>
    <t>Extra Yard</t>
  </si>
  <si>
    <t>Additional Unit</t>
  </si>
  <si>
    <t>35 Gal - Minimum</t>
  </si>
  <si>
    <t>60 Gal - Minimum</t>
  </si>
  <si>
    <t>96 Gal - Minimum</t>
  </si>
  <si>
    <t>Item 245, Pg. 36</t>
  </si>
  <si>
    <t>32 Gal</t>
  </si>
  <si>
    <t>32 Gal - Temp</t>
  </si>
  <si>
    <t>Over-filled Container</t>
  </si>
  <si>
    <t>Extra Unit</t>
  </si>
  <si>
    <t>32 Gal - Minimum</t>
  </si>
  <si>
    <t>Cart/Toter 95 Weekly-SVC</t>
  </si>
  <si>
    <t>5 Can  Weekly-SVC</t>
  </si>
  <si>
    <t xml:space="preserve">Cart 95 gal EOW </t>
  </si>
  <si>
    <t xml:space="preserve">Cart 95 gal MG </t>
  </si>
  <si>
    <t xml:space="preserve">2 Yard </t>
  </si>
  <si>
    <t xml:space="preserve">6 Yard </t>
  </si>
  <si>
    <t xml:space="preserve">96 gal Can Temp </t>
  </si>
  <si>
    <t>3 Yard - Temp</t>
  </si>
  <si>
    <t>4 Yard - Temp</t>
  </si>
  <si>
    <t xml:space="preserve">3 Yard - Special </t>
  </si>
  <si>
    <t>4 Yard -Special</t>
  </si>
  <si>
    <t>Item 245, Pg. 36, Special/Temp</t>
  </si>
  <si>
    <t>96 gal Can</t>
  </si>
  <si>
    <t>Note from Heather Garland:  The schedule below was prepared by the auditor in TG-132228.  All comments/notations are from that audit.  The only change that was made was the linking of column M to the "Proposed Rates" tab so the proper starting tariff rate would flow through into this schedule.</t>
  </si>
  <si>
    <t>NOTE from Heather Garland:  As instructed by the auditor in TG-132228 we used the revenue, customer counts and disposal tonnage from the last general rate filing.  The information shaded gray was taken directly from the final audited file in TG-132228 as there has not been another general rate filing since Jefferson's DF increased on 2-1-2014.  Columns L-P were updated to reflect the increase as  a result of the new DF increase amount.</t>
  </si>
  <si>
    <t>Revenue Increase:</t>
  </si>
  <si>
    <t>Roll-off Tons</t>
  </si>
  <si>
    <t>TG--132228    2-1-2014</t>
  </si>
  <si>
    <t>For tonnage verification see -</t>
  </si>
  <si>
    <t>Current Rate 1/1/2015</t>
  </si>
  <si>
    <t>Rate Effective 1/1/2016</t>
  </si>
  <si>
    <t>Jefferson DF Increase Effective 1/1/2016</t>
  </si>
  <si>
    <t>Jefferson DF Calc -1/1/2016</t>
  </si>
  <si>
    <t>Note from Heather Garland:  The entire schedule below was taken from the audit in TG-132228.  Only the cells highlighted in green were updated for the change in the DF effective 1-1-2016.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</si>
</sst>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_(&quot;$&quot;* #,##0.00000_);_(&quot;$&quot;* \(#,##0.00000\);_(&quot;$&quot;* &quot;-&quot;??_);_(@_)"/>
    <numFmt numFmtId="173" formatCode="_(* #,##0.0000_);_(* \(#,##0.0000\);_(* &quot;-&quot;??_);_(@_)"/>
    <numFmt numFmtId="174" formatCode="#,##0.0000_);\(#,##0.0000\)"/>
  </numFmts>
  <fonts count="6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u/>
      <sz val="10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0"/>
      <color indexed="8"/>
      <name val="Cambria"/>
      <family val="1"/>
      <scheme val="major"/>
    </font>
    <font>
      <b/>
      <sz val="10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Cambria"/>
      <family val="1"/>
      <scheme val="maj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0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8" fillId="0" borderId="0" applyNumberFormat="0" applyFont="0" applyFill="0" applyBorder="0">
      <alignment horizontal="left" indent="4"/>
      <protection locked="0"/>
    </xf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2">
      <alignment horizontal="center"/>
    </xf>
    <xf numFmtId="3" fontId="9" fillId="0" borderId="0" applyFont="0" applyFill="0" applyBorder="0" applyAlignment="0" applyProtection="0"/>
    <xf numFmtId="0" fontId="9" fillId="2" borderId="0" applyNumberFormat="0" applyFont="0" applyBorder="0" applyAlignment="0" applyProtection="0"/>
    <xf numFmtId="166" fontId="7" fillId="3" borderId="0" applyFont="0" applyFill="0" applyBorder="0" applyAlignment="0" applyProtection="0">
      <alignment wrapText="1"/>
    </xf>
    <xf numFmtId="0" fontId="16" fillId="0" borderId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8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9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41" fontId="5" fillId="0" borderId="0"/>
    <xf numFmtId="41" fontId="5" fillId="0" borderId="0"/>
    <xf numFmtId="41" fontId="5" fillId="0" borderId="0"/>
    <xf numFmtId="41" fontId="5" fillId="0" borderId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3" fontId="5" fillId="0" borderId="0"/>
    <xf numFmtId="3" fontId="5" fillId="0" borderId="0"/>
    <xf numFmtId="3" fontId="5" fillId="0" borderId="0"/>
    <xf numFmtId="3" fontId="5" fillId="0" borderId="0"/>
    <xf numFmtId="0" fontId="19" fillId="23" borderId="4" applyNumberFormat="0" applyAlignment="0" applyProtection="0"/>
    <xf numFmtId="0" fontId="35" fillId="23" borderId="4" applyNumberFormat="0" applyAlignment="0" applyProtection="0"/>
    <xf numFmtId="0" fontId="20" fillId="24" borderId="5" applyNumberFormat="0" applyAlignment="0" applyProtection="0"/>
    <xf numFmtId="0" fontId="20" fillId="25" borderId="6" applyNumberFormat="0" applyAlignment="0" applyProtection="0"/>
    <xf numFmtId="0" fontId="5" fillId="26" borderId="0">
      <alignment horizontal="center"/>
    </xf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21" fillId="0" borderId="0"/>
    <xf numFmtId="0" fontId="36" fillId="0" borderId="0"/>
    <xf numFmtId="0" fontId="36" fillId="0" borderId="0"/>
    <xf numFmtId="0" fontId="37" fillId="27" borderId="1" applyAlignment="0">
      <alignment horizontal="right"/>
      <protection locked="0"/>
    </xf>
    <xf numFmtId="44" fontId="1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8" fillId="28" borderId="0">
      <alignment horizontal="right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2" fontId="38" fillId="28" borderId="0">
      <alignment horizontal="right"/>
      <protection locked="0"/>
    </xf>
    <xf numFmtId="0" fontId="24" fillId="10" borderId="0" applyNumberFormat="0" applyBorder="0" applyAlignment="0" applyProtection="0"/>
    <xf numFmtId="0" fontId="24" fillId="29" borderId="0" applyNumberFormat="0" applyBorder="0" applyAlignment="0" applyProtection="0"/>
    <xf numFmtId="0" fontId="25" fillId="0" borderId="7" applyNumberFormat="0" applyFill="0" applyAlignment="0" applyProtection="0"/>
    <xf numFmtId="0" fontId="39" fillId="0" borderId="8" applyNumberFormat="0" applyFill="0" applyAlignment="0" applyProtection="0"/>
    <xf numFmtId="0" fontId="26" fillId="0" borderId="9" applyNumberFormat="0" applyFill="0" applyAlignment="0" applyProtection="0"/>
    <xf numFmtId="0" fontId="40" fillId="0" borderId="10" applyNumberFormat="0" applyFill="0" applyAlignment="0" applyProtection="0"/>
    <xf numFmtId="0" fontId="27" fillId="0" borderId="11" applyNumberFormat="0" applyFill="0" applyAlignment="0" applyProtection="0"/>
    <xf numFmtId="0" fontId="41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28" fillId="12" borderId="4" applyNumberFormat="0" applyAlignment="0" applyProtection="0"/>
    <xf numFmtId="0" fontId="44" fillId="12" borderId="4" applyNumberFormat="0" applyAlignment="0" applyProtection="0"/>
    <xf numFmtId="3" fontId="13" fillId="30" borderId="0">
      <protection locked="0"/>
    </xf>
    <xf numFmtId="4" fontId="13" fillId="30" borderId="0">
      <protection locked="0"/>
    </xf>
    <xf numFmtId="0" fontId="29" fillId="0" borderId="13" applyNumberFormat="0" applyFill="0" applyAlignment="0" applyProtection="0"/>
    <xf numFmtId="0" fontId="45" fillId="0" borderId="14" applyNumberFormat="0" applyFill="0" applyAlignment="0" applyProtection="0"/>
    <xf numFmtId="0" fontId="30" fillId="12" borderId="0" applyNumberFormat="0" applyBorder="0" applyAlignment="0" applyProtection="0"/>
    <xf numFmtId="0" fontId="46" fillId="12" borderId="0" applyNumberFormat="0" applyBorder="0" applyAlignment="0" applyProtection="0"/>
    <xf numFmtId="43" fontId="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5" fillId="0" borderId="0"/>
    <xf numFmtId="0" fontId="21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5" fillId="0" borderId="0"/>
    <xf numFmtId="0" fontId="31" fillId="9" borderId="15" applyNumberFormat="0" applyFont="0" applyAlignment="0" applyProtection="0"/>
    <xf numFmtId="0" fontId="21" fillId="9" borderId="15" applyNumberFormat="0" applyFont="0" applyAlignment="0" applyProtection="0"/>
    <xf numFmtId="171" fontId="47" fillId="0" borderId="0" applyNumberFormat="0"/>
    <xf numFmtId="0" fontId="32" fillId="23" borderId="16" applyNumberFormat="0" applyAlignment="0" applyProtection="0"/>
    <xf numFmtId="0" fontId="27" fillId="23" borderId="17" applyNumberFormat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 applyNumberFormat="0" applyBorder="0" applyAlignment="0"/>
    <xf numFmtId="0" fontId="33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4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9" fillId="0" borderId="0"/>
    <xf numFmtId="43" fontId="4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11" fillId="0" borderId="0"/>
  </cellStyleXfs>
  <cellXfs count="292">
    <xf numFmtId="0" fontId="0" fillId="0" borderId="0" xfId="0"/>
    <xf numFmtId="43" fontId="0" fillId="0" borderId="0" xfId="1" applyFont="1"/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0" fontId="6" fillId="0" borderId="0" xfId="0" applyFont="1"/>
    <xf numFmtId="165" fontId="0" fillId="0" borderId="0" xfId="2" applyNumberFormat="1" applyFont="1" applyBorder="1"/>
    <xf numFmtId="0" fontId="0" fillId="0" borderId="0" xfId="0" applyFont="1"/>
    <xf numFmtId="44" fontId="6" fillId="0" borderId="0" xfId="0" applyNumberFormat="1" applyFont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6" fontId="0" fillId="0" borderId="0" xfId="1" applyNumberFormat="1" applyFont="1"/>
    <xf numFmtId="0" fontId="6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166" fontId="0" fillId="0" borderId="1" xfId="1" applyNumberFormat="1" applyFont="1" applyBorder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4" fillId="0" borderId="0" xfId="4" applyFont="1" applyFill="1" applyBorder="1" applyAlignment="1">
      <alignment horizontal="left"/>
    </xf>
    <xf numFmtId="166" fontId="14" fillId="0" borderId="0" xfId="1" applyNumberFormat="1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0" fontId="0" fillId="0" borderId="0" xfId="0" applyFont="1" applyFill="1" applyBorder="1" applyAlignment="1">
      <alignment horizontal="center" vertical="center"/>
    </xf>
    <xf numFmtId="170" fontId="0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6" fillId="5" borderId="1" xfId="0" applyFont="1" applyFill="1" applyBorder="1"/>
    <xf numFmtId="0" fontId="0" fillId="5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0" fontId="0" fillId="0" borderId="0" xfId="0" applyFont="1"/>
    <xf numFmtId="43" fontId="0" fillId="0" borderId="0" xfId="0" applyNumberFormat="1" applyFont="1"/>
    <xf numFmtId="0" fontId="6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5" fillId="0" borderId="0" xfId="4" applyFont="1" applyFill="1" applyBorder="1" applyAlignment="1">
      <alignment horizontal="left"/>
    </xf>
    <xf numFmtId="166" fontId="6" fillId="0" borderId="0" xfId="1" applyNumberFormat="1" applyFont="1" applyBorder="1" applyAlignment="1">
      <alignment horizontal="right"/>
    </xf>
    <xf numFmtId="0" fontId="12" fillId="0" borderId="0" xfId="274" applyFont="1" applyBorder="1" applyAlignment="1">
      <alignment horizontal="left"/>
    </xf>
    <xf numFmtId="166" fontId="0" fillId="4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4" fontId="0" fillId="0" borderId="3" xfId="2" applyFont="1" applyFill="1" applyBorder="1"/>
    <xf numFmtId="44" fontId="6" fillId="5" borderId="1" xfId="2" applyFont="1" applyFill="1" applyBorder="1"/>
    <xf numFmtId="44" fontId="0" fillId="5" borderId="1" xfId="2" applyFont="1" applyFill="1" applyBorder="1"/>
    <xf numFmtId="44" fontId="6" fillId="0" borderId="0" xfId="2" applyFont="1" applyBorder="1" applyAlignment="1">
      <alignment horizontal="right"/>
    </xf>
    <xf numFmtId="0" fontId="0" fillId="31" borderId="0" xfId="0" applyFont="1" applyFill="1" applyBorder="1"/>
    <xf numFmtId="0" fontId="0" fillId="31" borderId="0" xfId="0" applyFont="1" applyFill="1" applyBorder="1" applyAlignment="1">
      <alignment horizontal="center"/>
    </xf>
    <xf numFmtId="0" fontId="0" fillId="31" borderId="0" xfId="0" applyFont="1" applyFill="1" applyBorder="1" applyAlignment="1">
      <alignment horizontal="right"/>
    </xf>
    <xf numFmtId="166" fontId="0" fillId="31" borderId="0" xfId="1" applyNumberFormat="1" applyFont="1" applyFill="1" applyBorder="1"/>
    <xf numFmtId="44" fontId="0" fillId="31" borderId="0" xfId="1" applyNumberFormat="1" applyFont="1" applyFill="1" applyBorder="1"/>
    <xf numFmtId="0" fontId="6" fillId="31" borderId="0" xfId="0" applyFont="1" applyFill="1" applyBorder="1"/>
    <xf numFmtId="43" fontId="0" fillId="0" borderId="1" xfId="1" applyFont="1" applyBorder="1" applyAlignment="1">
      <alignment horizontal="right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4" fillId="0" borderId="0" xfId="274" applyFont="1" applyBorder="1" applyAlignment="1">
      <alignment horizontal="left"/>
    </xf>
    <xf numFmtId="0" fontId="14" fillId="0" borderId="0" xfId="278" applyFont="1" applyBorder="1"/>
    <xf numFmtId="0" fontId="6" fillId="5" borderId="0" xfId="0" applyFont="1" applyFill="1" applyBorder="1" applyAlignment="1">
      <alignment wrapText="1"/>
    </xf>
    <xf numFmtId="0" fontId="0" fillId="4" borderId="0" xfId="0" applyFont="1" applyFill="1" applyBorder="1" applyAlignment="1">
      <alignment horizontal="left"/>
    </xf>
    <xf numFmtId="0" fontId="12" fillId="0" borderId="0" xfId="4" applyFont="1" applyFill="1" applyBorder="1" applyAlignment="1">
      <alignment horizontal="left"/>
    </xf>
    <xf numFmtId="0" fontId="0" fillId="32" borderId="0" xfId="0" applyFont="1" applyFill="1" applyBorder="1" applyAlignment="1">
      <alignment horizontal="left"/>
    </xf>
    <xf numFmtId="166" fontId="6" fillId="5" borderId="0" xfId="1" applyNumberFormat="1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0" fontId="6" fillId="5" borderId="0" xfId="0" applyFont="1" applyFill="1" applyBorder="1"/>
    <xf numFmtId="44" fontId="0" fillId="0" borderId="0" xfId="2" applyFont="1" applyBorder="1"/>
    <xf numFmtId="44" fontId="0" fillId="0" borderId="1" xfId="2" applyFont="1" applyBorder="1"/>
    <xf numFmtId="0" fontId="14" fillId="0" borderId="0" xfId="271" applyFont="1" applyBorder="1"/>
    <xf numFmtId="0" fontId="14" fillId="0" borderId="1" xfId="278" applyFont="1" applyBorder="1"/>
    <xf numFmtId="43" fontId="0" fillId="0" borderId="1" xfId="1" applyFont="1" applyBorder="1"/>
    <xf numFmtId="0" fontId="0" fillId="0" borderId="0" xfId="0"/>
    <xf numFmtId="0" fontId="50" fillId="0" borderId="0" xfId="0" applyFont="1" applyBorder="1" applyAlignment="1">
      <alignment horizontal="center"/>
    </xf>
    <xf numFmtId="43" fontId="51" fillId="0" borderId="0" xfId="0" applyNumberFormat="1" applyFont="1" applyBorder="1"/>
    <xf numFmtId="44" fontId="0" fillId="0" borderId="0" xfId="2" applyFont="1" applyBorder="1"/>
    <xf numFmtId="43" fontId="51" fillId="0" borderId="0" xfId="1" applyFont="1" applyBorder="1"/>
    <xf numFmtId="0" fontId="54" fillId="0" borderId="0" xfId="280" applyFont="1" applyFill="1"/>
    <xf numFmtId="166" fontId="51" fillId="0" borderId="0" xfId="0" applyNumberFormat="1" applyFont="1" applyBorder="1"/>
    <xf numFmtId="14" fontId="50" fillId="0" borderId="0" xfId="0" applyNumberFormat="1" applyFont="1" applyBorder="1" applyAlignment="1">
      <alignment horizontal="center"/>
    </xf>
    <xf numFmtId="172" fontId="50" fillId="0" borderId="0" xfId="2" applyNumberFormat="1" applyFont="1" applyBorder="1" applyAlignment="1">
      <alignment horizontal="center"/>
    </xf>
    <xf numFmtId="166" fontId="50" fillId="0" borderId="20" xfId="0" applyNumberFormat="1" applyFont="1" applyBorder="1"/>
    <xf numFmtId="166" fontId="50" fillId="0" borderId="28" xfId="0" applyNumberFormat="1" applyFont="1" applyBorder="1"/>
    <xf numFmtId="44" fontId="0" fillId="0" borderId="1" xfId="2" applyFont="1" applyFill="1" applyBorder="1"/>
    <xf numFmtId="166" fontId="0" fillId="4" borderId="0" xfId="1" applyNumberFormat="1" applyFont="1" applyFill="1" applyBorder="1"/>
    <xf numFmtId="0" fontId="14" fillId="0" borderId="1" xfId="274" applyFont="1" applyBorder="1" applyAlignment="1">
      <alignment horizontal="left"/>
    </xf>
    <xf numFmtId="166" fontId="0" fillId="0" borderId="1" xfId="1" applyNumberFormat="1" applyFont="1" applyFill="1" applyBorder="1"/>
    <xf numFmtId="43" fontId="0" fillId="0" borderId="0" xfId="1" applyNumberFormat="1" applyFont="1"/>
    <xf numFmtId="44" fontId="0" fillId="33" borderId="0" xfId="2" applyFont="1" applyFill="1" applyBorder="1"/>
    <xf numFmtId="44" fontId="0" fillId="33" borderId="3" xfId="2" applyFont="1" applyFill="1" applyBorder="1"/>
    <xf numFmtId="0" fontId="0" fillId="0" borderId="0" xfId="0"/>
    <xf numFmtId="0" fontId="50" fillId="0" borderId="0" xfId="0" applyFont="1"/>
    <xf numFmtId="43" fontId="51" fillId="0" borderId="0" xfId="0" applyNumberFormat="1" applyFont="1"/>
    <xf numFmtId="0" fontId="51" fillId="0" borderId="0" xfId="0" applyFont="1" applyFill="1"/>
    <xf numFmtId="43" fontId="51" fillId="0" borderId="0" xfId="0" applyNumberFormat="1" applyFont="1" applyFill="1"/>
    <xf numFmtId="0" fontId="0" fillId="4" borderId="29" xfId="0" applyFill="1" applyBorder="1"/>
    <xf numFmtId="0" fontId="6" fillId="0" borderId="21" xfId="0" applyFont="1" applyBorder="1"/>
    <xf numFmtId="0" fontId="0" fillId="5" borderId="30" xfId="0" applyFont="1" applyFill="1" applyBorder="1" applyAlignment="1">
      <alignment horizontal="center"/>
    </xf>
    <xf numFmtId="0" fontId="0" fillId="0" borderId="24" xfId="0" applyFont="1" applyBorder="1"/>
    <xf numFmtId="44" fontId="0" fillId="0" borderId="25" xfId="2" applyFont="1" applyBorder="1"/>
    <xf numFmtId="0" fontId="0" fillId="0" borderId="25" xfId="0" applyFont="1" applyBorder="1"/>
    <xf numFmtId="0" fontId="6" fillId="0" borderId="24" xfId="0" applyFont="1" applyBorder="1"/>
    <xf numFmtId="0" fontId="0" fillId="5" borderId="31" xfId="0" applyFont="1" applyFill="1" applyBorder="1" applyAlignment="1">
      <alignment horizontal="center"/>
    </xf>
    <xf numFmtId="44" fontId="4" fillId="0" borderId="25" xfId="2" applyFont="1" applyBorder="1"/>
    <xf numFmtId="0" fontId="0" fillId="0" borderId="26" xfId="0" applyFont="1" applyBorder="1" applyAlignment="1">
      <alignment horizontal="left"/>
    </xf>
    <xf numFmtId="44" fontId="0" fillId="0" borderId="27" xfId="2" applyFont="1" applyBorder="1"/>
    <xf numFmtId="41" fontId="0" fillId="0" borderId="0" xfId="0" applyNumberFormat="1" applyFont="1" applyFill="1" applyBorder="1"/>
    <xf numFmtId="10" fontId="0" fillId="0" borderId="0" xfId="0" applyNumberFormat="1" applyFont="1" applyBorder="1"/>
    <xf numFmtId="0" fontId="3" fillId="0" borderId="0" xfId="0" applyFont="1" applyBorder="1"/>
    <xf numFmtId="166" fontId="3" fillId="0" borderId="3" xfId="1" applyNumberFormat="1" applyFont="1" applyBorder="1" applyAlignment="1">
      <alignment horizontal="right"/>
    </xf>
    <xf numFmtId="43" fontId="3" fillId="0" borderId="3" xfId="1" applyNumberFormat="1" applyFont="1" applyFill="1" applyBorder="1"/>
    <xf numFmtId="166" fontId="3" fillId="0" borderId="0" xfId="1" applyNumberFormat="1" applyFont="1" applyFill="1" applyBorder="1"/>
    <xf numFmtId="166" fontId="3" fillId="0" borderId="3" xfId="1" applyNumberFormat="1" applyFont="1" applyFill="1" applyBorder="1"/>
    <xf numFmtId="166" fontId="3" fillId="0" borderId="0" xfId="1" applyNumberFormat="1" applyFont="1" applyFill="1" applyBorder="1" applyAlignment="1">
      <alignment horizontal="center" wrapText="1"/>
    </xf>
    <xf numFmtId="44" fontId="3" fillId="0" borderId="0" xfId="2" applyFont="1" applyFill="1" applyBorder="1"/>
    <xf numFmtId="44" fontId="3" fillId="0" borderId="0" xfId="2" applyFont="1" applyBorder="1"/>
    <xf numFmtId="166" fontId="3" fillId="0" borderId="0" xfId="1" applyNumberFormat="1" applyFont="1" applyBorder="1" applyAlignment="1">
      <alignment horizontal="right"/>
    </xf>
    <xf numFmtId="43" fontId="3" fillId="0" borderId="0" xfId="1" applyNumberFormat="1" applyFont="1" applyFill="1" applyBorder="1"/>
    <xf numFmtId="166" fontId="3" fillId="32" borderId="0" xfId="1" applyNumberFormat="1" applyFont="1" applyFill="1" applyBorder="1"/>
    <xf numFmtId="0" fontId="3" fillId="0" borderId="0" xfId="0" applyFont="1" applyFill="1" applyBorder="1"/>
    <xf numFmtId="166" fontId="3" fillId="0" borderId="0" xfId="1" applyNumberFormat="1" applyFont="1" applyFill="1" applyBorder="1" applyAlignment="1">
      <alignment horizontal="right"/>
    </xf>
    <xf numFmtId="43" fontId="3" fillId="32" borderId="0" xfId="1" applyNumberFormat="1" applyFont="1" applyFill="1" applyBorder="1"/>
    <xf numFmtId="166" fontId="61" fillId="0" borderId="0" xfId="1" applyNumberFormat="1" applyFont="1" applyFill="1" applyBorder="1"/>
    <xf numFmtId="44" fontId="59" fillId="0" borderId="0" xfId="2" applyFont="1" applyFill="1" applyBorder="1"/>
    <xf numFmtId="166" fontId="3" fillId="0" borderId="0" xfId="1" applyNumberFormat="1" applyFont="1" applyBorder="1"/>
    <xf numFmtId="166" fontId="3" fillId="4" borderId="0" xfId="1" applyNumberFormat="1" applyFont="1" applyFill="1" applyBorder="1"/>
    <xf numFmtId="44" fontId="3" fillId="0" borderId="0" xfId="2" applyNumberFormat="1" applyFont="1" applyFill="1" applyBorder="1"/>
    <xf numFmtId="0" fontId="62" fillId="5" borderId="1" xfId="4" applyFont="1" applyFill="1" applyBorder="1" applyAlignment="1">
      <alignment horizontal="left"/>
    </xf>
    <xf numFmtId="3" fontId="60" fillId="5" borderId="1" xfId="0" applyNumberFormat="1" applyFont="1" applyFill="1" applyBorder="1" applyAlignment="1">
      <alignment horizontal="right"/>
    </xf>
    <xf numFmtId="43" fontId="3" fillId="5" borderId="1" xfId="1" applyFont="1" applyFill="1" applyBorder="1"/>
    <xf numFmtId="166" fontId="60" fillId="5" borderId="1" xfId="0" applyNumberFormat="1" applyFont="1" applyFill="1" applyBorder="1"/>
    <xf numFmtId="43" fontId="3" fillId="5" borderId="1" xfId="0" applyNumberFormat="1" applyFont="1" applyFill="1" applyBorder="1"/>
    <xf numFmtId="3" fontId="60" fillId="5" borderId="1" xfId="0" applyNumberFormat="1" applyFont="1" applyFill="1" applyBorder="1"/>
    <xf numFmtId="166" fontId="60" fillId="5" borderId="1" xfId="1" applyNumberFormat="1" applyFont="1" applyFill="1" applyBorder="1"/>
    <xf numFmtId="44" fontId="3" fillId="5" borderId="1" xfId="2" applyFont="1" applyFill="1" applyBorder="1"/>
    <xf numFmtId="166" fontId="3" fillId="0" borderId="0" xfId="1" applyNumberFormat="1" applyFont="1" applyFill="1" applyBorder="1" applyAlignment="1"/>
    <xf numFmtId="166" fontId="3" fillId="0" borderId="0" xfId="1" applyNumberFormat="1" applyFont="1" applyBorder="1" applyAlignment="1"/>
    <xf numFmtId="166" fontId="3" fillId="32" borderId="0" xfId="1" applyNumberFormat="1" applyFont="1" applyFill="1" applyBorder="1" applyAlignment="1"/>
    <xf numFmtId="44" fontId="60" fillId="5" borderId="1" xfId="2" applyFont="1" applyFill="1" applyBorder="1"/>
    <xf numFmtId="174" fontId="0" fillId="0" borderId="0" xfId="0" applyNumberFormat="1" applyFont="1"/>
    <xf numFmtId="44" fontId="0" fillId="0" borderId="0" xfId="0" applyNumberFormat="1"/>
    <xf numFmtId="166" fontId="0" fillId="34" borderId="0" xfId="1" applyNumberFormat="1" applyFont="1" applyFill="1" applyBorder="1"/>
    <xf numFmtId="166" fontId="0" fillId="34" borderId="1" xfId="1" applyNumberFormat="1" applyFont="1" applyFill="1" applyBorder="1"/>
    <xf numFmtId="43" fontId="0" fillId="0" borderId="0" xfId="0" applyNumberFormat="1"/>
    <xf numFmtId="0" fontId="0" fillId="0" borderId="0" xfId="0" applyFill="1"/>
    <xf numFmtId="44" fontId="0" fillId="34" borderId="0" xfId="2" applyFont="1" applyFill="1"/>
    <xf numFmtId="165" fontId="0" fillId="34" borderId="0" xfId="2" applyNumberFormat="1" applyFont="1" applyFill="1"/>
    <xf numFmtId="44" fontId="0" fillId="34" borderId="1" xfId="2" applyFont="1" applyFill="1" applyBorder="1"/>
    <xf numFmtId="165" fontId="0" fillId="34" borderId="1" xfId="2" applyNumberFormat="1" applyFont="1" applyFill="1" applyBorder="1"/>
    <xf numFmtId="169" fontId="0" fillId="34" borderId="0" xfId="2" applyNumberFormat="1" applyFont="1" applyFill="1"/>
    <xf numFmtId="44" fontId="0" fillId="0" borderId="0" xfId="0" applyNumberFormat="1" applyFont="1" applyFill="1" applyBorder="1"/>
    <xf numFmtId="0" fontId="63" fillId="5" borderId="0" xfId="0" applyFont="1" applyFill="1" applyBorder="1" applyAlignment="1">
      <alignment horizontal="center" wrapText="1"/>
    </xf>
    <xf numFmtId="0" fontId="50" fillId="5" borderId="0" xfId="0" applyFont="1" applyFill="1" applyBorder="1"/>
    <xf numFmtId="0" fontId="0" fillId="5" borderId="0" xfId="0" applyFill="1"/>
    <xf numFmtId="0" fontId="50" fillId="5" borderId="0" xfId="0" applyFont="1" applyFill="1" applyBorder="1" applyAlignment="1">
      <alignment horizontal="center"/>
    </xf>
    <xf numFmtId="0" fontId="52" fillId="5" borderId="0" xfId="0" applyFont="1" applyFill="1" applyBorder="1"/>
    <xf numFmtId="0" fontId="51" fillId="5" borderId="0" xfId="0" applyFont="1" applyFill="1" applyBorder="1"/>
    <xf numFmtId="43" fontId="51" fillId="5" borderId="0" xfId="0" applyNumberFormat="1" applyFont="1" applyFill="1" applyBorder="1"/>
    <xf numFmtId="43" fontId="51" fillId="5" borderId="0" xfId="1" applyFont="1" applyFill="1" applyBorder="1"/>
    <xf numFmtId="1" fontId="51" fillId="5" borderId="0" xfId="0" applyNumberFormat="1" applyFont="1" applyFill="1" applyBorder="1"/>
    <xf numFmtId="2" fontId="51" fillId="5" borderId="0" xfId="0" applyNumberFormat="1" applyFont="1" applyFill="1" applyBorder="1"/>
    <xf numFmtId="4" fontId="51" fillId="5" borderId="0" xfId="0" applyNumberFormat="1" applyFont="1" applyFill="1" applyBorder="1"/>
    <xf numFmtId="166" fontId="51" fillId="5" borderId="0" xfId="1" applyNumberFormat="1" applyFont="1" applyFill="1" applyBorder="1"/>
    <xf numFmtId="166" fontId="50" fillId="5" borderId="20" xfId="0" applyNumberFormat="1" applyFont="1" applyFill="1" applyBorder="1"/>
    <xf numFmtId="166" fontId="51" fillId="5" borderId="0" xfId="0" applyNumberFormat="1" applyFont="1" applyFill="1" applyBorder="1"/>
    <xf numFmtId="166" fontId="50" fillId="5" borderId="28" xfId="0" applyNumberFormat="1" applyFont="1" applyFill="1" applyBorder="1"/>
    <xf numFmtId="0" fontId="50" fillId="5" borderId="0" xfId="0" applyFont="1" applyFill="1" applyBorder="1" applyAlignment="1">
      <alignment horizontal="right"/>
    </xf>
    <xf numFmtId="166" fontId="50" fillId="5" borderId="0" xfId="0" applyNumberFormat="1" applyFont="1" applyFill="1" applyBorder="1"/>
    <xf numFmtId="173" fontId="50" fillId="5" borderId="0" xfId="0" applyNumberFormat="1" applyFont="1" applyFill="1" applyBorder="1"/>
    <xf numFmtId="0" fontId="51" fillId="0" borderId="21" xfId="0" applyFont="1" applyFill="1" applyBorder="1"/>
    <xf numFmtId="0" fontId="52" fillId="0" borderId="22" xfId="0" applyFont="1" applyFill="1" applyBorder="1"/>
    <xf numFmtId="0" fontId="51" fillId="0" borderId="22" xfId="0" applyFont="1" applyFill="1" applyBorder="1"/>
    <xf numFmtId="0" fontId="51" fillId="0" borderId="23" xfId="0" applyFont="1" applyFill="1" applyBorder="1"/>
    <xf numFmtId="0" fontId="51" fillId="0" borderId="24" xfId="0" applyFont="1" applyFill="1" applyBorder="1"/>
    <xf numFmtId="0" fontId="51" fillId="0" borderId="25" xfId="0" applyFont="1" applyFill="1" applyBorder="1"/>
    <xf numFmtId="0" fontId="50" fillId="0" borderId="0" xfId="0" applyFont="1" applyFill="1" applyBorder="1" applyAlignment="1">
      <alignment horizontal="center"/>
    </xf>
    <xf numFmtId="0" fontId="52" fillId="0" borderId="0" xfId="0" applyFont="1" applyFill="1" applyBorder="1"/>
    <xf numFmtId="166" fontId="51" fillId="0" borderId="24" xfId="0" applyNumberFormat="1" applyFont="1" applyFill="1" applyBorder="1"/>
    <xf numFmtId="0" fontId="51" fillId="0" borderId="0" xfId="0" applyFont="1" applyFill="1" applyBorder="1" applyAlignment="1">
      <alignment horizontal="right"/>
    </xf>
    <xf numFmtId="0" fontId="51" fillId="0" borderId="0" xfId="0" applyFont="1" applyFill="1" applyBorder="1"/>
    <xf numFmtId="43" fontId="51" fillId="0" borderId="0" xfId="0" applyNumberFormat="1" applyFont="1" applyFill="1" applyBorder="1"/>
    <xf numFmtId="166" fontId="51" fillId="0" borderId="26" xfId="0" applyNumberFormat="1" applyFont="1" applyFill="1" applyBorder="1"/>
    <xf numFmtId="0" fontId="51" fillId="0" borderId="2" xfId="0" applyFont="1" applyFill="1" applyBorder="1"/>
    <xf numFmtId="0" fontId="51" fillId="0" borderId="27" xfId="0" applyFont="1" applyFill="1" applyBorder="1"/>
    <xf numFmtId="43" fontId="0" fillId="0" borderId="0" xfId="0" applyNumberFormat="1" applyFill="1"/>
    <xf numFmtId="0" fontId="55" fillId="0" borderId="21" xfId="0" applyFont="1" applyFill="1" applyBorder="1"/>
    <xf numFmtId="0" fontId="55" fillId="0" borderId="22" xfId="0" applyFont="1" applyFill="1" applyBorder="1" applyAlignment="1">
      <alignment horizontal="center"/>
    </xf>
    <xf numFmtId="4" fontId="51" fillId="0" borderId="0" xfId="0" applyNumberFormat="1" applyFont="1" applyFill="1" applyBorder="1"/>
    <xf numFmtId="0" fontId="55" fillId="0" borderId="0" xfId="0" applyFont="1" applyFill="1" applyBorder="1"/>
    <xf numFmtId="4" fontId="55" fillId="0" borderId="0" xfId="0" applyNumberFormat="1" applyFont="1" applyFill="1" applyBorder="1"/>
    <xf numFmtId="166" fontId="50" fillId="0" borderId="20" xfId="0" applyNumberFormat="1" applyFont="1" applyFill="1" applyBorder="1"/>
    <xf numFmtId="4" fontId="50" fillId="0" borderId="0" xfId="0" applyNumberFormat="1" applyFont="1" applyFill="1" applyBorder="1"/>
    <xf numFmtId="44" fontId="51" fillId="0" borderId="0" xfId="0" applyNumberFormat="1" applyFont="1" applyFill="1" applyBorder="1"/>
    <xf numFmtId="0" fontId="51" fillId="0" borderId="26" xfId="0" applyFont="1" applyFill="1" applyBorder="1"/>
    <xf numFmtId="166" fontId="51" fillId="0" borderId="0" xfId="0" applyNumberFormat="1" applyFont="1" applyFill="1" applyBorder="1"/>
    <xf numFmtId="166" fontId="50" fillId="0" borderId="28" xfId="0" applyNumberFormat="1" applyFont="1" applyFill="1" applyBorder="1"/>
    <xf numFmtId="0" fontId="58" fillId="0" borderId="0" xfId="0" applyFont="1" applyFill="1" applyBorder="1"/>
    <xf numFmtId="42" fontId="0" fillId="0" borderId="0" xfId="0" applyNumberFormat="1" applyFont="1" applyBorder="1"/>
    <xf numFmtId="42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Fill="1" applyBorder="1"/>
    <xf numFmtId="164" fontId="0" fillId="4" borderId="0" xfId="0" applyNumberFormat="1" applyFont="1" applyFill="1" applyBorder="1"/>
    <xf numFmtId="0" fontId="0" fillId="4" borderId="0" xfId="0" applyFont="1" applyFill="1" applyBorder="1"/>
    <xf numFmtId="43" fontId="64" fillId="0" borderId="0" xfId="0" applyNumberFormat="1" applyFont="1"/>
    <xf numFmtId="0" fontId="2" fillId="0" borderId="0" xfId="0" applyFont="1"/>
    <xf numFmtId="0" fontId="64" fillId="0" borderId="0" xfId="0" applyFont="1"/>
    <xf numFmtId="44" fontId="61" fillId="0" borderId="0" xfId="2" applyFont="1" applyFill="1" applyBorder="1"/>
    <xf numFmtId="4" fontId="0" fillId="0" borderId="0" xfId="0" applyNumberFormat="1"/>
    <xf numFmtId="10" fontId="0" fillId="0" borderId="0" xfId="0" applyNumberFormat="1" applyFont="1"/>
    <xf numFmtId="4" fontId="67" fillId="0" borderId="32" xfId="0" applyNumberFormat="1" applyFont="1" applyBorder="1"/>
    <xf numFmtId="0" fontId="67" fillId="0" borderId="32" xfId="0" applyFont="1" applyBorder="1"/>
    <xf numFmtId="4" fontId="66" fillId="0" borderId="32" xfId="1" applyNumberFormat="1" applyFont="1" applyBorder="1" applyAlignment="1">
      <alignment horizontal="center"/>
    </xf>
    <xf numFmtId="0" fontId="66" fillId="0" borderId="32" xfId="0" applyFont="1" applyBorder="1" applyAlignment="1">
      <alignment horizontal="center"/>
    </xf>
    <xf numFmtId="0" fontId="1" fillId="0" borderId="32" xfId="0" applyFont="1" applyBorder="1"/>
    <xf numFmtId="4" fontId="65" fillId="0" borderId="32" xfId="1" applyNumberFormat="1" applyFont="1" applyBorder="1" applyAlignment="1">
      <alignment horizontal="center" wrapText="1"/>
    </xf>
    <xf numFmtId="0" fontId="65" fillId="0" borderId="32" xfId="0" applyFont="1" applyBorder="1" applyAlignment="1">
      <alignment horizontal="center" wrapText="1"/>
    </xf>
    <xf numFmtId="4" fontId="1" fillId="0" borderId="32" xfId="0" applyNumberFormat="1" applyFont="1" applyBorder="1"/>
    <xf numFmtId="4" fontId="64" fillId="0" borderId="32" xfId="1" applyNumberFormat="1" applyFont="1" applyBorder="1"/>
    <xf numFmtId="43" fontId="64" fillId="0" borderId="32" xfId="0" applyNumberFormat="1" applyFont="1" applyBorder="1"/>
    <xf numFmtId="4" fontId="64" fillId="4" borderId="32" xfId="1" applyNumberFormat="1" applyFont="1" applyFill="1" applyBorder="1"/>
    <xf numFmtId="43" fontId="64" fillId="4" borderId="32" xfId="0" applyNumberFormat="1" applyFont="1" applyFill="1" applyBorder="1"/>
    <xf numFmtId="4" fontId="1" fillId="4" borderId="32" xfId="0" applyNumberFormat="1" applyFont="1" applyFill="1" applyBorder="1"/>
    <xf numFmtId="43" fontId="64" fillId="0" borderId="32" xfId="1" applyFont="1" applyBorder="1"/>
    <xf numFmtId="4" fontId="64" fillId="4" borderId="32" xfId="0" applyNumberFormat="1" applyFont="1" applyFill="1" applyBorder="1"/>
    <xf numFmtId="44" fontId="1" fillId="4" borderId="32" xfId="0" applyNumberFormat="1" applyFont="1" applyFill="1" applyBorder="1"/>
    <xf numFmtId="4" fontId="64" fillId="0" borderId="32" xfId="0" applyNumberFormat="1" applyFont="1" applyBorder="1"/>
    <xf numFmtId="2" fontId="64" fillId="0" borderId="32" xfId="0" applyNumberFormat="1" applyFont="1" applyBorder="1"/>
    <xf numFmtId="4" fontId="64" fillId="0" borderId="32" xfId="0" applyNumberFormat="1" applyFont="1" applyFill="1" applyBorder="1"/>
    <xf numFmtId="2" fontId="1" fillId="0" borderId="32" xfId="0" applyNumberFormat="1" applyFont="1" applyBorder="1"/>
    <xf numFmtId="4" fontId="1" fillId="0" borderId="32" xfId="0" applyNumberFormat="1" applyFont="1" applyFill="1" applyBorder="1"/>
    <xf numFmtId="43" fontId="64" fillId="0" borderId="32" xfId="0" applyNumberFormat="1" applyFont="1" applyFill="1" applyBorder="1"/>
    <xf numFmtId="0" fontId="66" fillId="0" borderId="33" xfId="0" applyFont="1" applyBorder="1"/>
    <xf numFmtId="4" fontId="67" fillId="0" borderId="34" xfId="0" applyNumberFormat="1" applyFont="1" applyBorder="1"/>
    <xf numFmtId="0" fontId="67" fillId="0" borderId="34" xfId="0" applyFont="1" applyBorder="1"/>
    <xf numFmtId="0" fontId="67" fillId="0" borderId="35" xfId="0" applyFont="1" applyBorder="1"/>
    <xf numFmtId="0" fontId="66" fillId="0" borderId="36" xfId="0" applyFont="1" applyBorder="1"/>
    <xf numFmtId="0" fontId="67" fillId="0" borderId="37" xfId="0" applyFont="1" applyBorder="1"/>
    <xf numFmtId="0" fontId="66" fillId="0" borderId="37" xfId="0" applyFont="1" applyBorder="1" applyAlignment="1">
      <alignment horizontal="center"/>
    </xf>
    <xf numFmtId="0" fontId="1" fillId="0" borderId="36" xfId="0" applyFont="1" applyBorder="1"/>
    <xf numFmtId="0" fontId="65" fillId="0" borderId="37" xfId="0" applyFont="1" applyBorder="1" applyAlignment="1">
      <alignment horizontal="center" wrapText="1"/>
    </xf>
    <xf numFmtId="0" fontId="65" fillId="0" borderId="36" xfId="0" applyFont="1" applyBorder="1"/>
    <xf numFmtId="0" fontId="1" fillId="0" borderId="37" xfId="0" applyFont="1" applyBorder="1"/>
    <xf numFmtId="0" fontId="64" fillId="0" borderId="36" xfId="0" applyFont="1" applyBorder="1"/>
    <xf numFmtId="43" fontId="64" fillId="0" borderId="37" xfId="0" applyNumberFormat="1" applyFont="1" applyBorder="1"/>
    <xf numFmtId="0" fontId="64" fillId="4" borderId="36" xfId="0" applyFont="1" applyFill="1" applyBorder="1"/>
    <xf numFmtId="43" fontId="64" fillId="4" borderId="37" xfId="0" applyNumberFormat="1" applyFont="1" applyFill="1" applyBorder="1"/>
    <xf numFmtId="0" fontId="64" fillId="0" borderId="36" xfId="0" applyFont="1" applyFill="1" applyBorder="1"/>
    <xf numFmtId="43" fontId="64" fillId="0" borderId="37" xfId="0" applyNumberFormat="1" applyFont="1" applyFill="1" applyBorder="1"/>
    <xf numFmtId="0" fontId="64" fillId="0" borderId="38" xfId="0" applyFont="1" applyBorder="1"/>
    <xf numFmtId="4" fontId="64" fillId="0" borderId="39" xfId="1" applyNumberFormat="1" applyFont="1" applyBorder="1"/>
    <xf numFmtId="43" fontId="64" fillId="0" borderId="39" xfId="0" applyNumberFormat="1" applyFont="1" applyBorder="1"/>
    <xf numFmtId="43" fontId="64" fillId="0" borderId="40" xfId="0" applyNumberFormat="1" applyFont="1" applyBorder="1"/>
    <xf numFmtId="2" fontId="0" fillId="0" borderId="0" xfId="0" applyNumberFormat="1"/>
    <xf numFmtId="2" fontId="0" fillId="0" borderId="0" xfId="0" applyNumberFormat="1" applyFill="1" applyBorder="1"/>
    <xf numFmtId="2" fontId="50" fillId="0" borderId="0" xfId="1" applyNumberFormat="1" applyFont="1" applyBorder="1" applyAlignment="1">
      <alignment horizontal="center"/>
    </xf>
    <xf numFmtId="2" fontId="50" fillId="0" borderId="0" xfId="1" applyNumberFormat="1" applyFont="1" applyBorder="1" applyAlignment="1">
      <alignment horizontal="center" wrapText="1"/>
    </xf>
    <xf numFmtId="3" fontId="0" fillId="0" borderId="0" xfId="0" applyNumberFormat="1"/>
    <xf numFmtId="0" fontId="0" fillId="5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63" fillId="0" borderId="0" xfId="0" applyFont="1" applyAlignment="1">
      <alignment horizontal="left" wrapText="1"/>
    </xf>
    <xf numFmtId="0" fontId="63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1" xfId="0" applyFont="1" applyFill="1" applyBorder="1" applyAlignment="1">
      <alignment horizontal="center" vertical="center" textRotation="90"/>
    </xf>
    <xf numFmtId="0" fontId="58" fillId="5" borderId="0" xfId="0" applyFont="1" applyFill="1" applyBorder="1" applyAlignment="1">
      <alignment horizontal="left"/>
    </xf>
    <xf numFmtId="0" fontId="58" fillId="0" borderId="0" xfId="0" applyFont="1" applyFill="1" applyBorder="1" applyAlignment="1">
      <alignment horizontal="left" wrapText="1"/>
    </xf>
  </cellXfs>
  <cellStyles count="301">
    <cellStyle name="20% - Accent1 2" xfId="40"/>
    <cellStyle name="20% - Accent1 3" xfId="39"/>
    <cellStyle name="20% - Accent2 2" xfId="42"/>
    <cellStyle name="20% - Accent2 3" xfId="41"/>
    <cellStyle name="20% - Accent3 2" xfId="44"/>
    <cellStyle name="20% - Accent3 3" xfId="43"/>
    <cellStyle name="20% - Accent4 2" xfId="46"/>
    <cellStyle name="20% - Accent4 3" xfId="45"/>
    <cellStyle name="20% - Accent5 2" xfId="48"/>
    <cellStyle name="20% - Accent5 3" xfId="47"/>
    <cellStyle name="20% - Accent6 2" xfId="50"/>
    <cellStyle name="20% - Accent6 3" xfId="49"/>
    <cellStyle name="40% - Accent1 2" xfId="52"/>
    <cellStyle name="40% - Accent1 3" xfId="51"/>
    <cellStyle name="40% - Accent2 2" xfId="54"/>
    <cellStyle name="40% - Accent2 3" xfId="53"/>
    <cellStyle name="40% - Accent3 2" xfId="56"/>
    <cellStyle name="40% - Accent3 3" xfId="55"/>
    <cellStyle name="40% - Accent4 2" xfId="58"/>
    <cellStyle name="40% - Accent4 3" xfId="57"/>
    <cellStyle name="40% - Accent5 2" xfId="60"/>
    <cellStyle name="40% - Accent5 3" xfId="59"/>
    <cellStyle name="40% - Accent6 2" xfId="62"/>
    <cellStyle name="40% - Accent6 3" xfId="61"/>
    <cellStyle name="60% - Accent1 2" xfId="64"/>
    <cellStyle name="60% - Accent1 3" xfId="63"/>
    <cellStyle name="60% - Accent2 2" xfId="66"/>
    <cellStyle name="60% - Accent2 3" xfId="65"/>
    <cellStyle name="60% - Accent3 2" xfId="68"/>
    <cellStyle name="60% - Accent3 3" xfId="67"/>
    <cellStyle name="60% - Accent4 2" xfId="70"/>
    <cellStyle name="60% - Accent4 3" xfId="69"/>
    <cellStyle name="60% - Accent5 2" xfId="72"/>
    <cellStyle name="60% - Accent5 3" xfId="71"/>
    <cellStyle name="60% - Accent6 2" xfId="74"/>
    <cellStyle name="60% - Accent6 3" xfId="73"/>
    <cellStyle name="Accent1 2" xfId="76"/>
    <cellStyle name="Accent1 3" xfId="75"/>
    <cellStyle name="Accent2 2" xfId="78"/>
    <cellStyle name="Accent2 3" xfId="77"/>
    <cellStyle name="Accent3 2" xfId="80"/>
    <cellStyle name="Accent3 3" xfId="79"/>
    <cellStyle name="Accent4 2" xfId="82"/>
    <cellStyle name="Accent4 3" xfId="81"/>
    <cellStyle name="Accent5 2" xfId="84"/>
    <cellStyle name="Accent5 3" xfId="83"/>
    <cellStyle name="Accent6 2" xfId="86"/>
    <cellStyle name="Accent6 3" xfId="85"/>
    <cellStyle name="Accounting" xfId="87"/>
    <cellStyle name="Accounting 2" xfId="88"/>
    <cellStyle name="Accounting 3" xfId="89"/>
    <cellStyle name="Accounting_2011-11" xfId="90"/>
    <cellStyle name="Bad 2" xfId="92"/>
    <cellStyle name="Bad 3" xfId="91"/>
    <cellStyle name="Budget" xfId="93"/>
    <cellStyle name="Budget 2" xfId="94"/>
    <cellStyle name="Budget 3" xfId="95"/>
    <cellStyle name="Budget_2011-11" xfId="96"/>
    <cellStyle name="Calculation 2" xfId="98"/>
    <cellStyle name="Calculation 3" xfId="97"/>
    <cellStyle name="Check Cell 2" xfId="100"/>
    <cellStyle name="Check Cell 3" xfId="99"/>
    <cellStyle name="combo" xfId="101"/>
    <cellStyle name="Comma" xfId="1" builtinId="3"/>
    <cellStyle name="Comma 10" xfId="103"/>
    <cellStyle name="Comma 11" xfId="104"/>
    <cellStyle name="Comma 12" xfId="102"/>
    <cellStyle name="Comma 12 2" xfId="277"/>
    <cellStyle name="Comma 12 3" xfId="283"/>
    <cellStyle name="Comma 13" xfId="284"/>
    <cellStyle name="Comma 14" xfId="285"/>
    <cellStyle name="Comma 15" xfId="286"/>
    <cellStyle name="Comma 16" xfId="287"/>
    <cellStyle name="Comma 2" xfId="5"/>
    <cellStyle name="Comma 2 2" xfId="6"/>
    <cellStyle name="Comma 2 3" xfId="105"/>
    <cellStyle name="Comma 2 6" xfId="7"/>
    <cellStyle name="Comma 2 6 2" xfId="8"/>
    <cellStyle name="Comma 3" xfId="9"/>
    <cellStyle name="Comma 3 2" xfId="106"/>
    <cellStyle name="Comma 3 2 2" xfId="107"/>
    <cellStyle name="Comma 3 3" xfId="288"/>
    <cellStyle name="Comma 4" xfId="108"/>
    <cellStyle name="Comma 4 2" xfId="109"/>
    <cellStyle name="Comma 4 2 2" xfId="289"/>
    <cellStyle name="Comma 4 3" xfId="110"/>
    <cellStyle name="Comma 4 3 2" xfId="290"/>
    <cellStyle name="Comma 4 4" xfId="291"/>
    <cellStyle name="Comma 4 5" xfId="111"/>
    <cellStyle name="Comma 4 6" xfId="281"/>
    <cellStyle name="Comma 5" xfId="112"/>
    <cellStyle name="Comma 6" xfId="113"/>
    <cellStyle name="Comma 7" xfId="114"/>
    <cellStyle name="Comma 8" xfId="115"/>
    <cellStyle name="Comma 9" xfId="116"/>
    <cellStyle name="Comma(2)" xfId="117"/>
    <cellStyle name="Comma0 - Style2" xfId="118"/>
    <cellStyle name="Comma1 - Style1" xfId="119"/>
    <cellStyle name="Comments" xfId="120"/>
    <cellStyle name="Currency" xfId="2" builtinId="4"/>
    <cellStyle name="Currency 2" xfId="10"/>
    <cellStyle name="Currency 2 2" xfId="11"/>
    <cellStyle name="Currency 2 2 2" xfId="123"/>
    <cellStyle name="Currency 2 3" xfId="122"/>
    <cellStyle name="Currency 2 6" xfId="12"/>
    <cellStyle name="Currency 2 6 2" xfId="13"/>
    <cellStyle name="Currency 3" xfId="14"/>
    <cellStyle name="Currency 3 2" xfId="125"/>
    <cellStyle name="Currency 3 3" xfId="124"/>
    <cellStyle name="Currency 3 4" xfId="292"/>
    <cellStyle name="Currency 4" xfId="15"/>
    <cellStyle name="Currency 4 2" xfId="16"/>
    <cellStyle name="Currency 5" xfId="121"/>
    <cellStyle name="Currency 5 2" xfId="276"/>
    <cellStyle name="Currency 5 3" xfId="293"/>
    <cellStyle name="Currency 6" xfId="294"/>
    <cellStyle name="Currency 7" xfId="295"/>
    <cellStyle name="Data Enter" xfId="126"/>
    <cellStyle name="Explanatory Text 2" xfId="128"/>
    <cellStyle name="Explanatory Text 3" xfId="127"/>
    <cellStyle name="FactSheet" xfId="129"/>
    <cellStyle name="Good 2" xfId="131"/>
    <cellStyle name="Good 3" xfId="130"/>
    <cellStyle name="Heading 1 2" xfId="133"/>
    <cellStyle name="Heading 1 3" xfId="132"/>
    <cellStyle name="Heading 2 2" xfId="135"/>
    <cellStyle name="Heading 2 3" xfId="134"/>
    <cellStyle name="Heading 3 2" xfId="137"/>
    <cellStyle name="Heading 3 3" xfId="136"/>
    <cellStyle name="Heading 4 2" xfId="139"/>
    <cellStyle name="Heading 4 3" xfId="138"/>
    <cellStyle name="Hyperlink 2" xfId="140"/>
    <cellStyle name="Hyperlink 3" xfId="141"/>
    <cellStyle name="Hyperlink 3 2" xfId="296"/>
    <cellStyle name="Input 2" xfId="143"/>
    <cellStyle name="Input 3" xfId="142"/>
    <cellStyle name="input(0)" xfId="144"/>
    <cellStyle name="Input(2)" xfId="145"/>
    <cellStyle name="Linked Cell 2" xfId="147"/>
    <cellStyle name="Linked Cell 3" xfId="146"/>
    <cellStyle name="Neutral 2" xfId="149"/>
    <cellStyle name="Neutral 3" xfId="148"/>
    <cellStyle name="New_normal" xfId="150"/>
    <cellStyle name="Normal" xfId="0" builtinId="0"/>
    <cellStyle name="Normal - Style1" xfId="151"/>
    <cellStyle name="Normal - Style2" xfId="152"/>
    <cellStyle name="Normal - Style3" xfId="153"/>
    <cellStyle name="Normal - Style4" xfId="154"/>
    <cellStyle name="Normal - Style5" xfId="155"/>
    <cellStyle name="Normal 10" xfId="156"/>
    <cellStyle name="Normal 10 2" xfId="17"/>
    <cellStyle name="Normal 11" xfId="157"/>
    <cellStyle name="Normal 12" xfId="158"/>
    <cellStyle name="Normal 13" xfId="159"/>
    <cellStyle name="Normal 14" xfId="160"/>
    <cellStyle name="Normal 15" xfId="161"/>
    <cellStyle name="Normal 16" xfId="162"/>
    <cellStyle name="Normal 17" xfId="163"/>
    <cellStyle name="Normal 18" xfId="164"/>
    <cellStyle name="Normal 19" xfId="165"/>
    <cellStyle name="Normal 2" xfId="18"/>
    <cellStyle name="Normal 2 2" xfId="19"/>
    <cellStyle name="Normal 2 2 2" xfId="167"/>
    <cellStyle name="Normal 2 2 3" xfId="166"/>
    <cellStyle name="Normal 2 2_Actual_Fuel" xfId="168"/>
    <cellStyle name="Normal 2 3" xfId="169"/>
    <cellStyle name="Normal 2 3 2" xfId="170"/>
    <cellStyle name="Normal 2 3 3" xfId="297"/>
    <cellStyle name="Normal 2 4" xfId="298"/>
    <cellStyle name="Normal 2 5" xfId="299"/>
    <cellStyle name="Normal 2_2012-10" xfId="171"/>
    <cellStyle name="Normal 20" xfId="172"/>
    <cellStyle name="Normal 21" xfId="173"/>
    <cellStyle name="Normal 22" xfId="174"/>
    <cellStyle name="Normal 23" xfId="175"/>
    <cellStyle name="Normal 24" xfId="176"/>
    <cellStyle name="Normal 25" xfId="177"/>
    <cellStyle name="Normal 26" xfId="178"/>
    <cellStyle name="Normal 27" xfId="179"/>
    <cellStyle name="Normal 28" xfId="180"/>
    <cellStyle name="Normal 29" xfId="181"/>
    <cellStyle name="Normal 3" xfId="20"/>
    <cellStyle name="Normal 3 2" xfId="183"/>
    <cellStyle name="Normal 3 3" xfId="182"/>
    <cellStyle name="Normal 3 4" xfId="282"/>
    <cellStyle name="Normal 3_2012 PR" xfId="184"/>
    <cellStyle name="Normal 30" xfId="185"/>
    <cellStyle name="Normal 31" xfId="186"/>
    <cellStyle name="Normal 32" xfId="187"/>
    <cellStyle name="Normal 33" xfId="188"/>
    <cellStyle name="Normal 34" xfId="189"/>
    <cellStyle name="Normal 35" xfId="190"/>
    <cellStyle name="Normal 36" xfId="191"/>
    <cellStyle name="Normal 37" xfId="192"/>
    <cellStyle name="Normal 38" xfId="193"/>
    <cellStyle name="Normal 39" xfId="194"/>
    <cellStyle name="Normal 4" xfId="21"/>
    <cellStyle name="Normal 4 2" xfId="195"/>
    <cellStyle name="Normal 40" xfId="196"/>
    <cellStyle name="Normal 41" xfId="197"/>
    <cellStyle name="Normal 42" xfId="198"/>
    <cellStyle name="Normal 43" xfId="199"/>
    <cellStyle name="Normal 44" xfId="200"/>
    <cellStyle name="Normal 45" xfId="201"/>
    <cellStyle name="Normal 46" xfId="202"/>
    <cellStyle name="Normal 47" xfId="203"/>
    <cellStyle name="Normal 48" xfId="204"/>
    <cellStyle name="Normal 49" xfId="205"/>
    <cellStyle name="Normal 5" xfId="22"/>
    <cellStyle name="Normal 5 2" xfId="206"/>
    <cellStyle name="Normal 5_2183 UTC Depreciation 3 31 2012 Heather 6-6-2012" xfId="300"/>
    <cellStyle name="Normal 50" xfId="207"/>
    <cellStyle name="Normal 51" xfId="208"/>
    <cellStyle name="Normal 52" xfId="209"/>
    <cellStyle name="Normal 53" xfId="210"/>
    <cellStyle name="Normal 54" xfId="211"/>
    <cellStyle name="Normal 55" xfId="212"/>
    <cellStyle name="Normal 56" xfId="213"/>
    <cellStyle name="Normal 57" xfId="214"/>
    <cellStyle name="Normal 58" xfId="215"/>
    <cellStyle name="Normal 59" xfId="216"/>
    <cellStyle name="Normal 6" xfId="23"/>
    <cellStyle name="Normal 6 2" xfId="217"/>
    <cellStyle name="Normal 60" xfId="218"/>
    <cellStyle name="Normal 61" xfId="219"/>
    <cellStyle name="Normal 62" xfId="220"/>
    <cellStyle name="Normal 63" xfId="221"/>
    <cellStyle name="Normal 64" xfId="222"/>
    <cellStyle name="Normal 65" xfId="223"/>
    <cellStyle name="Normal 66" xfId="224"/>
    <cellStyle name="Normal 67" xfId="225"/>
    <cellStyle name="Normal 68" xfId="226"/>
    <cellStyle name="Normal 69" xfId="227"/>
    <cellStyle name="Normal 7" xfId="228"/>
    <cellStyle name="Normal 70" xfId="229"/>
    <cellStyle name="Normal 71" xfId="230"/>
    <cellStyle name="Normal 72" xfId="231"/>
    <cellStyle name="Normal 73" xfId="232"/>
    <cellStyle name="Normal 74" xfId="233"/>
    <cellStyle name="Normal 75" xfId="234"/>
    <cellStyle name="Normal 76" xfId="235"/>
    <cellStyle name="Normal 77" xfId="236"/>
    <cellStyle name="Normal 78" xfId="237"/>
    <cellStyle name="Normal 79" xfId="238"/>
    <cellStyle name="Normal 8" xfId="239"/>
    <cellStyle name="Normal 80" xfId="240"/>
    <cellStyle name="Normal 81" xfId="241"/>
    <cellStyle name="Normal 82" xfId="242"/>
    <cellStyle name="Normal 83" xfId="243"/>
    <cellStyle name="Normal 84" xfId="38"/>
    <cellStyle name="Normal 84 2" xfId="278"/>
    <cellStyle name="Normal 85" xfId="252"/>
    <cellStyle name="Normal 86" xfId="270"/>
    <cellStyle name="Normal 87" xfId="271"/>
    <cellStyle name="Normal 88" xfId="272"/>
    <cellStyle name="Normal 89" xfId="273"/>
    <cellStyle name="Normal 9" xfId="244"/>
    <cellStyle name="Normal 90" xfId="274"/>
    <cellStyle name="Normal 91" xfId="279"/>
    <cellStyle name="Normal_Price out" xfId="4"/>
    <cellStyle name="Normal_Regulated Price Out 9-6-2011 Final HL" xfId="280"/>
    <cellStyle name="Note 2" xfId="246"/>
    <cellStyle name="Note 3" xfId="245"/>
    <cellStyle name="Notes" xfId="247"/>
    <cellStyle name="Output 2" xfId="249"/>
    <cellStyle name="Output 3" xfId="248"/>
    <cellStyle name="Percent" xfId="3" builtinId="5"/>
    <cellStyle name="Percent 2" xfId="24"/>
    <cellStyle name="Percent 2 2" xfId="25"/>
    <cellStyle name="Percent 2 2 2" xfId="251"/>
    <cellStyle name="Percent 2 6" xfId="26"/>
    <cellStyle name="Percent 3" xfId="27"/>
    <cellStyle name="Percent 3 2" xfId="28"/>
    <cellStyle name="Percent 4" xfId="29"/>
    <cellStyle name="Percent 5" xfId="253"/>
    <cellStyle name="Percent 6" xfId="254"/>
    <cellStyle name="Percent 7" xfId="250"/>
    <cellStyle name="Percent 7 2" xfId="275"/>
    <cellStyle name="Percent(1)" xfId="255"/>
    <cellStyle name="Percent(2)" xfId="256"/>
    <cellStyle name="PRM" xfId="257"/>
    <cellStyle name="PRM 2" xfId="258"/>
    <cellStyle name="PRM 3" xfId="259"/>
    <cellStyle name="PRM_2011-11" xfId="260"/>
    <cellStyle name="PS_Comma" xfId="30"/>
    <cellStyle name="PSChar" xfId="31"/>
    <cellStyle name="PSDate" xfId="32"/>
    <cellStyle name="PSDec" xfId="33"/>
    <cellStyle name="PSHeading" xfId="34"/>
    <cellStyle name="PSInt" xfId="35"/>
    <cellStyle name="PSSpacer" xfId="36"/>
    <cellStyle name="Style 1" xfId="261"/>
    <cellStyle name="Style 1 2" xfId="262"/>
    <cellStyle name="STYLE1" xfId="263"/>
    <cellStyle name="Title 2" xfId="265"/>
    <cellStyle name="Title 3" xfId="264"/>
    <cellStyle name="Total 2" xfId="267"/>
    <cellStyle name="Total 3" xfId="266"/>
    <cellStyle name="Warning Text 2" xfId="269"/>
    <cellStyle name="Warning Text 3" xfId="268"/>
    <cellStyle name="WM_STANDARD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71"/>
  <sheetViews>
    <sheetView workbookViewId="0">
      <selection activeCell="B9" sqref="B9"/>
    </sheetView>
  </sheetViews>
  <sheetFormatPr defaultColWidth="9.1796875" defaultRowHeight="14.5" x14ac:dyDescent="0.35"/>
  <cols>
    <col min="1" max="1" width="36.26953125" style="8" bestFit="1" customWidth="1"/>
    <col min="2" max="2" width="19" style="8" bestFit="1" customWidth="1"/>
    <col min="3" max="3" width="16" style="8" bestFit="1" customWidth="1"/>
    <col min="4" max="4" width="10.54296875" style="8" bestFit="1" customWidth="1"/>
    <col min="5" max="5" width="7" style="8" bestFit="1" customWidth="1"/>
    <col min="6" max="6" width="11.453125" style="8" bestFit="1" customWidth="1"/>
    <col min="7" max="7" width="10" style="8" bestFit="1" customWidth="1"/>
    <col min="8" max="8" width="8" style="8" bestFit="1" customWidth="1"/>
    <col min="9" max="9" width="15.81640625" style="8" bestFit="1" customWidth="1"/>
    <col min="10" max="10" width="12" style="8" bestFit="1" customWidth="1"/>
    <col min="11" max="16384" width="9.1796875" style="8"/>
  </cols>
  <sheetData>
    <row r="1" spans="1:8" s="47" customFormat="1" ht="32.25" customHeight="1" x14ac:dyDescent="0.35">
      <c r="A1" s="284" t="s">
        <v>413</v>
      </c>
      <c r="B1" s="284"/>
      <c r="C1" s="284"/>
      <c r="D1" s="284"/>
      <c r="E1" s="284"/>
      <c r="F1" s="284"/>
      <c r="G1" s="284"/>
      <c r="H1" s="284"/>
    </row>
    <row r="2" spans="1:8" s="47" customFormat="1" x14ac:dyDescent="0.35"/>
    <row r="3" spans="1:8" x14ac:dyDescent="0.35">
      <c r="A3" s="281" t="s">
        <v>19</v>
      </c>
      <c r="B3" s="281"/>
      <c r="C3" s="281"/>
      <c r="D3" s="281"/>
      <c r="E3" s="281"/>
      <c r="F3" s="281"/>
      <c r="G3" s="281"/>
      <c r="H3" s="281"/>
    </row>
    <row r="4" spans="1:8" x14ac:dyDescent="0.35">
      <c r="A4" s="8" t="s">
        <v>64</v>
      </c>
      <c r="B4" s="29" t="s">
        <v>50</v>
      </c>
      <c r="C4" s="29" t="s">
        <v>51</v>
      </c>
      <c r="D4" s="29" t="s">
        <v>52</v>
      </c>
      <c r="E4" s="30" t="s">
        <v>55</v>
      </c>
      <c r="F4" s="30" t="s">
        <v>56</v>
      </c>
      <c r="G4" s="30" t="s">
        <v>57</v>
      </c>
      <c r="H4" s="29" t="s">
        <v>60</v>
      </c>
    </row>
    <row r="5" spans="1:8" x14ac:dyDescent="0.35">
      <c r="A5" s="8" t="s">
        <v>61</v>
      </c>
      <c r="B5" s="1">
        <f>52*5/12</f>
        <v>21.666666666666668</v>
      </c>
      <c r="C5" s="31">
        <f>$B$5*2</f>
        <v>43.333333333333336</v>
      </c>
      <c r="D5" s="31">
        <f>$B$5*3</f>
        <v>65</v>
      </c>
      <c r="E5" s="31">
        <f>$B$5*4</f>
        <v>86.666666666666671</v>
      </c>
      <c r="F5" s="31">
        <f>$B$5*5</f>
        <v>108.33333333333334</v>
      </c>
      <c r="G5" s="31">
        <f>$B$5*6</f>
        <v>130</v>
      </c>
      <c r="H5" s="31">
        <f>$B$5*7</f>
        <v>151.66666666666669</v>
      </c>
    </row>
    <row r="6" spans="1:8" x14ac:dyDescent="0.35">
      <c r="A6" s="8" t="s">
        <v>100</v>
      </c>
      <c r="B6" s="1">
        <f>52*4/12</f>
        <v>17.333333333333332</v>
      </c>
      <c r="C6" s="31">
        <f>$B$6*2</f>
        <v>34.666666666666664</v>
      </c>
      <c r="D6" s="31">
        <f>$B$6*3</f>
        <v>52</v>
      </c>
      <c r="E6" s="31">
        <f>$B$6*4</f>
        <v>69.333333333333329</v>
      </c>
      <c r="F6" s="31">
        <f>$B$6*5</f>
        <v>86.666666666666657</v>
      </c>
      <c r="G6" s="31">
        <f>$B$6*6</f>
        <v>104</v>
      </c>
      <c r="H6" s="31">
        <f>$B$6*7</f>
        <v>121.33333333333333</v>
      </c>
    </row>
    <row r="7" spans="1:8" x14ac:dyDescent="0.35">
      <c r="A7" s="8" t="s">
        <v>62</v>
      </c>
      <c r="B7" s="1">
        <f>52*3/12</f>
        <v>13</v>
      </c>
      <c r="C7" s="31">
        <f>$B$7*2</f>
        <v>26</v>
      </c>
      <c r="D7" s="31">
        <f>$B$7*3</f>
        <v>39</v>
      </c>
      <c r="E7" s="31">
        <f>$B$7*4</f>
        <v>52</v>
      </c>
      <c r="F7" s="31">
        <f>$B$7*5</f>
        <v>65</v>
      </c>
      <c r="G7" s="31">
        <f>$B$7*6</f>
        <v>78</v>
      </c>
      <c r="H7" s="31">
        <f>$B$7*7</f>
        <v>91</v>
      </c>
    </row>
    <row r="8" spans="1:8" x14ac:dyDescent="0.35">
      <c r="A8" s="8" t="s">
        <v>63</v>
      </c>
      <c r="B8" s="1">
        <f>52*2/12</f>
        <v>8.6666666666666661</v>
      </c>
      <c r="C8" s="32">
        <f>$B$8*2</f>
        <v>17.333333333333332</v>
      </c>
      <c r="D8" s="32">
        <f>$B$8*3</f>
        <v>26</v>
      </c>
      <c r="E8" s="32">
        <f>$B$8*4</f>
        <v>34.666666666666664</v>
      </c>
      <c r="F8" s="32">
        <f>$B$8*5</f>
        <v>43.333333333333329</v>
      </c>
      <c r="G8" s="32">
        <f>$B$8*6</f>
        <v>52</v>
      </c>
      <c r="H8" s="32">
        <f>$B$8*7</f>
        <v>60.666666666666664</v>
      </c>
    </row>
    <row r="9" spans="1:8" x14ac:dyDescent="0.35">
      <c r="A9" s="8" t="s">
        <v>22</v>
      </c>
      <c r="B9" s="1">
        <f>52/12</f>
        <v>4.333333333333333</v>
      </c>
      <c r="C9" s="32">
        <f>$B$9*2</f>
        <v>8.6666666666666661</v>
      </c>
      <c r="D9" s="32">
        <f>$B$9*3</f>
        <v>13</v>
      </c>
      <c r="E9" s="32">
        <f>$B$9*4</f>
        <v>17.333333333333332</v>
      </c>
      <c r="F9" s="32">
        <f>$B$9*5</f>
        <v>21.666666666666664</v>
      </c>
      <c r="G9" s="32">
        <f>$B$9*6</f>
        <v>26</v>
      </c>
      <c r="H9" s="32">
        <f>$B$9*7</f>
        <v>30.333333333333332</v>
      </c>
    </row>
    <row r="10" spans="1:8" x14ac:dyDescent="0.35">
      <c r="A10" s="8" t="s">
        <v>24</v>
      </c>
      <c r="B10" s="111">
        <f>26/12</f>
        <v>2.1666666666666665</v>
      </c>
      <c r="C10" s="32">
        <f>$B$10*2</f>
        <v>4.333333333333333</v>
      </c>
      <c r="D10" s="32">
        <f>$B$10*3</f>
        <v>6.5</v>
      </c>
      <c r="E10" s="32">
        <f>$B$10*4</f>
        <v>8.6666666666666661</v>
      </c>
      <c r="F10" s="32">
        <f>$B$10*5</f>
        <v>10.833333333333332</v>
      </c>
      <c r="G10" s="32">
        <f>$B$10*6</f>
        <v>13</v>
      </c>
      <c r="H10" s="32">
        <f>$B$10*7</f>
        <v>15.166666666666666</v>
      </c>
    </row>
    <row r="11" spans="1:8" x14ac:dyDescent="0.35">
      <c r="A11" s="8" t="s">
        <v>23</v>
      </c>
      <c r="B11" s="1">
        <f>12/12</f>
        <v>1</v>
      </c>
      <c r="C11" s="32">
        <f>$B$11*2</f>
        <v>2</v>
      </c>
      <c r="D11" s="32">
        <f>$B$11*3</f>
        <v>3</v>
      </c>
      <c r="E11" s="32">
        <f>$B$11*4</f>
        <v>4</v>
      </c>
      <c r="F11" s="32">
        <f>$B$11*5</f>
        <v>5</v>
      </c>
      <c r="G11" s="32">
        <f>$B$11*6</f>
        <v>6</v>
      </c>
      <c r="H11" s="32">
        <f>$B$11*7</f>
        <v>7</v>
      </c>
    </row>
    <row r="12" spans="1:8" x14ac:dyDescent="0.35">
      <c r="B12" s="1"/>
      <c r="C12" s="32"/>
      <c r="D12" s="32"/>
      <c r="E12" s="32"/>
      <c r="F12" s="32"/>
      <c r="G12" s="32"/>
      <c r="H12" s="32"/>
    </row>
    <row r="13" spans="1:8" x14ac:dyDescent="0.35">
      <c r="A13" s="281" t="s">
        <v>11</v>
      </c>
      <c r="B13" s="281"/>
      <c r="C13" s="51"/>
      <c r="D13" s="32"/>
      <c r="E13" s="32"/>
      <c r="F13" s="32"/>
      <c r="G13" s="32"/>
      <c r="H13" s="32"/>
    </row>
    <row r="14" spans="1:8" x14ac:dyDescent="0.35">
      <c r="A14" s="49" t="s">
        <v>59</v>
      </c>
      <c r="B14" s="53" t="s">
        <v>89</v>
      </c>
      <c r="C14" s="51"/>
      <c r="D14" s="32"/>
      <c r="E14" s="32"/>
      <c r="F14" s="32"/>
      <c r="G14" s="32"/>
      <c r="H14" s="32"/>
    </row>
    <row r="15" spans="1:8" x14ac:dyDescent="0.35">
      <c r="A15" s="52" t="s">
        <v>90</v>
      </c>
      <c r="B15" s="50">
        <v>20</v>
      </c>
      <c r="C15" s="51"/>
      <c r="D15" s="32"/>
      <c r="E15" s="32"/>
      <c r="F15" s="32"/>
      <c r="G15" s="32"/>
      <c r="H15" s="32"/>
    </row>
    <row r="16" spans="1:8" x14ac:dyDescent="0.35">
      <c r="A16" s="52" t="s">
        <v>65</v>
      </c>
      <c r="B16" s="50">
        <v>34</v>
      </c>
      <c r="C16" s="51"/>
      <c r="D16" s="32"/>
      <c r="E16" s="32"/>
      <c r="F16" s="32"/>
      <c r="G16" s="32"/>
      <c r="H16" s="32"/>
    </row>
    <row r="17" spans="1:8" x14ac:dyDescent="0.35">
      <c r="A17" s="52" t="s">
        <v>66</v>
      </c>
      <c r="B17" s="50">
        <v>51</v>
      </c>
      <c r="C17" s="51"/>
      <c r="D17" s="32"/>
      <c r="E17" s="32"/>
      <c r="F17" s="32"/>
      <c r="G17" s="32"/>
      <c r="H17" s="32"/>
    </row>
    <row r="18" spans="1:8" x14ac:dyDescent="0.35">
      <c r="A18" s="52" t="s">
        <v>67</v>
      </c>
      <c r="B18" s="50">
        <v>77</v>
      </c>
      <c r="C18" s="51"/>
      <c r="D18" s="32"/>
      <c r="E18" s="32"/>
      <c r="F18" s="8" t="s">
        <v>20</v>
      </c>
      <c r="G18" s="16">
        <v>2000</v>
      </c>
      <c r="H18" s="32"/>
    </row>
    <row r="19" spans="1:8" x14ac:dyDescent="0.35">
      <c r="A19" s="52" t="s">
        <v>68</v>
      </c>
      <c r="B19" s="50">
        <v>97</v>
      </c>
      <c r="C19" s="51"/>
      <c r="D19" s="32"/>
      <c r="E19" s="32"/>
      <c r="F19" s="8" t="s">
        <v>21</v>
      </c>
      <c r="G19" s="34" t="s">
        <v>53</v>
      </c>
      <c r="H19" s="32"/>
    </row>
    <row r="20" spans="1:8" x14ac:dyDescent="0.35">
      <c r="A20" s="52" t="s">
        <v>69</v>
      </c>
      <c r="B20" s="50">
        <v>117</v>
      </c>
      <c r="C20" s="51"/>
      <c r="D20" s="32"/>
      <c r="E20" s="32"/>
      <c r="H20" s="32"/>
    </row>
    <row r="21" spans="1:8" x14ac:dyDescent="0.35">
      <c r="A21" s="52" t="s">
        <v>70</v>
      </c>
      <c r="B21" s="50">
        <v>157</v>
      </c>
      <c r="C21" s="51"/>
      <c r="D21" s="32"/>
      <c r="E21" s="32"/>
      <c r="F21" s="20"/>
      <c r="G21" s="21"/>
      <c r="H21" s="32"/>
    </row>
    <row r="22" spans="1:8" s="47" customFormat="1" x14ac:dyDescent="0.35">
      <c r="A22" s="52" t="s">
        <v>268</v>
      </c>
      <c r="B22" s="50">
        <v>37</v>
      </c>
      <c r="C22" s="51" t="s">
        <v>269</v>
      </c>
      <c r="D22" s="51"/>
      <c r="E22" s="51"/>
      <c r="F22" s="20"/>
      <c r="G22" s="21"/>
      <c r="H22" s="51"/>
    </row>
    <row r="23" spans="1:8" x14ac:dyDescent="0.35">
      <c r="A23" s="52" t="s">
        <v>71</v>
      </c>
      <c r="B23" s="50">
        <v>47</v>
      </c>
      <c r="C23" s="51"/>
      <c r="D23" s="32"/>
      <c r="E23" s="32"/>
      <c r="F23" s="32"/>
      <c r="G23" s="32"/>
      <c r="H23" s="32"/>
    </row>
    <row r="24" spans="1:8" x14ac:dyDescent="0.35">
      <c r="A24" s="52" t="s">
        <v>72</v>
      </c>
      <c r="B24" s="50">
        <v>68</v>
      </c>
      <c r="C24" s="51"/>
      <c r="D24" s="32"/>
      <c r="E24" s="32"/>
      <c r="F24" s="32"/>
      <c r="G24" s="32"/>
      <c r="H24" s="32"/>
    </row>
    <row r="25" spans="1:8" x14ac:dyDescent="0.35">
      <c r="A25" s="52" t="s">
        <v>73</v>
      </c>
      <c r="B25" s="50">
        <v>34</v>
      </c>
      <c r="C25" s="51"/>
      <c r="D25" s="32"/>
      <c r="E25" s="32"/>
      <c r="F25" s="32"/>
      <c r="G25" s="32"/>
      <c r="H25" s="32"/>
    </row>
    <row r="26" spans="1:8" x14ac:dyDescent="0.35">
      <c r="A26" s="52" t="s">
        <v>32</v>
      </c>
      <c r="B26" s="50">
        <v>34</v>
      </c>
      <c r="C26" s="51"/>
      <c r="D26" s="32"/>
      <c r="E26" s="32"/>
      <c r="F26" s="32"/>
      <c r="G26" s="32"/>
      <c r="H26" s="32"/>
    </row>
    <row r="27" spans="1:8" x14ac:dyDescent="0.35">
      <c r="A27" s="49" t="s">
        <v>74</v>
      </c>
      <c r="B27" s="50"/>
      <c r="C27" s="51"/>
      <c r="D27" s="32"/>
      <c r="E27" s="32"/>
      <c r="F27" s="32"/>
      <c r="G27" s="32"/>
      <c r="H27" s="32"/>
    </row>
    <row r="28" spans="1:8" x14ac:dyDescent="0.35">
      <c r="A28" s="52" t="s">
        <v>75</v>
      </c>
      <c r="B28" s="50">
        <v>29</v>
      </c>
      <c r="C28" s="51"/>
      <c r="D28" s="32"/>
      <c r="E28" s="32"/>
      <c r="F28" s="32"/>
      <c r="G28" s="32"/>
      <c r="H28" s="32"/>
    </row>
    <row r="29" spans="1:8" x14ac:dyDescent="0.35">
      <c r="A29" s="52" t="s">
        <v>76</v>
      </c>
      <c r="B29" s="50">
        <v>175</v>
      </c>
      <c r="C29" s="51"/>
      <c r="D29" s="32"/>
      <c r="E29" s="32"/>
      <c r="F29" s="32"/>
      <c r="G29" s="32"/>
      <c r="H29" s="32"/>
    </row>
    <row r="30" spans="1:8" x14ac:dyDescent="0.35">
      <c r="A30" s="52" t="s">
        <v>77</v>
      </c>
      <c r="B30" s="50">
        <v>250</v>
      </c>
      <c r="C30" s="51"/>
      <c r="D30" s="32"/>
      <c r="E30" s="32"/>
      <c r="F30" s="32"/>
      <c r="G30" s="32"/>
      <c r="H30" s="32"/>
    </row>
    <row r="31" spans="1:8" s="47" customFormat="1" x14ac:dyDescent="0.35">
      <c r="A31" s="52" t="s">
        <v>111</v>
      </c>
      <c r="B31" s="50">
        <v>375</v>
      </c>
      <c r="C31" s="51" t="s">
        <v>91</v>
      </c>
      <c r="D31" s="51"/>
      <c r="E31" s="51"/>
      <c r="F31" s="51"/>
      <c r="G31" s="51"/>
      <c r="H31" s="51"/>
    </row>
    <row r="32" spans="1:8" x14ac:dyDescent="0.35">
      <c r="A32" s="52" t="s">
        <v>78</v>
      </c>
      <c r="B32" s="50">
        <v>324</v>
      </c>
      <c r="C32" s="51"/>
      <c r="D32" s="32"/>
      <c r="E32" s="32"/>
      <c r="F32" s="32"/>
      <c r="G32" s="32"/>
      <c r="H32" s="32"/>
    </row>
    <row r="33" spans="1:8" x14ac:dyDescent="0.35">
      <c r="A33" s="52" t="s">
        <v>79</v>
      </c>
      <c r="B33" s="50">
        <v>473</v>
      </c>
      <c r="C33" s="51"/>
      <c r="D33" s="32"/>
      <c r="E33" s="32"/>
      <c r="F33" s="32"/>
      <c r="G33" s="32"/>
      <c r="H33" s="32"/>
    </row>
    <row r="34" spans="1:8" s="47" customFormat="1" x14ac:dyDescent="0.35">
      <c r="A34" s="52" t="s">
        <v>110</v>
      </c>
      <c r="B34" s="50">
        <v>710</v>
      </c>
      <c r="C34" s="51" t="s">
        <v>91</v>
      </c>
      <c r="D34" s="51"/>
      <c r="E34" s="51"/>
      <c r="F34" s="51"/>
      <c r="G34" s="51"/>
      <c r="H34" s="51"/>
    </row>
    <row r="35" spans="1:8" x14ac:dyDescent="0.35">
      <c r="A35" s="52" t="s">
        <v>80</v>
      </c>
      <c r="B35" s="50">
        <v>613</v>
      </c>
      <c r="C35" s="51"/>
      <c r="D35" s="32"/>
      <c r="E35" s="32"/>
      <c r="F35" s="32"/>
      <c r="G35" s="32"/>
      <c r="H35" s="32"/>
    </row>
    <row r="36" spans="1:8" s="47" customFormat="1" x14ac:dyDescent="0.35">
      <c r="A36" s="52" t="s">
        <v>109</v>
      </c>
      <c r="B36" s="50">
        <v>920</v>
      </c>
      <c r="C36" s="51" t="s">
        <v>91</v>
      </c>
      <c r="D36" s="51"/>
      <c r="E36" s="51"/>
      <c r="F36" s="51"/>
      <c r="G36" s="51"/>
      <c r="H36" s="51"/>
    </row>
    <row r="37" spans="1:8" x14ac:dyDescent="0.35">
      <c r="A37" s="52" t="s">
        <v>81</v>
      </c>
      <c r="B37" s="50">
        <v>840</v>
      </c>
      <c r="C37" s="51"/>
      <c r="D37" s="32"/>
      <c r="E37" s="32"/>
      <c r="F37" s="32"/>
      <c r="G37" s="32"/>
      <c r="H37" s="32"/>
    </row>
    <row r="38" spans="1:8" s="47" customFormat="1" x14ac:dyDescent="0.35">
      <c r="A38" s="52" t="s">
        <v>108</v>
      </c>
      <c r="B38" s="50">
        <v>1260</v>
      </c>
      <c r="C38" s="51" t="s">
        <v>91</v>
      </c>
      <c r="D38" s="51"/>
      <c r="E38" s="51"/>
      <c r="F38" s="51"/>
      <c r="G38" s="51"/>
      <c r="H38" s="51"/>
    </row>
    <row r="39" spans="1:8" x14ac:dyDescent="0.35">
      <c r="A39" s="52" t="s">
        <v>82</v>
      </c>
      <c r="B39" s="50">
        <v>980</v>
      </c>
      <c r="C39" s="51"/>
      <c r="D39" s="32"/>
      <c r="E39" s="32"/>
      <c r="F39" s="32"/>
      <c r="G39" s="32"/>
      <c r="H39" s="32"/>
    </row>
    <row r="40" spans="1:8" x14ac:dyDescent="0.35">
      <c r="A40" s="52" t="s">
        <v>101</v>
      </c>
      <c r="B40" s="50">
        <v>482</v>
      </c>
      <c r="C40" s="51" t="s">
        <v>91</v>
      </c>
      <c r="D40" s="32"/>
      <c r="E40" s="32"/>
      <c r="F40" s="32"/>
      <c r="G40" s="32"/>
      <c r="H40" s="32"/>
    </row>
    <row r="41" spans="1:8" x14ac:dyDescent="0.35">
      <c r="A41" s="52" t="s">
        <v>102</v>
      </c>
      <c r="B41" s="50">
        <v>689</v>
      </c>
      <c r="C41" s="51" t="s">
        <v>91</v>
      </c>
      <c r="D41" s="32"/>
      <c r="E41" s="32"/>
      <c r="F41" s="32"/>
      <c r="G41" s="32"/>
      <c r="H41" s="32"/>
    </row>
    <row r="42" spans="1:8" s="47" customFormat="1" x14ac:dyDescent="0.35">
      <c r="A42" s="52" t="s">
        <v>84</v>
      </c>
      <c r="B42" s="50">
        <v>892</v>
      </c>
      <c r="C42" s="51" t="s">
        <v>91</v>
      </c>
      <c r="D42" s="48"/>
      <c r="E42" s="48"/>
      <c r="F42" s="48"/>
      <c r="G42" s="48"/>
      <c r="H42" s="48"/>
    </row>
    <row r="43" spans="1:8" s="47" customFormat="1" x14ac:dyDescent="0.35">
      <c r="A43" s="52" t="s">
        <v>83</v>
      </c>
      <c r="B43" s="50">
        <v>1301</v>
      </c>
      <c r="C43" s="51"/>
      <c r="D43" s="48"/>
      <c r="E43" s="48"/>
      <c r="F43" s="48"/>
      <c r="G43" s="48"/>
      <c r="H43" s="48"/>
    </row>
    <row r="44" spans="1:8" s="47" customFormat="1" x14ac:dyDescent="0.35">
      <c r="A44" s="52" t="s">
        <v>85</v>
      </c>
      <c r="B44" s="50">
        <v>1686</v>
      </c>
      <c r="C44" s="51"/>
      <c r="D44" s="48"/>
      <c r="E44" s="48"/>
      <c r="F44" s="48"/>
      <c r="G44" s="48"/>
      <c r="H44" s="48"/>
    </row>
    <row r="45" spans="1:8" s="47" customFormat="1" x14ac:dyDescent="0.35">
      <c r="A45" s="52" t="s">
        <v>86</v>
      </c>
      <c r="B45" s="50">
        <v>2046</v>
      </c>
      <c r="C45" s="51"/>
      <c r="D45" s="48"/>
      <c r="E45" s="48"/>
      <c r="F45" s="48"/>
      <c r="G45" s="48"/>
      <c r="H45" s="48"/>
    </row>
    <row r="46" spans="1:8" s="47" customFormat="1" x14ac:dyDescent="0.35">
      <c r="A46" s="52" t="s">
        <v>87</v>
      </c>
      <c r="B46" s="50">
        <v>2310</v>
      </c>
      <c r="C46" s="51"/>
      <c r="D46" s="48"/>
      <c r="E46" s="48"/>
      <c r="F46" s="48"/>
      <c r="G46" s="48"/>
      <c r="H46" s="48"/>
    </row>
    <row r="47" spans="1:8" s="47" customFormat="1" x14ac:dyDescent="0.35">
      <c r="A47" s="52" t="s">
        <v>103</v>
      </c>
      <c r="B47" s="50">
        <v>2800</v>
      </c>
      <c r="C47" s="51" t="s">
        <v>91</v>
      </c>
      <c r="D47" s="48"/>
      <c r="E47" s="48"/>
      <c r="F47" s="48"/>
      <c r="G47" s="48"/>
      <c r="H47" s="48"/>
    </row>
    <row r="48" spans="1:8" s="47" customFormat="1" x14ac:dyDescent="0.35">
      <c r="A48" s="52" t="s">
        <v>88</v>
      </c>
      <c r="B48" s="50">
        <v>125</v>
      </c>
      <c r="C48" s="51"/>
      <c r="D48" s="48"/>
      <c r="E48" s="48"/>
      <c r="F48" s="48"/>
      <c r="G48" s="48"/>
      <c r="H48" s="48"/>
    </row>
    <row r="49" spans="1:7" x14ac:dyDescent="0.35">
      <c r="B49" s="283" t="s">
        <v>107</v>
      </c>
      <c r="C49" s="283"/>
    </row>
    <row r="52" spans="1:7" x14ac:dyDescent="0.35">
      <c r="A52" s="42" t="s">
        <v>112</v>
      </c>
      <c r="B52" s="40" t="s">
        <v>6</v>
      </c>
      <c r="C52" s="40" t="s">
        <v>7</v>
      </c>
      <c r="F52" s="282" t="s">
        <v>27</v>
      </c>
      <c r="G52" s="282"/>
    </row>
    <row r="53" spans="1:7" x14ac:dyDescent="0.35">
      <c r="A53" s="35" t="s">
        <v>8</v>
      </c>
      <c r="B53" s="171">
        <v>142.47999999999999</v>
      </c>
      <c r="C53" s="170">
        <f>B53/2000</f>
        <v>7.1239999999999998E-2</v>
      </c>
      <c r="F53" s="8" t="s">
        <v>28</v>
      </c>
      <c r="G53" s="13">
        <f>0.015</f>
        <v>1.4999999999999999E-2</v>
      </c>
    </row>
    <row r="54" spans="1:7" x14ac:dyDescent="0.35">
      <c r="A54" s="35" t="s">
        <v>9</v>
      </c>
      <c r="B54" s="171">
        <v>146.04</v>
      </c>
      <c r="C54" s="172">
        <f>B54/2000</f>
        <v>7.3020000000000002E-2</v>
      </c>
      <c r="F54" s="8" t="s">
        <v>29</v>
      </c>
      <c r="G54" s="14">
        <f>0.004275</f>
        <v>4.2750000000000002E-3</v>
      </c>
    </row>
    <row r="55" spans="1:7" x14ac:dyDescent="0.35">
      <c r="A55" s="33" t="s">
        <v>10</v>
      </c>
      <c r="B55" s="169">
        <f>B54-B53</f>
        <v>3.5600000000000023</v>
      </c>
      <c r="C55" s="173">
        <f>C54-C53</f>
        <v>1.7800000000000038E-3</v>
      </c>
      <c r="D55" s="232">
        <f>B55/B53</f>
        <v>2.4985962942167341E-2</v>
      </c>
      <c r="F55" s="8" t="s">
        <v>58</v>
      </c>
      <c r="G55" s="15"/>
    </row>
    <row r="56" spans="1:7" x14ac:dyDescent="0.35">
      <c r="C56" s="163"/>
      <c r="F56" s="8" t="s">
        <v>17</v>
      </c>
      <c r="G56" s="36">
        <f>SUM(G53:G55)</f>
        <v>1.9275E-2</v>
      </c>
    </row>
    <row r="57" spans="1:7" x14ac:dyDescent="0.35">
      <c r="B57" s="41" t="s">
        <v>113</v>
      </c>
    </row>
    <row r="58" spans="1:7" x14ac:dyDescent="0.35">
      <c r="A58" s="8" t="s">
        <v>4</v>
      </c>
      <c r="B58" s="37">
        <f>B55</f>
        <v>3.5600000000000023</v>
      </c>
      <c r="F58" s="8" t="s">
        <v>30</v>
      </c>
      <c r="G58" s="39">
        <f>1-G56</f>
        <v>0.98072499999999996</v>
      </c>
    </row>
    <row r="59" spans="1:7" x14ac:dyDescent="0.35">
      <c r="A59" s="8" t="s">
        <v>26</v>
      </c>
      <c r="B59" s="37">
        <f>B58/$G$58</f>
        <v>3.6299676259909783</v>
      </c>
    </row>
    <row r="60" spans="1:7" x14ac:dyDescent="0.35">
      <c r="A60" s="8" t="s">
        <v>25</v>
      </c>
      <c r="B60" s="19">
        <f>'Staff Calcs '!D73</f>
        <v>3856.73</v>
      </c>
    </row>
    <row r="61" spans="1:7" x14ac:dyDescent="0.35">
      <c r="A61" s="6" t="s">
        <v>31</v>
      </c>
      <c r="B61" s="9">
        <f>B59*B60</f>
        <v>13999.805042188185</v>
      </c>
      <c r="F61" s="57"/>
      <c r="G61" s="174"/>
    </row>
    <row r="62" spans="1:7" x14ac:dyDescent="0.35">
      <c r="F62" s="57"/>
      <c r="G62" s="174"/>
    </row>
    <row r="63" spans="1:7" x14ac:dyDescent="0.35">
      <c r="F63" s="57"/>
      <c r="G63" s="174"/>
    </row>
    <row r="64" spans="1:7" ht="15" thickBot="1" x14ac:dyDescent="0.4"/>
    <row r="65" spans="1:4" x14ac:dyDescent="0.35">
      <c r="A65" s="120" t="s">
        <v>97</v>
      </c>
      <c r="B65" s="121" t="s">
        <v>95</v>
      </c>
      <c r="D65" s="37"/>
    </row>
    <row r="66" spans="1:4" x14ac:dyDescent="0.35">
      <c r="A66" s="122" t="s">
        <v>96</v>
      </c>
      <c r="B66" s="123">
        <f>'Staff Calcs '!R44</f>
        <v>14014.211673176742</v>
      </c>
    </row>
    <row r="67" spans="1:4" x14ac:dyDescent="0.35">
      <c r="A67" s="122" t="s">
        <v>13</v>
      </c>
      <c r="B67" s="123">
        <f>B66-B61</f>
        <v>14.406630988556572</v>
      </c>
    </row>
    <row r="68" spans="1:4" x14ac:dyDescent="0.35">
      <c r="A68" s="122"/>
      <c r="B68" s="124"/>
    </row>
    <row r="69" spans="1:4" x14ac:dyDescent="0.35">
      <c r="A69" s="125" t="s">
        <v>98</v>
      </c>
      <c r="B69" s="126" t="s">
        <v>95</v>
      </c>
    </row>
    <row r="70" spans="1:4" x14ac:dyDescent="0.35">
      <c r="A70" s="122" t="s">
        <v>54</v>
      </c>
      <c r="B70" s="127">
        <f>'Staff Calcs '!W44</f>
        <v>14014.211673176742</v>
      </c>
    </row>
    <row r="71" spans="1:4" ht="15" thickBot="1" x14ac:dyDescent="0.4">
      <c r="A71" s="128" t="s">
        <v>13</v>
      </c>
      <c r="B71" s="129">
        <f>B70-B61</f>
        <v>14.406630988556572</v>
      </c>
    </row>
  </sheetData>
  <mergeCells count="5">
    <mergeCell ref="A3:H3"/>
    <mergeCell ref="F52:G52"/>
    <mergeCell ref="A13:B13"/>
    <mergeCell ref="B49:C49"/>
    <mergeCell ref="A1:H1"/>
  </mergeCells>
  <pageMargins left="0.28000000000000003" right="0.52" top="0.75" bottom="0.75" header="0.3" footer="0.3"/>
  <pageSetup scale="64" orientation="portrait" r:id="rId1"/>
  <headerFooter>
    <oddHeader>&amp;C&amp;"-,Bold"&amp;12Murrey's Disposal Co, Inc
dba Olympic Disposal&amp;"-,Regular"
Disposal Fee Reference</oddHeader>
    <oddFooter>&amp;L&amp;F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84"/>
  <sheetViews>
    <sheetView zoomScale="80" zoomScaleNormal="80" workbookViewId="0">
      <pane xSplit="3" ySplit="2" topLeftCell="D20" activePane="bottomRight" state="frozen"/>
      <selection pane="topRight" activeCell="D1" sqref="D1"/>
      <selection pane="bottomLeft" activeCell="A6" sqref="A6"/>
      <selection pane="bottomRight" activeCell="L41" sqref="L41"/>
    </sheetView>
  </sheetViews>
  <sheetFormatPr defaultColWidth="8.81640625" defaultRowHeight="14.5" x14ac:dyDescent="0.35"/>
  <cols>
    <col min="1" max="1" width="4.54296875" style="55" customWidth="1"/>
    <col min="2" max="2" width="13.453125" style="59" bestFit="1" customWidth="1"/>
    <col min="3" max="3" width="29.26953125" style="55" bestFit="1" customWidth="1"/>
    <col min="4" max="4" width="12.26953125" style="56" bestFit="1" customWidth="1"/>
    <col min="5" max="5" width="10.26953125" style="55" bestFit="1" customWidth="1"/>
    <col min="6" max="6" width="11.7265625" style="55" bestFit="1" customWidth="1"/>
    <col min="7" max="7" width="15.1796875" style="55" bestFit="1" customWidth="1"/>
    <col min="8" max="8" width="17.26953125" style="55" bestFit="1" customWidth="1"/>
    <col min="9" max="9" width="16.26953125" style="54" bestFit="1" customWidth="1"/>
    <col min="10" max="11" width="12.26953125" style="55" bestFit="1" customWidth="1"/>
    <col min="12" max="12" width="10.7265625" style="55" bestFit="1" customWidth="1"/>
    <col min="13" max="13" width="16.54296875" style="55" bestFit="1" customWidth="1"/>
    <col min="14" max="14" width="20.1796875" style="55" bestFit="1" customWidth="1"/>
    <col min="15" max="15" width="18.1796875" style="55" bestFit="1" customWidth="1"/>
    <col min="16" max="16" width="16.54296875" style="55" bestFit="1" customWidth="1"/>
    <col min="17" max="17" width="18.453125" style="55" bestFit="1" customWidth="1"/>
    <col min="18" max="18" width="18.7265625" style="55" bestFit="1" customWidth="1"/>
    <col min="19" max="19" width="15.26953125" style="55" bestFit="1" customWidth="1"/>
    <col min="20" max="20" width="22.81640625" style="55" bestFit="1" customWidth="1"/>
    <col min="21" max="21" width="13.54296875" style="55" bestFit="1" customWidth="1"/>
    <col min="22" max="23" width="16.54296875" style="55" bestFit="1" customWidth="1"/>
    <col min="24" max="25" width="8.81640625" style="55"/>
    <col min="26" max="26" width="13.453125" style="55" bestFit="1" customWidth="1"/>
    <col min="27" max="16384" width="8.81640625" style="55"/>
  </cols>
  <sheetData>
    <row r="1" spans="1:25" ht="39" customHeight="1" x14ac:dyDescent="0.35">
      <c r="B1" s="285" t="s">
        <v>403</v>
      </c>
      <c r="C1" s="285"/>
      <c r="D1" s="285"/>
      <c r="E1" s="285"/>
      <c r="F1" s="285"/>
      <c r="G1" s="285"/>
      <c r="H1" s="285"/>
      <c r="I1" s="285"/>
      <c r="J1" s="285"/>
    </row>
    <row r="2" spans="1:25" ht="29" x14ac:dyDescent="0.35">
      <c r="A2" s="42"/>
      <c r="B2" s="78" t="s">
        <v>16</v>
      </c>
      <c r="C2" s="79" t="s">
        <v>18</v>
      </c>
      <c r="D2" s="78" t="s">
        <v>43</v>
      </c>
      <c r="E2" s="78" t="s">
        <v>0</v>
      </c>
      <c r="F2" s="90" t="s">
        <v>1</v>
      </c>
      <c r="G2" s="78" t="s">
        <v>11</v>
      </c>
      <c r="H2" s="89" t="s">
        <v>35</v>
      </c>
      <c r="I2" s="88" t="s">
        <v>36</v>
      </c>
      <c r="J2" s="84" t="s">
        <v>10</v>
      </c>
      <c r="K2" s="89" t="s">
        <v>2</v>
      </c>
      <c r="L2" s="89" t="s">
        <v>45</v>
      </c>
      <c r="M2" s="175" t="s">
        <v>40</v>
      </c>
      <c r="N2" s="89" t="s">
        <v>37</v>
      </c>
      <c r="O2" s="89" t="s">
        <v>38</v>
      </c>
      <c r="P2" s="78" t="s">
        <v>41</v>
      </c>
      <c r="Q2" s="78" t="s">
        <v>39</v>
      </c>
      <c r="R2" s="78" t="s">
        <v>46</v>
      </c>
      <c r="S2" s="78" t="s">
        <v>42</v>
      </c>
      <c r="T2" s="78" t="s">
        <v>44</v>
      </c>
      <c r="U2" s="78" t="s">
        <v>47</v>
      </c>
      <c r="V2" s="78" t="s">
        <v>49</v>
      </c>
      <c r="W2" s="78" t="s">
        <v>48</v>
      </c>
    </row>
    <row r="3" spans="1:25" s="57" customFormat="1" ht="15" customHeight="1" x14ac:dyDescent="0.35">
      <c r="A3" s="288" t="s">
        <v>14</v>
      </c>
      <c r="B3" s="44">
        <v>21</v>
      </c>
      <c r="C3" s="132" t="s">
        <v>114</v>
      </c>
      <c r="D3" s="133">
        <v>9.6300000000000008</v>
      </c>
      <c r="E3" s="134">
        <f>References!B9</f>
        <v>4.333333333333333</v>
      </c>
      <c r="F3" s="135">
        <f>D3*E3*12</f>
        <v>500.76000000000005</v>
      </c>
      <c r="G3" s="136">
        <f>References!B15</f>
        <v>20</v>
      </c>
      <c r="H3" s="135">
        <f>F3*G3</f>
        <v>10015.200000000001</v>
      </c>
      <c r="I3" s="137">
        <f t="shared" ref="I3:I18" si="0">$D$76*H3</f>
        <v>8272.6948491328112</v>
      </c>
      <c r="J3" s="138">
        <f>(References!$C$55*I3)</f>
        <v>14.725396831456436</v>
      </c>
      <c r="K3" s="138">
        <f>J3/References!$G$58</f>
        <v>15.014807241027237</v>
      </c>
      <c r="L3" s="138">
        <f>K3/F3*E3</f>
        <v>0.12993083455371437</v>
      </c>
      <c r="M3" s="139">
        <f>'Proposed Rates'!B12</f>
        <v>17.649999999999999</v>
      </c>
      <c r="N3" s="138">
        <f>L3+M3</f>
        <v>17.779930834553713</v>
      </c>
      <c r="O3" s="139">
        <f>'Proposed Rates'!D12</f>
        <v>17.779930834553713</v>
      </c>
      <c r="P3" s="67">
        <f>D3*M3*12</f>
        <v>2039.634</v>
      </c>
      <c r="Q3" s="67">
        <f>D3*O3*12</f>
        <v>2054.6488072410275</v>
      </c>
      <c r="R3" s="67">
        <f>Q3-P3</f>
        <v>15.014807241027484</v>
      </c>
      <c r="S3" s="67">
        <f>D3*N3*12</f>
        <v>2054.6488072410275</v>
      </c>
      <c r="T3" s="67">
        <f>Q3-S3</f>
        <v>0</v>
      </c>
      <c r="U3" s="113">
        <f t="shared" ref="U3:U4" si="1">N3</f>
        <v>17.779930834553713</v>
      </c>
      <c r="V3" s="113">
        <f>D3*U3*12</f>
        <v>2054.6488072410275</v>
      </c>
      <c r="W3" s="113">
        <f>V3-P3</f>
        <v>15.014807241027484</v>
      </c>
      <c r="Y3" s="130">
        <f>O3-U3</f>
        <v>0</v>
      </c>
    </row>
    <row r="4" spans="1:25" s="57" customFormat="1" ht="15" customHeight="1" x14ac:dyDescent="0.35">
      <c r="A4" s="286"/>
      <c r="B4" s="38">
        <v>21</v>
      </c>
      <c r="C4" s="132" t="s">
        <v>115</v>
      </c>
      <c r="D4" s="140">
        <v>1517.59</v>
      </c>
      <c r="E4" s="141">
        <f>References!B9</f>
        <v>4.333333333333333</v>
      </c>
      <c r="F4" s="142">
        <f t="shared" ref="F4:F14" si="2">D4*E4*12</f>
        <v>78914.679999999993</v>
      </c>
      <c r="G4" s="135">
        <f>References!B16</f>
        <v>34</v>
      </c>
      <c r="H4" s="135">
        <f t="shared" ref="H4:H18" si="3">F4*G4</f>
        <v>2683099.1199999996</v>
      </c>
      <c r="I4" s="137">
        <f t="shared" si="0"/>
        <v>2216277.285499718</v>
      </c>
      <c r="J4" s="138">
        <f>(References!$C$55*I4)</f>
        <v>3944.9735681895068</v>
      </c>
      <c r="K4" s="138">
        <f>J4/References!$G$58</f>
        <v>4022.5073982915769</v>
      </c>
      <c r="L4" s="138">
        <f t="shared" ref="L4:L13" si="4">K4/F4*E4</f>
        <v>0.22088241874131445</v>
      </c>
      <c r="M4" s="139">
        <f>'Proposed Rates'!B13</f>
        <v>22.62</v>
      </c>
      <c r="N4" s="138">
        <f t="shared" ref="N4:N42" si="5">L4+M4</f>
        <v>22.840882418741316</v>
      </c>
      <c r="O4" s="139">
        <f>'Proposed Rates'!D13</f>
        <v>22.840882418741316</v>
      </c>
      <c r="P4" s="65">
        <f t="shared" ref="P4" si="6">D4*M4*12</f>
        <v>411934.62959999999</v>
      </c>
      <c r="Q4" s="65">
        <f t="shared" ref="Q4" si="7">D4*O4*12</f>
        <v>415957.13699829159</v>
      </c>
      <c r="R4" s="65">
        <f>Q4-P4</f>
        <v>4022.5073982916074</v>
      </c>
      <c r="S4" s="65">
        <f t="shared" ref="S4" si="8">D4*N4*12</f>
        <v>415957.13699829159</v>
      </c>
      <c r="T4" s="65">
        <f t="shared" ref="T4" si="9">Q4-S4</f>
        <v>0</v>
      </c>
      <c r="U4" s="112">
        <f t="shared" si="1"/>
        <v>22.840882418741316</v>
      </c>
      <c r="V4" s="112">
        <f>D4*U4*12</f>
        <v>415957.13699829159</v>
      </c>
      <c r="W4" s="112">
        <f>V4-P4</f>
        <v>4022.5073982916074</v>
      </c>
      <c r="Y4" s="130">
        <f t="shared" ref="Y4:Y43" si="10">O4-U4</f>
        <v>0</v>
      </c>
    </row>
    <row r="5" spans="1:25" s="57" customFormat="1" ht="15.5" x14ac:dyDescent="0.35">
      <c r="A5" s="286"/>
      <c r="B5" s="38">
        <v>21</v>
      </c>
      <c r="C5" s="132" t="s">
        <v>116</v>
      </c>
      <c r="D5" s="140">
        <v>190.35</v>
      </c>
      <c r="E5" s="141">
        <f>References!B9</f>
        <v>4.333333333333333</v>
      </c>
      <c r="F5" s="135">
        <f t="shared" si="2"/>
        <v>9898.1999999999989</v>
      </c>
      <c r="G5" s="135">
        <f>References!B17</f>
        <v>51</v>
      </c>
      <c r="H5" s="135">
        <f t="shared" si="3"/>
        <v>504808.19999999995</v>
      </c>
      <c r="I5" s="137">
        <f t="shared" si="0"/>
        <v>416978.61210360308</v>
      </c>
      <c r="J5" s="138">
        <f>(References!$C$55*I5)</f>
        <v>742.22192954441505</v>
      </c>
      <c r="K5" s="138">
        <f>J5/References!$G$58</f>
        <v>756.80943133336575</v>
      </c>
      <c r="L5" s="138">
        <f t="shared" si="4"/>
        <v>0.33132362811197169</v>
      </c>
      <c r="M5" s="139">
        <f>'Proposed Rates'!B14</f>
        <v>33.47</v>
      </c>
      <c r="N5" s="138">
        <f t="shared" si="5"/>
        <v>33.801323628111973</v>
      </c>
      <c r="O5" s="139">
        <f>'Proposed Rates'!D14</f>
        <v>33.801323628111973</v>
      </c>
      <c r="P5" s="65">
        <f t="shared" ref="P5:P14" si="11">D5*M5*12</f>
        <v>76452.173999999999</v>
      </c>
      <c r="Q5" s="65">
        <f t="shared" ref="Q5:Q13" si="12">D5*O5*12</f>
        <v>77208.983431333356</v>
      </c>
      <c r="R5" s="65">
        <f t="shared" ref="R5:R18" si="13">Q5-P5</f>
        <v>756.80943133335677</v>
      </c>
      <c r="S5" s="65">
        <f t="shared" ref="S5:S13" si="14">D5*N5*12</f>
        <v>77208.983431333356</v>
      </c>
      <c r="T5" s="65">
        <f t="shared" ref="T5:T18" si="15">Q5-S5</f>
        <v>0</v>
      </c>
      <c r="U5" s="112">
        <f t="shared" ref="U5:U18" si="16">N5</f>
        <v>33.801323628111973</v>
      </c>
      <c r="V5" s="112">
        <f t="shared" ref="V5:V14" si="17">D5*U5*12</f>
        <v>77208.983431333356</v>
      </c>
      <c r="W5" s="112">
        <f t="shared" ref="W5:W18" si="18">V5-P5</f>
        <v>756.80943133335677</v>
      </c>
      <c r="Y5" s="130">
        <f t="shared" si="10"/>
        <v>0</v>
      </c>
    </row>
    <row r="6" spans="1:25" s="57" customFormat="1" ht="15.5" x14ac:dyDescent="0.35">
      <c r="A6" s="286"/>
      <c r="B6" s="38">
        <v>21</v>
      </c>
      <c r="C6" s="132" t="s">
        <v>117</v>
      </c>
      <c r="D6" s="140">
        <v>7.71</v>
      </c>
      <c r="E6" s="141">
        <f>References!B9</f>
        <v>4.333333333333333</v>
      </c>
      <c r="F6" s="135">
        <f t="shared" si="2"/>
        <v>400.91999999999996</v>
      </c>
      <c r="G6" s="135">
        <f>References!B18</f>
        <v>77</v>
      </c>
      <c r="H6" s="135">
        <f t="shared" si="3"/>
        <v>30870.839999999997</v>
      </c>
      <c r="I6" s="137">
        <f t="shared" si="0"/>
        <v>25499.744294312957</v>
      </c>
      <c r="J6" s="138">
        <f>(References!$C$55*I6)</f>
        <v>45.389544843877161</v>
      </c>
      <c r="K6" s="138">
        <f>J6/References!$G$58</f>
        <v>46.281623129702169</v>
      </c>
      <c r="L6" s="138">
        <f t="shared" si="4"/>
        <v>0.50023371303180031</v>
      </c>
      <c r="M6" s="139">
        <f>'Proposed Rates'!B15</f>
        <v>44.86</v>
      </c>
      <c r="N6" s="138">
        <f t="shared" si="5"/>
        <v>45.360233713031796</v>
      </c>
      <c r="O6" s="139">
        <f>'Proposed Rates'!D15</f>
        <v>45.360233713031796</v>
      </c>
      <c r="P6" s="65">
        <f t="shared" si="11"/>
        <v>4150.4471999999996</v>
      </c>
      <c r="Q6" s="65">
        <f t="shared" si="12"/>
        <v>4196.7288231297025</v>
      </c>
      <c r="R6" s="65">
        <f t="shared" si="13"/>
        <v>46.281623129702893</v>
      </c>
      <c r="S6" s="65">
        <f t="shared" si="14"/>
        <v>4196.7288231297025</v>
      </c>
      <c r="T6" s="65">
        <f t="shared" si="15"/>
        <v>0</v>
      </c>
      <c r="U6" s="112">
        <f t="shared" si="16"/>
        <v>45.360233713031796</v>
      </c>
      <c r="V6" s="112">
        <f t="shared" si="17"/>
        <v>4196.7288231297025</v>
      </c>
      <c r="W6" s="112">
        <f t="shared" si="18"/>
        <v>46.281623129702893</v>
      </c>
      <c r="Y6" s="130">
        <f t="shared" si="10"/>
        <v>0</v>
      </c>
    </row>
    <row r="7" spans="1:25" s="57" customFormat="1" ht="15.5" x14ac:dyDescent="0.35">
      <c r="A7" s="286"/>
      <c r="B7" s="38">
        <v>21</v>
      </c>
      <c r="C7" s="132" t="s">
        <v>267</v>
      </c>
      <c r="D7" s="140">
        <v>1.42</v>
      </c>
      <c r="E7" s="141">
        <f>References!B9</f>
        <v>4.333333333333333</v>
      </c>
      <c r="F7" s="135">
        <f t="shared" si="2"/>
        <v>73.839999999999989</v>
      </c>
      <c r="G7" s="135">
        <f>References!B19</f>
        <v>97</v>
      </c>
      <c r="H7" s="135">
        <f t="shared" si="3"/>
        <v>7162.4799999999987</v>
      </c>
      <c r="I7" s="137">
        <f t="shared" si="0"/>
        <v>5916.3083516072338</v>
      </c>
      <c r="J7" s="138">
        <f>(References!$C$55*I7)</f>
        <v>10.531028865860899</v>
      </c>
      <c r="K7" s="138">
        <f>J7/References!$G$58</f>
        <v>10.73800389085717</v>
      </c>
      <c r="L7" s="138">
        <f t="shared" si="4"/>
        <v>0.63016454758551477</v>
      </c>
      <c r="M7" s="139">
        <f>'Proposed Rates'!B16</f>
        <v>56.41</v>
      </c>
      <c r="N7" s="138">
        <f t="shared" si="5"/>
        <v>57.040164547585512</v>
      </c>
      <c r="O7" s="139">
        <f>'Proposed Rates'!D16</f>
        <v>57.040164547585512</v>
      </c>
      <c r="P7" s="65">
        <f t="shared" si="11"/>
        <v>961.22640000000001</v>
      </c>
      <c r="Q7" s="65">
        <f t="shared" si="12"/>
        <v>971.96440389085706</v>
      </c>
      <c r="R7" s="65">
        <f t="shared" si="13"/>
        <v>10.738003890857044</v>
      </c>
      <c r="S7" s="65">
        <f t="shared" si="14"/>
        <v>971.96440389085706</v>
      </c>
      <c r="T7" s="65">
        <f t="shared" si="15"/>
        <v>0</v>
      </c>
      <c r="U7" s="112">
        <f t="shared" si="16"/>
        <v>57.040164547585512</v>
      </c>
      <c r="V7" s="112">
        <f t="shared" si="17"/>
        <v>971.96440389085706</v>
      </c>
      <c r="W7" s="112">
        <f t="shared" si="18"/>
        <v>10.738003890857044</v>
      </c>
      <c r="Y7" s="130">
        <f t="shared" si="10"/>
        <v>0</v>
      </c>
    </row>
    <row r="8" spans="1:25" s="57" customFormat="1" ht="15.5" x14ac:dyDescent="0.35">
      <c r="A8" s="286"/>
      <c r="B8" s="38">
        <v>21</v>
      </c>
      <c r="C8" s="132" t="s">
        <v>118</v>
      </c>
      <c r="D8" s="140">
        <v>0.49</v>
      </c>
      <c r="E8" s="141">
        <f>References!B9</f>
        <v>4.333333333333333</v>
      </c>
      <c r="F8" s="135">
        <f t="shared" si="2"/>
        <v>25.479999999999997</v>
      </c>
      <c r="G8" s="135">
        <f>References!B22</f>
        <v>37</v>
      </c>
      <c r="H8" s="135">
        <f t="shared" si="3"/>
        <v>942.75999999999988</v>
      </c>
      <c r="I8" s="137">
        <f t="shared" si="0"/>
        <v>778.73290558036263</v>
      </c>
      <c r="J8" s="138">
        <f>(References!$C$55*I8)</f>
        <v>1.3861445719330485</v>
      </c>
      <c r="K8" s="138">
        <f>J8/References!$G$58</f>
        <v>1.4133876182753051</v>
      </c>
      <c r="L8" s="138">
        <f t="shared" si="4"/>
        <v>0.24037204392437164</v>
      </c>
      <c r="M8" s="139">
        <f>'Proposed Rates'!B18</f>
        <v>24.7</v>
      </c>
      <c r="N8" s="138">
        <f t="shared" si="5"/>
        <v>24.94037204392437</v>
      </c>
      <c r="O8" s="139">
        <f>'Proposed Rates'!D18</f>
        <v>24.94037204392437</v>
      </c>
      <c r="P8" s="65">
        <f t="shared" si="11"/>
        <v>145.23599999999999</v>
      </c>
      <c r="Q8" s="65">
        <f t="shared" si="12"/>
        <v>146.64938761827528</v>
      </c>
      <c r="R8" s="65">
        <f t="shared" si="13"/>
        <v>1.4133876182752942</v>
      </c>
      <c r="S8" s="65">
        <f t="shared" si="14"/>
        <v>146.64938761827528</v>
      </c>
      <c r="T8" s="65">
        <f t="shared" si="15"/>
        <v>0</v>
      </c>
      <c r="U8" s="112">
        <f t="shared" si="16"/>
        <v>24.94037204392437</v>
      </c>
      <c r="V8" s="112">
        <f t="shared" si="17"/>
        <v>146.64938761827528</v>
      </c>
      <c r="W8" s="112">
        <f t="shared" si="18"/>
        <v>1.4133876182752942</v>
      </c>
      <c r="Y8" s="130">
        <f t="shared" si="10"/>
        <v>0</v>
      </c>
    </row>
    <row r="9" spans="1:25" s="57" customFormat="1" ht="15.5" x14ac:dyDescent="0.35">
      <c r="A9" s="286"/>
      <c r="B9" s="38">
        <v>21</v>
      </c>
      <c r="C9" s="132" t="s">
        <v>119</v>
      </c>
      <c r="D9" s="140">
        <v>2.1</v>
      </c>
      <c r="E9" s="141">
        <f>References!B9</f>
        <v>4.333333333333333</v>
      </c>
      <c r="F9" s="135">
        <f t="shared" si="2"/>
        <v>109.19999999999999</v>
      </c>
      <c r="G9" s="135">
        <f>References!B23</f>
        <v>47</v>
      </c>
      <c r="H9" s="135">
        <f t="shared" si="3"/>
        <v>5132.3999999999996</v>
      </c>
      <c r="I9" s="137">
        <f t="shared" si="0"/>
        <v>4239.4339647425149</v>
      </c>
      <c r="J9" s="138">
        <f>(References!$C$55*I9)</f>
        <v>7.546192457241693</v>
      </c>
      <c r="K9" s="138">
        <f>J9/References!$G$58</f>
        <v>7.6945040222709657</v>
      </c>
      <c r="L9" s="138">
        <f t="shared" si="4"/>
        <v>0.30533746120122884</v>
      </c>
      <c r="M9" s="139">
        <f>'Proposed Rates'!B19</f>
        <v>31.83</v>
      </c>
      <c r="N9" s="138">
        <f t="shared" si="5"/>
        <v>32.135337461201225</v>
      </c>
      <c r="O9" s="139">
        <f>'Proposed Rates'!D19</f>
        <v>32.135337461201225</v>
      </c>
      <c r="P9" s="65">
        <f t="shared" si="11"/>
        <v>802.11599999999999</v>
      </c>
      <c r="Q9" s="65">
        <f t="shared" si="12"/>
        <v>809.81050402227083</v>
      </c>
      <c r="R9" s="65">
        <f t="shared" si="13"/>
        <v>7.6945040222708485</v>
      </c>
      <c r="S9" s="65">
        <f t="shared" si="14"/>
        <v>809.81050402227083</v>
      </c>
      <c r="T9" s="65">
        <f t="shared" si="15"/>
        <v>0</v>
      </c>
      <c r="U9" s="112">
        <f t="shared" si="16"/>
        <v>32.135337461201225</v>
      </c>
      <c r="V9" s="112">
        <f t="shared" si="17"/>
        <v>809.81050402227083</v>
      </c>
      <c r="W9" s="112">
        <f t="shared" si="18"/>
        <v>7.6945040222708485</v>
      </c>
      <c r="Y9" s="130">
        <f t="shared" si="10"/>
        <v>0</v>
      </c>
    </row>
    <row r="10" spans="1:25" s="57" customFormat="1" ht="15.5" x14ac:dyDescent="0.35">
      <c r="A10" s="286"/>
      <c r="B10" s="38">
        <v>21</v>
      </c>
      <c r="C10" s="132" t="s">
        <v>120</v>
      </c>
      <c r="D10" s="140">
        <v>766.66</v>
      </c>
      <c r="E10" s="141">
        <f>References!B10</f>
        <v>2.1666666666666665</v>
      </c>
      <c r="F10" s="142">
        <f t="shared" si="2"/>
        <v>19933.16</v>
      </c>
      <c r="G10" s="135">
        <f>References!B16</f>
        <v>34</v>
      </c>
      <c r="H10" s="135">
        <f t="shared" si="3"/>
        <v>677727.44</v>
      </c>
      <c r="I10" s="137">
        <f t="shared" si="0"/>
        <v>559812.31548086565</v>
      </c>
      <c r="J10" s="138">
        <f>(References!$C$55*I10)</f>
        <v>996.46592155594294</v>
      </c>
      <c r="K10" s="138">
        <f>J10/References!$G$58</f>
        <v>1016.0502909132967</v>
      </c>
      <c r="L10" s="138">
        <f>K10/F10*E10</f>
        <v>0.11044120937065721</v>
      </c>
      <c r="M10" s="139">
        <f>'Proposed Rates'!B21</f>
        <v>13.32</v>
      </c>
      <c r="N10" s="138">
        <f t="shared" si="5"/>
        <v>13.430441209370658</v>
      </c>
      <c r="O10" s="139">
        <f>'Proposed Rates'!D21</f>
        <v>13.430441209370658</v>
      </c>
      <c r="P10" s="65">
        <f t="shared" si="11"/>
        <v>122542.9344</v>
      </c>
      <c r="Q10" s="65">
        <f t="shared" si="12"/>
        <v>123558.98469091329</v>
      </c>
      <c r="R10" s="65">
        <f t="shared" si="13"/>
        <v>1016.050290913292</v>
      </c>
      <c r="S10" s="65">
        <f t="shared" si="14"/>
        <v>123558.98469091329</v>
      </c>
      <c r="T10" s="65">
        <f t="shared" si="15"/>
        <v>0</v>
      </c>
      <c r="U10" s="112">
        <f t="shared" si="16"/>
        <v>13.430441209370658</v>
      </c>
      <c r="V10" s="112">
        <f t="shared" si="17"/>
        <v>123558.98469091329</v>
      </c>
      <c r="W10" s="112">
        <f t="shared" si="18"/>
        <v>1016.050290913292</v>
      </c>
      <c r="Y10" s="130">
        <f t="shared" si="10"/>
        <v>0</v>
      </c>
    </row>
    <row r="11" spans="1:25" s="57" customFormat="1" ht="15.5" x14ac:dyDescent="0.35">
      <c r="A11" s="286"/>
      <c r="B11" s="38"/>
      <c r="C11" s="143" t="s">
        <v>121</v>
      </c>
      <c r="D11" s="144">
        <v>3.13</v>
      </c>
      <c r="E11" s="145">
        <f>References!B9</f>
        <v>4.333333333333333</v>
      </c>
      <c r="F11" s="135">
        <f>81.19</f>
        <v>81.19</v>
      </c>
      <c r="G11" s="142">
        <v>34</v>
      </c>
      <c r="H11" s="146">
        <f t="shared" si="3"/>
        <v>2760.46</v>
      </c>
      <c r="I11" s="137">
        <f t="shared" si="0"/>
        <v>2280.1784510780776</v>
      </c>
      <c r="J11" s="138">
        <f>(References!$C$55*I11)</f>
        <v>4.0587176429189871</v>
      </c>
      <c r="K11" s="138">
        <f>J11/References!$G$58</f>
        <v>4.138486979447844</v>
      </c>
      <c r="L11" s="230">
        <f>K11/F11*E11</f>
        <v>0.22088241874131448</v>
      </c>
      <c r="M11" s="138">
        <f>M10*2</f>
        <v>26.64</v>
      </c>
      <c r="N11" s="138">
        <f t="shared" si="5"/>
        <v>26.860882418741316</v>
      </c>
      <c r="O11" s="138">
        <f>O10*2</f>
        <v>26.860882418741316</v>
      </c>
      <c r="P11" s="65">
        <f>F11*M11</f>
        <v>2162.9016000000001</v>
      </c>
      <c r="Q11" s="65">
        <f t="shared" ref="Q11" si="19">F11*O11</f>
        <v>2180.8350435776074</v>
      </c>
      <c r="R11" s="65">
        <f t="shared" si="13"/>
        <v>17.93344357760725</v>
      </c>
      <c r="S11" s="65">
        <f t="shared" ref="S11" si="20">F11*N11</f>
        <v>2180.8350435776074</v>
      </c>
      <c r="T11" s="65">
        <f t="shared" si="15"/>
        <v>0</v>
      </c>
      <c r="U11" s="112">
        <f t="shared" si="16"/>
        <v>26.860882418741316</v>
      </c>
      <c r="V11" s="112">
        <f>F11*U11</f>
        <v>2180.8350435776074</v>
      </c>
      <c r="W11" s="112">
        <f t="shared" si="18"/>
        <v>17.93344357760725</v>
      </c>
      <c r="Y11" s="130">
        <f t="shared" si="10"/>
        <v>0</v>
      </c>
    </row>
    <row r="12" spans="1:25" s="57" customFormat="1" ht="14.5" customHeight="1" x14ac:dyDescent="0.35">
      <c r="A12" s="286"/>
      <c r="B12" s="38">
        <v>21</v>
      </c>
      <c r="C12" s="132" t="s">
        <v>122</v>
      </c>
      <c r="D12" s="148">
        <v>2.75</v>
      </c>
      <c r="E12" s="141">
        <f>References!B10</f>
        <v>2.1666666666666665</v>
      </c>
      <c r="F12" s="135">
        <f t="shared" si="2"/>
        <v>71.5</v>
      </c>
      <c r="G12" s="149">
        <f>References!B22</f>
        <v>37</v>
      </c>
      <c r="H12" s="135">
        <f t="shared" si="3"/>
        <v>2645.5</v>
      </c>
      <c r="I12" s="137">
        <f t="shared" si="0"/>
        <v>2185.2198881081608</v>
      </c>
      <c r="J12" s="138">
        <f>(References!$C$55*I12)</f>
        <v>3.8896914008325347</v>
      </c>
      <c r="K12" s="138">
        <f>J12/References!$G$58</f>
        <v>3.966138724752132</v>
      </c>
      <c r="L12" s="138">
        <f t="shared" si="4"/>
        <v>0.12018602196218581</v>
      </c>
      <c r="M12" s="139">
        <f>'Proposed Rates'!B22</f>
        <v>14.64</v>
      </c>
      <c r="N12" s="138">
        <f t="shared" si="5"/>
        <v>14.760186021962186</v>
      </c>
      <c r="O12" s="139">
        <f>'Proposed Rates'!D22</f>
        <v>14.760186021962186</v>
      </c>
      <c r="P12" s="65">
        <f t="shared" si="11"/>
        <v>483.12000000000006</v>
      </c>
      <c r="Q12" s="65">
        <f t="shared" si="12"/>
        <v>487.08613872475212</v>
      </c>
      <c r="R12" s="65">
        <f t="shared" si="13"/>
        <v>3.9661387247520565</v>
      </c>
      <c r="S12" s="65">
        <f t="shared" si="14"/>
        <v>487.08613872475212</v>
      </c>
      <c r="T12" s="65">
        <f t="shared" si="15"/>
        <v>0</v>
      </c>
      <c r="U12" s="112">
        <f t="shared" si="16"/>
        <v>14.760186021962186</v>
      </c>
      <c r="V12" s="112">
        <f t="shared" si="17"/>
        <v>487.08613872475212</v>
      </c>
      <c r="W12" s="112">
        <f t="shared" si="18"/>
        <v>3.9661387247520565</v>
      </c>
      <c r="Y12" s="130">
        <f t="shared" si="10"/>
        <v>0</v>
      </c>
    </row>
    <row r="13" spans="1:25" s="57" customFormat="1" ht="15.5" x14ac:dyDescent="0.35">
      <c r="A13" s="286"/>
      <c r="B13" s="38">
        <v>21</v>
      </c>
      <c r="C13" s="132" t="s">
        <v>123</v>
      </c>
      <c r="D13" s="148">
        <v>1</v>
      </c>
      <c r="E13" s="141">
        <f>References!B10</f>
        <v>2.1666666666666665</v>
      </c>
      <c r="F13" s="135">
        <f t="shared" si="2"/>
        <v>26</v>
      </c>
      <c r="G13" s="135">
        <f>References!B23</f>
        <v>47</v>
      </c>
      <c r="H13" s="135">
        <f t="shared" si="3"/>
        <v>1222</v>
      </c>
      <c r="I13" s="137">
        <f t="shared" si="0"/>
        <v>1009.3890392244084</v>
      </c>
      <c r="J13" s="138">
        <f>(References!$C$55*I13)</f>
        <v>1.7967124898194509</v>
      </c>
      <c r="K13" s="138">
        <f>J13/References!$G$58</f>
        <v>1.8320247672073731</v>
      </c>
      <c r="L13" s="138">
        <f t="shared" si="4"/>
        <v>0.15266873060061442</v>
      </c>
      <c r="M13" s="139">
        <f>'Proposed Rates'!B23</f>
        <v>17.8</v>
      </c>
      <c r="N13" s="138">
        <f t="shared" si="5"/>
        <v>17.952668730600614</v>
      </c>
      <c r="O13" s="139">
        <f>'Proposed Rates'!D23</f>
        <v>17.952668730600614</v>
      </c>
      <c r="P13" s="65">
        <f t="shared" si="11"/>
        <v>213.60000000000002</v>
      </c>
      <c r="Q13" s="65">
        <f t="shared" si="12"/>
        <v>215.43202476720737</v>
      </c>
      <c r="R13" s="65">
        <f t="shared" si="13"/>
        <v>1.8320247672073435</v>
      </c>
      <c r="S13" s="65">
        <f t="shared" si="14"/>
        <v>215.43202476720737</v>
      </c>
      <c r="T13" s="65">
        <f t="shared" si="15"/>
        <v>0</v>
      </c>
      <c r="U13" s="112">
        <f t="shared" si="16"/>
        <v>17.952668730600614</v>
      </c>
      <c r="V13" s="112">
        <f t="shared" si="17"/>
        <v>215.43202476720737</v>
      </c>
      <c r="W13" s="112">
        <f t="shared" si="18"/>
        <v>1.8320247672073435</v>
      </c>
      <c r="Y13" s="130">
        <f t="shared" si="10"/>
        <v>0</v>
      </c>
    </row>
    <row r="14" spans="1:25" s="57" customFormat="1" ht="15.5" x14ac:dyDescent="0.35">
      <c r="A14" s="286"/>
      <c r="B14" s="38">
        <v>21</v>
      </c>
      <c r="C14" s="132" t="s">
        <v>124</v>
      </c>
      <c r="D14" s="148">
        <v>126.58</v>
      </c>
      <c r="E14" s="141">
        <f>References!B11</f>
        <v>1</v>
      </c>
      <c r="F14" s="135">
        <f t="shared" si="2"/>
        <v>1518.96</v>
      </c>
      <c r="G14" s="135">
        <f>References!B16</f>
        <v>34</v>
      </c>
      <c r="H14" s="135">
        <f t="shared" si="3"/>
        <v>51644.639999999999</v>
      </c>
      <c r="I14" s="137">
        <f t="shared" si="0"/>
        <v>42659.192758339159</v>
      </c>
      <c r="J14" s="138">
        <f>(References!$C$55*I14)</f>
        <v>75.933363109843867</v>
      </c>
      <c r="K14" s="138">
        <f>J14/References!$G$58</f>
        <v>77.425744331840093</v>
      </c>
      <c r="L14" s="138">
        <f>K14/F14*E14</f>
        <v>5.0972865863380269E-2</v>
      </c>
      <c r="M14" s="139">
        <f>'Proposed Rates'!B25</f>
        <v>8.18</v>
      </c>
      <c r="N14" s="138">
        <f t="shared" si="5"/>
        <v>8.2309728658633805</v>
      </c>
      <c r="O14" s="139">
        <f>'Proposed Rates'!D25</f>
        <v>8.2309728658633805</v>
      </c>
      <c r="P14" s="65">
        <f t="shared" si="11"/>
        <v>12425.092799999999</v>
      </c>
      <c r="Q14" s="65">
        <f>D14*O14*12</f>
        <v>12502.518544331841</v>
      </c>
      <c r="R14" s="65">
        <f t="shared" si="13"/>
        <v>77.425744331841997</v>
      </c>
      <c r="S14" s="65">
        <f>D14*N14*12</f>
        <v>12502.518544331841</v>
      </c>
      <c r="T14" s="65">
        <f>Q14-S14</f>
        <v>0</v>
      </c>
      <c r="U14" s="112">
        <f t="shared" si="16"/>
        <v>8.2309728658633805</v>
      </c>
      <c r="V14" s="112">
        <f t="shared" si="17"/>
        <v>12502.518544331841</v>
      </c>
      <c r="W14" s="112">
        <f t="shared" si="18"/>
        <v>77.425744331841997</v>
      </c>
      <c r="Y14" s="130">
        <f t="shared" si="10"/>
        <v>0</v>
      </c>
    </row>
    <row r="15" spans="1:25" s="57" customFormat="1" ht="15.5" x14ac:dyDescent="0.35">
      <c r="A15" s="286"/>
      <c r="B15" s="38"/>
      <c r="C15" s="143" t="s">
        <v>125</v>
      </c>
      <c r="D15" s="135">
        <v>1</v>
      </c>
      <c r="E15" s="145">
        <f>References!C11</f>
        <v>2</v>
      </c>
      <c r="F15" s="135">
        <v>12</v>
      </c>
      <c r="G15" s="142">
        <f>References!B16</f>
        <v>34</v>
      </c>
      <c r="H15" s="135">
        <f t="shared" si="3"/>
        <v>408</v>
      </c>
      <c r="I15" s="137">
        <f t="shared" si="0"/>
        <v>337.01368903728206</v>
      </c>
      <c r="J15" s="138">
        <f>(References!$C$55*I15)</f>
        <v>0.59988436648636334</v>
      </c>
      <c r="K15" s="138">
        <f>J15/References!$G$58</f>
        <v>0.61167439036056326</v>
      </c>
      <c r="L15" s="147">
        <f>K15/F15*E15</f>
        <v>0.10194573172676054</v>
      </c>
      <c r="M15" s="138">
        <f>M14*2</f>
        <v>16.36</v>
      </c>
      <c r="N15" s="138">
        <f t="shared" si="5"/>
        <v>16.461945731726761</v>
      </c>
      <c r="O15" s="138">
        <f>O14*2</f>
        <v>16.461945731726761</v>
      </c>
      <c r="P15" s="65">
        <f>F15*M15</f>
        <v>196.32</v>
      </c>
      <c r="Q15" s="65">
        <f t="shared" ref="Q15:Q18" si="21">F15*O15</f>
        <v>197.54334878072115</v>
      </c>
      <c r="R15" s="65">
        <f t="shared" si="13"/>
        <v>1.2233487807211532</v>
      </c>
      <c r="S15" s="65">
        <f t="shared" ref="S15:S18" si="22">F15*N15</f>
        <v>197.54334878072115</v>
      </c>
      <c r="T15" s="65">
        <f t="shared" si="15"/>
        <v>0</v>
      </c>
      <c r="U15" s="112">
        <f t="shared" si="16"/>
        <v>16.461945731726761</v>
      </c>
      <c r="V15" s="112">
        <f>F15*U15</f>
        <v>197.54334878072115</v>
      </c>
      <c r="W15" s="112">
        <f t="shared" si="18"/>
        <v>1.2233487807211532</v>
      </c>
      <c r="Y15" s="130">
        <f t="shared" si="10"/>
        <v>0</v>
      </c>
    </row>
    <row r="16" spans="1:25" s="57" customFormat="1" ht="15.5" x14ac:dyDescent="0.35">
      <c r="A16" s="286"/>
      <c r="B16" s="38" t="s">
        <v>315</v>
      </c>
      <c r="C16" s="132" t="s">
        <v>126</v>
      </c>
      <c r="D16" s="148"/>
      <c r="E16" s="141"/>
      <c r="F16" s="135">
        <v>41</v>
      </c>
      <c r="G16" s="135">
        <f>References!B16</f>
        <v>34</v>
      </c>
      <c r="H16" s="135">
        <f t="shared" si="3"/>
        <v>1394</v>
      </c>
      <c r="I16" s="137">
        <f t="shared" si="0"/>
        <v>1151.4634375440469</v>
      </c>
      <c r="J16" s="138">
        <f>(References!$C$55*I16)</f>
        <v>2.049604918828408</v>
      </c>
      <c r="K16" s="138">
        <f>J16/References!$G$58</f>
        <v>2.0898875003985911</v>
      </c>
      <c r="L16" s="138">
        <f>K16/F16</f>
        <v>5.0972865863380269E-2</v>
      </c>
      <c r="M16" s="139">
        <f>'Proposed Rates'!B35</f>
        <v>8.18</v>
      </c>
      <c r="N16" s="138">
        <f t="shared" si="5"/>
        <v>8.2309728658633805</v>
      </c>
      <c r="O16" s="139">
        <f>'Proposed Rates'!D35</f>
        <v>8.2309728658633805</v>
      </c>
      <c r="P16" s="65">
        <f>F16*M16</f>
        <v>335.38</v>
      </c>
      <c r="Q16" s="65">
        <f>F16*O16</f>
        <v>337.46988750039861</v>
      </c>
      <c r="R16" s="65">
        <f t="shared" si="13"/>
        <v>2.0898875003986177</v>
      </c>
      <c r="S16" s="65">
        <f>F16*N16</f>
        <v>337.46988750039861</v>
      </c>
      <c r="T16" s="65">
        <f t="shared" si="15"/>
        <v>0</v>
      </c>
      <c r="U16" s="112">
        <f t="shared" si="16"/>
        <v>8.2309728658633805</v>
      </c>
      <c r="V16" s="112">
        <f>F16*U16</f>
        <v>337.46988750039861</v>
      </c>
      <c r="W16" s="112">
        <f t="shared" si="18"/>
        <v>2.0898875003986177</v>
      </c>
      <c r="Y16" s="130">
        <f t="shared" si="10"/>
        <v>0</v>
      </c>
    </row>
    <row r="17" spans="1:26" s="57" customFormat="1" ht="15.5" x14ac:dyDescent="0.35">
      <c r="A17" s="286"/>
      <c r="B17" s="38" t="s">
        <v>315</v>
      </c>
      <c r="C17" s="132" t="s">
        <v>127</v>
      </c>
      <c r="D17" s="148"/>
      <c r="E17" s="141"/>
      <c r="F17" s="135">
        <v>1300.9100000000001</v>
      </c>
      <c r="G17" s="135">
        <f>References!B26</f>
        <v>34</v>
      </c>
      <c r="H17" s="135">
        <f t="shared" si="3"/>
        <v>44230.94</v>
      </c>
      <c r="I17" s="137">
        <f t="shared" si="0"/>
        <v>36535.373183790885</v>
      </c>
      <c r="J17" s="138">
        <f>(References!$C$55*I17)</f>
        <v>65.032964267147918</v>
      </c>
      <c r="K17" s="138">
        <f>J17/References!$G$58</f>
        <v>66.311110930330031</v>
      </c>
      <c r="L17" s="138">
        <f>K17/F17</f>
        <v>5.0972865863380269E-2</v>
      </c>
      <c r="M17" s="139">
        <f>'Proposed Rates'!B31</f>
        <v>7.53</v>
      </c>
      <c r="N17" s="150">
        <f t="shared" si="5"/>
        <v>7.5809728658633802</v>
      </c>
      <c r="O17" s="139">
        <f>'Proposed Rates'!D31</f>
        <v>7.5809728658633802</v>
      </c>
      <c r="P17" s="65">
        <f t="shared" ref="P17:P18" si="23">F17*M17</f>
        <v>9795.8523000000005</v>
      </c>
      <c r="Q17" s="65">
        <f t="shared" si="21"/>
        <v>9862.1634109303304</v>
      </c>
      <c r="R17" s="65">
        <f t="shared" si="13"/>
        <v>66.31111093032996</v>
      </c>
      <c r="S17" s="65">
        <f t="shared" si="22"/>
        <v>9862.1634109303304</v>
      </c>
      <c r="T17" s="65">
        <f t="shared" si="15"/>
        <v>0</v>
      </c>
      <c r="U17" s="112">
        <f t="shared" si="16"/>
        <v>7.5809728658633802</v>
      </c>
      <c r="V17" s="112">
        <f t="shared" ref="V17:V18" si="24">F17*U17</f>
        <v>9862.1634109303304</v>
      </c>
      <c r="W17" s="112">
        <f t="shared" si="18"/>
        <v>66.31111093032996</v>
      </c>
      <c r="Y17" s="130">
        <f t="shared" si="10"/>
        <v>0</v>
      </c>
    </row>
    <row r="18" spans="1:26" s="57" customFormat="1" ht="15.5" x14ac:dyDescent="0.35">
      <c r="A18" s="286"/>
      <c r="B18" s="38">
        <v>16</v>
      </c>
      <c r="C18" s="132" t="s">
        <v>128</v>
      </c>
      <c r="D18" s="148"/>
      <c r="E18" s="141"/>
      <c r="F18" s="135">
        <v>13</v>
      </c>
      <c r="G18" s="135">
        <f>References!B26</f>
        <v>34</v>
      </c>
      <c r="H18" s="135">
        <f t="shared" si="3"/>
        <v>442</v>
      </c>
      <c r="I18" s="137">
        <f t="shared" si="0"/>
        <v>365.0981631237222</v>
      </c>
      <c r="J18" s="138">
        <f>(References!$C$55*I18)</f>
        <v>0.64987473036022692</v>
      </c>
      <c r="K18" s="138">
        <f>J18/References!$G$58</f>
        <v>0.66264725622394349</v>
      </c>
      <c r="L18" s="138">
        <f>K18/F18</f>
        <v>5.0972865863380269E-2</v>
      </c>
      <c r="M18" s="139">
        <f>'Proposed Rates'!B9</f>
        <v>7.0798351944380906</v>
      </c>
      <c r="N18" s="138">
        <f t="shared" si="5"/>
        <v>7.1308080603014705</v>
      </c>
      <c r="O18" s="139">
        <f>'Proposed Rates'!D9</f>
        <v>7.1308080603014705</v>
      </c>
      <c r="P18" s="65">
        <f t="shared" si="23"/>
        <v>92.037857527695181</v>
      </c>
      <c r="Q18" s="65">
        <f t="shared" si="21"/>
        <v>92.700504783919115</v>
      </c>
      <c r="R18" s="65">
        <f t="shared" si="13"/>
        <v>0.66264725622393428</v>
      </c>
      <c r="S18" s="65">
        <f t="shared" si="22"/>
        <v>92.700504783919115</v>
      </c>
      <c r="T18" s="65">
        <f t="shared" si="15"/>
        <v>0</v>
      </c>
      <c r="U18" s="112">
        <f t="shared" si="16"/>
        <v>7.1308080603014705</v>
      </c>
      <c r="V18" s="112">
        <f t="shared" si="24"/>
        <v>92.700504783919115</v>
      </c>
      <c r="W18" s="112">
        <f t="shared" si="18"/>
        <v>0.66264725622393428</v>
      </c>
      <c r="Y18" s="130">
        <f t="shared" si="10"/>
        <v>0</v>
      </c>
    </row>
    <row r="19" spans="1:26" s="57" customFormat="1" ht="15.5" x14ac:dyDescent="0.35">
      <c r="A19" s="43"/>
      <c r="B19" s="80"/>
      <c r="C19" s="151" t="s">
        <v>17</v>
      </c>
      <c r="D19" s="152">
        <f>SUM(D3:D18)</f>
        <v>2630.41</v>
      </c>
      <c r="E19" s="153"/>
      <c r="F19" s="154">
        <f>SUM(F3:F18)</f>
        <v>112920.79999999999</v>
      </c>
      <c r="G19" s="155"/>
      <c r="H19" s="156">
        <f>SUM(H3:H18)</f>
        <v>4024505.9799999991</v>
      </c>
      <c r="I19" s="157">
        <f>SUM(I3:I18)</f>
        <v>3324298.0560598085</v>
      </c>
      <c r="J19" s="158"/>
      <c r="K19" s="158"/>
      <c r="L19" s="158"/>
      <c r="M19" s="158"/>
      <c r="N19" s="158"/>
      <c r="O19" s="69"/>
      <c r="P19" s="68">
        <f>SUM(P3:P18)</f>
        <v>644732.70215752756</v>
      </c>
      <c r="Q19" s="68">
        <f>SUM(Q3:Q18)</f>
        <v>650780.65594983695</v>
      </c>
      <c r="R19" s="68">
        <f>SUM(R3:R18)</f>
        <v>6047.9537923094722</v>
      </c>
      <c r="S19" s="68">
        <f>SUM(S3:S18)</f>
        <v>650780.65594983695</v>
      </c>
      <c r="T19" s="68">
        <f>SUM(T3:T18)</f>
        <v>0</v>
      </c>
      <c r="U19" s="68"/>
      <c r="V19" s="68">
        <f>SUM(V3:V18)</f>
        <v>650780.65594983695</v>
      </c>
      <c r="W19" s="68">
        <f>SUM(W3:W18)</f>
        <v>6047.9537923094722</v>
      </c>
      <c r="Y19" s="130">
        <f t="shared" si="10"/>
        <v>0</v>
      </c>
    </row>
    <row r="20" spans="1:26" s="57" customFormat="1" ht="14.5" customHeight="1" x14ac:dyDescent="0.35">
      <c r="A20" s="286" t="s">
        <v>15</v>
      </c>
      <c r="B20" s="38">
        <v>35</v>
      </c>
      <c r="C20" s="143" t="s">
        <v>129</v>
      </c>
      <c r="D20" s="135"/>
      <c r="E20" s="141"/>
      <c r="F20" s="159">
        <v>5045.25</v>
      </c>
      <c r="G20" s="135">
        <f>References!$B$29</f>
        <v>175</v>
      </c>
      <c r="H20" s="135">
        <f>F20*G20</f>
        <v>882918.75</v>
      </c>
      <c r="I20" s="137">
        <f t="shared" ref="I20:I42" si="25">$D$76*H20</f>
        <v>729303.19867079845</v>
      </c>
      <c r="J20" s="138">
        <f>(References!$C$55*I20)</f>
        <v>1298.1596936340241</v>
      </c>
      <c r="K20" s="138">
        <f>J20/References!$G$58</f>
        <v>1323.6735003533347</v>
      </c>
      <c r="L20" s="138">
        <f>K20/F20</f>
        <v>0.26236033900269257</v>
      </c>
      <c r="M20" s="138">
        <f>'Proposed Rates'!$B$49</f>
        <v>21.93</v>
      </c>
      <c r="N20" s="138">
        <f t="shared" si="5"/>
        <v>22.192360339002693</v>
      </c>
      <c r="O20" s="138">
        <f>'Proposed Rates'!$D$49</f>
        <v>22.192360339002693</v>
      </c>
      <c r="P20" s="65">
        <f>F20*M20</f>
        <v>110642.3325</v>
      </c>
      <c r="Q20" s="65">
        <f>F20*O20</f>
        <v>111966.00600035334</v>
      </c>
      <c r="R20" s="65">
        <f t="shared" ref="R20" si="26">Q20-P20</f>
        <v>1323.6735003533395</v>
      </c>
      <c r="S20" s="65">
        <f>F20*N20</f>
        <v>111966.00600035334</v>
      </c>
      <c r="T20" s="65">
        <f t="shared" ref="T20" si="27">Q20-S20</f>
        <v>0</v>
      </c>
      <c r="U20" s="112">
        <f>N20</f>
        <v>22.192360339002693</v>
      </c>
      <c r="V20" s="112">
        <f>F20*U20</f>
        <v>111966.00600035334</v>
      </c>
      <c r="W20" s="112">
        <f t="shared" ref="W20" si="28">V20-P20</f>
        <v>1323.6735003533395</v>
      </c>
      <c r="Y20" s="130">
        <f t="shared" si="10"/>
        <v>0</v>
      </c>
    </row>
    <row r="21" spans="1:26" s="57" customFormat="1" ht="14.5" customHeight="1" x14ac:dyDescent="0.35">
      <c r="A21" s="286"/>
      <c r="B21" s="38">
        <v>35</v>
      </c>
      <c r="C21" s="143" t="s">
        <v>288</v>
      </c>
      <c r="D21" s="135"/>
      <c r="E21" s="141"/>
      <c r="F21" s="159">
        <v>248.96</v>
      </c>
      <c r="G21" s="135">
        <f>References!$B$29</f>
        <v>175</v>
      </c>
      <c r="H21" s="135">
        <f t="shared" ref="H21:H40" si="29">F21*G21</f>
        <v>43568</v>
      </c>
      <c r="I21" s="137">
        <f t="shared" si="25"/>
        <v>35987.775499941919</v>
      </c>
      <c r="J21" s="138">
        <f>(References!$C$55*I21)</f>
        <v>64.058240389896753</v>
      </c>
      <c r="K21" s="138">
        <f>J21/References!$G$58</f>
        <v>65.317229998110335</v>
      </c>
      <c r="L21" s="138">
        <f t="shared" ref="L21:L42" si="30">K21/F21</f>
        <v>0.26236033900269251</v>
      </c>
      <c r="M21" s="138">
        <f>'Proposed Rates'!$B$49</f>
        <v>21.93</v>
      </c>
      <c r="N21" s="138">
        <f t="shared" si="5"/>
        <v>22.192360339002693</v>
      </c>
      <c r="O21" s="138">
        <f>'Proposed Rates'!$D$49</f>
        <v>22.192360339002693</v>
      </c>
      <c r="P21" s="65">
        <f t="shared" ref="P21:P42" si="31">F21*M21</f>
        <v>5459.6927999999998</v>
      </c>
      <c r="Q21" s="65">
        <f t="shared" ref="Q21:Q42" si="32">F21*O21</f>
        <v>5525.0100299981104</v>
      </c>
      <c r="R21" s="65">
        <f t="shared" ref="R21" si="33">Q21-P21</f>
        <v>65.317229998110633</v>
      </c>
      <c r="S21" s="65">
        <f t="shared" ref="S21:S42" si="34">F21*N21</f>
        <v>5525.0100299981104</v>
      </c>
      <c r="T21" s="65">
        <f t="shared" ref="T21" si="35">Q21-S21</f>
        <v>0</v>
      </c>
      <c r="U21" s="112">
        <f>N21</f>
        <v>22.192360339002693</v>
      </c>
      <c r="V21" s="112">
        <f t="shared" ref="V21:V42" si="36">F21*U21</f>
        <v>5525.0100299981104</v>
      </c>
      <c r="W21" s="112">
        <f t="shared" ref="W21" si="37">V21-P21</f>
        <v>65.317229998110633</v>
      </c>
      <c r="Y21" s="130">
        <f t="shared" si="10"/>
        <v>0</v>
      </c>
      <c r="Z21" s="174"/>
    </row>
    <row r="22" spans="1:26" s="57" customFormat="1" ht="14.5" customHeight="1" x14ac:dyDescent="0.35">
      <c r="A22" s="286"/>
      <c r="B22" s="38">
        <v>35</v>
      </c>
      <c r="C22" s="143" t="s">
        <v>290</v>
      </c>
      <c r="D22" s="135"/>
      <c r="E22" s="141"/>
      <c r="F22" s="159">
        <v>155.87</v>
      </c>
      <c r="G22" s="135">
        <f>References!$B$29</f>
        <v>175</v>
      </c>
      <c r="H22" s="135">
        <f t="shared" si="29"/>
        <v>27277.25</v>
      </c>
      <c r="I22" s="137">
        <f t="shared" si="25"/>
        <v>22531.388846304417</v>
      </c>
      <c r="J22" s="138">
        <f>(References!$C$55*I22)</f>
        <v>40.105872146421945</v>
      </c>
      <c r="K22" s="138">
        <f>J22/References!$G$58</f>
        <v>40.894106040349683</v>
      </c>
      <c r="L22" s="138">
        <f t="shared" si="30"/>
        <v>0.26236033900269251</v>
      </c>
      <c r="M22" s="138">
        <f>'Proposed Rates'!$B$49</f>
        <v>21.93</v>
      </c>
      <c r="N22" s="138">
        <f t="shared" si="5"/>
        <v>22.192360339002693</v>
      </c>
      <c r="O22" s="138">
        <f>'Proposed Rates'!$D$49</f>
        <v>22.192360339002693</v>
      </c>
      <c r="P22" s="65">
        <f t="shared" si="31"/>
        <v>3418.2291</v>
      </c>
      <c r="Q22" s="65">
        <f t="shared" si="32"/>
        <v>3459.1232060403499</v>
      </c>
      <c r="R22" s="65">
        <f t="shared" ref="R22:R40" si="38">Q22-P22</f>
        <v>40.894106040349925</v>
      </c>
      <c r="S22" s="65">
        <f t="shared" si="34"/>
        <v>3459.1232060403499</v>
      </c>
      <c r="T22" s="65">
        <f t="shared" ref="T22:T40" si="39">Q22-S22</f>
        <v>0</v>
      </c>
      <c r="U22" s="112">
        <f t="shared" ref="U22:U40" si="40">N22</f>
        <v>22.192360339002693</v>
      </c>
      <c r="V22" s="112">
        <f t="shared" si="36"/>
        <v>3459.1232060403499</v>
      </c>
      <c r="W22" s="112">
        <f t="shared" ref="W22:W40" si="41">V22-P22</f>
        <v>40.894106040349925</v>
      </c>
      <c r="Y22" s="130">
        <f t="shared" si="10"/>
        <v>0</v>
      </c>
    </row>
    <row r="23" spans="1:26" s="57" customFormat="1" ht="14.5" customHeight="1" x14ac:dyDescent="0.35">
      <c r="A23" s="286"/>
      <c r="B23" s="38">
        <v>35</v>
      </c>
      <c r="C23" s="143" t="s">
        <v>133</v>
      </c>
      <c r="D23" s="135"/>
      <c r="E23" s="141"/>
      <c r="F23" s="159">
        <v>4516.84</v>
      </c>
      <c r="G23" s="135">
        <f>References!$B$29</f>
        <v>175</v>
      </c>
      <c r="H23" s="135">
        <f t="shared" si="29"/>
        <v>790447</v>
      </c>
      <c r="I23" s="137">
        <f t="shared" si="25"/>
        <v>652920.24377071683</v>
      </c>
      <c r="J23" s="138">
        <f>(References!$C$55*I23)</f>
        <v>1162.1980339118784</v>
      </c>
      <c r="K23" s="138">
        <f>J23/References!$G$58</f>
        <v>1185.0396736209218</v>
      </c>
      <c r="L23" s="138">
        <f t="shared" si="30"/>
        <v>0.26236033900269251</v>
      </c>
      <c r="M23" s="138">
        <f>'Proposed Rates'!$B$49</f>
        <v>21.93</v>
      </c>
      <c r="N23" s="138">
        <f t="shared" si="5"/>
        <v>22.192360339002693</v>
      </c>
      <c r="O23" s="138">
        <f>'Proposed Rates'!$D$49</f>
        <v>22.192360339002693</v>
      </c>
      <c r="P23" s="65">
        <f t="shared" si="31"/>
        <v>99054.301200000002</v>
      </c>
      <c r="Q23" s="65">
        <f t="shared" si="32"/>
        <v>100239.34087362092</v>
      </c>
      <c r="R23" s="65">
        <f t="shared" si="38"/>
        <v>1185.0396736209223</v>
      </c>
      <c r="S23" s="65">
        <f t="shared" si="34"/>
        <v>100239.34087362092</v>
      </c>
      <c r="T23" s="65">
        <f t="shared" si="39"/>
        <v>0</v>
      </c>
      <c r="U23" s="112">
        <f t="shared" si="40"/>
        <v>22.192360339002693</v>
      </c>
      <c r="V23" s="112">
        <f t="shared" si="36"/>
        <v>100239.34087362092</v>
      </c>
      <c r="W23" s="112">
        <f t="shared" si="41"/>
        <v>1185.0396736209223</v>
      </c>
      <c r="Y23" s="130">
        <f t="shared" si="10"/>
        <v>0</v>
      </c>
    </row>
    <row r="24" spans="1:26" s="57" customFormat="1" ht="14.5" customHeight="1" x14ac:dyDescent="0.35">
      <c r="A24" s="286"/>
      <c r="B24" s="38">
        <v>35</v>
      </c>
      <c r="C24" s="143" t="s">
        <v>136</v>
      </c>
      <c r="D24" s="135"/>
      <c r="E24" s="141"/>
      <c r="F24" s="159">
        <v>41.09</v>
      </c>
      <c r="G24" s="135">
        <f>References!$B$29</f>
        <v>175</v>
      </c>
      <c r="H24" s="135">
        <f t="shared" si="29"/>
        <v>7190.7500000000009</v>
      </c>
      <c r="I24" s="137">
        <f t="shared" si="25"/>
        <v>5939.6597657961665</v>
      </c>
      <c r="J24" s="138">
        <f>(References!$C$55*I24)</f>
        <v>10.572594383117199</v>
      </c>
      <c r="K24" s="138">
        <f>J24/References!$G$58</f>
        <v>10.780386329620637</v>
      </c>
      <c r="L24" s="138">
        <f t="shared" si="30"/>
        <v>0.26236033900269251</v>
      </c>
      <c r="M24" s="138">
        <f>'Proposed Rates'!B63</f>
        <v>24.93</v>
      </c>
      <c r="N24" s="138">
        <f t="shared" si="5"/>
        <v>25.192360339002693</v>
      </c>
      <c r="O24" s="138">
        <f>'Proposed Rates'!D63</f>
        <v>25.192360339002693</v>
      </c>
      <c r="P24" s="65">
        <f t="shared" si="31"/>
        <v>1024.3737000000001</v>
      </c>
      <c r="Q24" s="65">
        <f t="shared" si="32"/>
        <v>1035.1540863296207</v>
      </c>
      <c r="R24" s="65">
        <f t="shared" si="38"/>
        <v>10.780386329620569</v>
      </c>
      <c r="S24" s="65">
        <f t="shared" si="34"/>
        <v>1035.1540863296207</v>
      </c>
      <c r="T24" s="65">
        <f t="shared" si="39"/>
        <v>0</v>
      </c>
      <c r="U24" s="112">
        <f t="shared" si="40"/>
        <v>25.192360339002693</v>
      </c>
      <c r="V24" s="112">
        <f t="shared" si="36"/>
        <v>1035.1540863296207</v>
      </c>
      <c r="W24" s="112">
        <f t="shared" si="41"/>
        <v>10.780386329620569</v>
      </c>
      <c r="Y24" s="130">
        <f t="shared" si="10"/>
        <v>0</v>
      </c>
    </row>
    <row r="25" spans="1:26" s="57" customFormat="1" ht="14.5" customHeight="1" x14ac:dyDescent="0.35">
      <c r="A25" s="286"/>
      <c r="B25" s="38">
        <v>35</v>
      </c>
      <c r="C25" s="143" t="s">
        <v>130</v>
      </c>
      <c r="D25" s="135"/>
      <c r="E25" s="141"/>
      <c r="F25" s="159">
        <v>1810.99</v>
      </c>
      <c r="G25" s="135">
        <f>References!$B$30</f>
        <v>250</v>
      </c>
      <c r="H25" s="135">
        <f t="shared" si="29"/>
        <v>452747.5</v>
      </c>
      <c r="I25" s="137">
        <f t="shared" si="25"/>
        <v>373975.74798384029</v>
      </c>
      <c r="J25" s="138">
        <f>(References!$C$55*I25)</f>
        <v>665.67683141123712</v>
      </c>
      <c r="K25" s="138">
        <f>J25/References!$G$58</f>
        <v>678.75992904355155</v>
      </c>
      <c r="L25" s="138">
        <f t="shared" si="30"/>
        <v>0.3748004842895607</v>
      </c>
      <c r="M25" s="138">
        <f>'Proposed Rates'!$B$50</f>
        <v>30.73</v>
      </c>
      <c r="N25" s="138">
        <f t="shared" si="5"/>
        <v>31.104800484289562</v>
      </c>
      <c r="O25" s="138">
        <f>'Proposed Rates'!$D$50</f>
        <v>31.104800484289562</v>
      </c>
      <c r="P25" s="65">
        <f t="shared" si="31"/>
        <v>55651.722699999998</v>
      </c>
      <c r="Q25" s="65">
        <f t="shared" si="32"/>
        <v>56330.482629043552</v>
      </c>
      <c r="R25" s="65">
        <f t="shared" si="38"/>
        <v>678.75992904355371</v>
      </c>
      <c r="S25" s="65">
        <f t="shared" si="34"/>
        <v>56330.482629043552</v>
      </c>
      <c r="T25" s="65">
        <f t="shared" si="39"/>
        <v>0</v>
      </c>
      <c r="U25" s="112">
        <f t="shared" si="40"/>
        <v>31.104800484289562</v>
      </c>
      <c r="V25" s="112">
        <f t="shared" si="36"/>
        <v>56330.482629043552</v>
      </c>
      <c r="W25" s="112">
        <f t="shared" si="41"/>
        <v>678.75992904355371</v>
      </c>
      <c r="Y25" s="130">
        <f t="shared" si="10"/>
        <v>0</v>
      </c>
    </row>
    <row r="26" spans="1:26" s="57" customFormat="1" ht="14.5" customHeight="1" x14ac:dyDescent="0.35">
      <c r="A26" s="286"/>
      <c r="B26" s="38">
        <v>35</v>
      </c>
      <c r="C26" s="143" t="s">
        <v>292</v>
      </c>
      <c r="D26" s="135"/>
      <c r="E26" s="141"/>
      <c r="F26" s="159">
        <v>103.92</v>
      </c>
      <c r="G26" s="135">
        <f>References!$B$30</f>
        <v>250</v>
      </c>
      <c r="H26" s="135">
        <f t="shared" si="29"/>
        <v>25980</v>
      </c>
      <c r="I26" s="137">
        <f t="shared" si="25"/>
        <v>21459.842257815166</v>
      </c>
      <c r="J26" s="138">
        <f>(References!$C$55*I26)</f>
        <v>38.198519218911073</v>
      </c>
      <c r="K26" s="138">
        <f>J26/References!$G$58</f>
        <v>38.949266327371156</v>
      </c>
      <c r="L26" s="138">
        <f t="shared" si="30"/>
        <v>0.37480048428956075</v>
      </c>
      <c r="M26" s="138">
        <f>'Proposed Rates'!$B$50</f>
        <v>30.73</v>
      </c>
      <c r="N26" s="138">
        <f t="shared" si="5"/>
        <v>31.104800484289562</v>
      </c>
      <c r="O26" s="138">
        <f>'Proposed Rates'!$D$50</f>
        <v>31.104800484289562</v>
      </c>
      <c r="P26" s="65">
        <f t="shared" si="31"/>
        <v>3193.4616000000001</v>
      </c>
      <c r="Q26" s="65">
        <f t="shared" si="32"/>
        <v>3232.4108663273714</v>
      </c>
      <c r="R26" s="65">
        <f t="shared" si="38"/>
        <v>38.949266327371333</v>
      </c>
      <c r="S26" s="65">
        <f t="shared" si="34"/>
        <v>3232.4108663273714</v>
      </c>
      <c r="T26" s="65">
        <f t="shared" si="39"/>
        <v>0</v>
      </c>
      <c r="U26" s="112">
        <f t="shared" si="40"/>
        <v>31.104800484289562</v>
      </c>
      <c r="V26" s="112">
        <f t="shared" si="36"/>
        <v>3232.4108663273714</v>
      </c>
      <c r="W26" s="112">
        <f t="shared" si="41"/>
        <v>38.949266327371333</v>
      </c>
      <c r="Y26" s="130">
        <f t="shared" si="10"/>
        <v>0</v>
      </c>
    </row>
    <row r="27" spans="1:26" s="57" customFormat="1" ht="14.5" customHeight="1" x14ac:dyDescent="0.35">
      <c r="A27" s="286"/>
      <c r="B27" s="38">
        <v>35</v>
      </c>
      <c r="C27" s="143" t="s">
        <v>134</v>
      </c>
      <c r="D27" s="135"/>
      <c r="E27" s="141"/>
      <c r="F27" s="159">
        <v>571.91</v>
      </c>
      <c r="G27" s="135">
        <f>References!$B$30</f>
        <v>250</v>
      </c>
      <c r="H27" s="135">
        <f>F27*G27</f>
        <v>142977.5</v>
      </c>
      <c r="I27" s="137">
        <f t="shared" si="25"/>
        <v>118101.40863805881</v>
      </c>
      <c r="J27" s="138">
        <f>(References!$C$55*I27)</f>
        <v>210.22050737574514</v>
      </c>
      <c r="K27" s="138">
        <f>J27/References!$G$58</f>
        <v>214.35214497004273</v>
      </c>
      <c r="L27" s="138">
        <f t="shared" si="30"/>
        <v>0.37480048428956086</v>
      </c>
      <c r="M27" s="138">
        <f>'Proposed Rates'!$B$50</f>
        <v>30.73</v>
      </c>
      <c r="N27" s="138">
        <f t="shared" si="5"/>
        <v>31.104800484289562</v>
      </c>
      <c r="O27" s="138">
        <f>'Proposed Rates'!$D$50</f>
        <v>31.104800484289562</v>
      </c>
      <c r="P27" s="65">
        <f t="shared" si="31"/>
        <v>17574.794299999998</v>
      </c>
      <c r="Q27" s="65">
        <f t="shared" si="32"/>
        <v>17789.146444970043</v>
      </c>
      <c r="R27" s="65">
        <f t="shared" si="38"/>
        <v>214.35214497004563</v>
      </c>
      <c r="S27" s="65">
        <f t="shared" si="34"/>
        <v>17789.146444970043</v>
      </c>
      <c r="T27" s="65">
        <f t="shared" si="39"/>
        <v>0</v>
      </c>
      <c r="U27" s="112">
        <f t="shared" si="40"/>
        <v>31.104800484289562</v>
      </c>
      <c r="V27" s="112">
        <f t="shared" si="36"/>
        <v>17789.146444970043</v>
      </c>
      <c r="W27" s="112">
        <f t="shared" si="41"/>
        <v>214.35214497004563</v>
      </c>
      <c r="Y27" s="130">
        <f t="shared" si="10"/>
        <v>0</v>
      </c>
    </row>
    <row r="28" spans="1:26" s="57" customFormat="1" ht="14.5" customHeight="1" x14ac:dyDescent="0.35">
      <c r="A28" s="286"/>
      <c r="B28" s="38">
        <v>35</v>
      </c>
      <c r="C28" s="143" t="s">
        <v>137</v>
      </c>
      <c r="D28" s="135"/>
      <c r="E28" s="141"/>
      <c r="F28" s="159">
        <v>1</v>
      </c>
      <c r="G28" s="135">
        <f>References!$B$30</f>
        <v>250</v>
      </c>
      <c r="H28" s="135">
        <f t="shared" si="29"/>
        <v>250</v>
      </c>
      <c r="I28" s="137">
        <f t="shared" si="25"/>
        <v>206.50348592970713</v>
      </c>
      <c r="J28" s="138">
        <f>(References!$C$55*I28)</f>
        <v>0.36757620495487947</v>
      </c>
      <c r="K28" s="138">
        <f>J28/References!$G$58</f>
        <v>0.37480048428956075</v>
      </c>
      <c r="L28" s="138">
        <f t="shared" si="30"/>
        <v>0.37480048428956075</v>
      </c>
      <c r="M28" s="138">
        <f>'Proposed Rates'!B64</f>
        <v>34.979999999999997</v>
      </c>
      <c r="N28" s="138">
        <f t="shared" si="5"/>
        <v>35.354800484289555</v>
      </c>
      <c r="O28" s="138">
        <f>'Proposed Rates'!D64</f>
        <v>35.354800484289555</v>
      </c>
      <c r="P28" s="65">
        <f t="shared" si="31"/>
        <v>34.979999999999997</v>
      </c>
      <c r="Q28" s="65">
        <f t="shared" si="32"/>
        <v>35.354800484289555</v>
      </c>
      <c r="R28" s="65">
        <f t="shared" si="38"/>
        <v>0.37480048428955826</v>
      </c>
      <c r="S28" s="65">
        <f t="shared" si="34"/>
        <v>35.354800484289555</v>
      </c>
      <c r="T28" s="65">
        <f t="shared" si="39"/>
        <v>0</v>
      </c>
      <c r="U28" s="112">
        <f t="shared" si="40"/>
        <v>35.354800484289555</v>
      </c>
      <c r="V28" s="112">
        <f t="shared" si="36"/>
        <v>35.354800484289555</v>
      </c>
      <c r="W28" s="112">
        <f t="shared" si="41"/>
        <v>0.37480048428955826</v>
      </c>
      <c r="Y28" s="130">
        <f t="shared" si="10"/>
        <v>0</v>
      </c>
    </row>
    <row r="29" spans="1:26" s="57" customFormat="1" ht="14.5" customHeight="1" x14ac:dyDescent="0.35">
      <c r="A29" s="286"/>
      <c r="B29" s="38">
        <v>35</v>
      </c>
      <c r="C29" s="143" t="s">
        <v>138</v>
      </c>
      <c r="D29" s="135"/>
      <c r="E29" s="141"/>
      <c r="F29" s="159">
        <v>18</v>
      </c>
      <c r="G29" s="135">
        <f>References!$B$30</f>
        <v>250</v>
      </c>
      <c r="H29" s="135">
        <f t="shared" si="29"/>
        <v>4500</v>
      </c>
      <c r="I29" s="137">
        <f t="shared" si="25"/>
        <v>3717.0627467347285</v>
      </c>
      <c r="J29" s="138">
        <f>(References!$C$55*I29)</f>
        <v>6.6163716891878313</v>
      </c>
      <c r="K29" s="138">
        <f>J29/References!$G$58</f>
        <v>6.7464087172120948</v>
      </c>
      <c r="L29" s="138">
        <f t="shared" si="30"/>
        <v>0.37480048428956081</v>
      </c>
      <c r="M29" s="138">
        <f>M28</f>
        <v>34.979999999999997</v>
      </c>
      <c r="N29" s="138">
        <f t="shared" si="5"/>
        <v>35.354800484289555</v>
      </c>
      <c r="O29" s="138">
        <f>O28</f>
        <v>35.354800484289555</v>
      </c>
      <c r="P29" s="65">
        <f t="shared" si="31"/>
        <v>629.64</v>
      </c>
      <c r="Q29" s="65">
        <f t="shared" si="32"/>
        <v>636.38640871721202</v>
      </c>
      <c r="R29" s="65">
        <f t="shared" si="38"/>
        <v>6.7464087172120344</v>
      </c>
      <c r="S29" s="65">
        <f t="shared" si="34"/>
        <v>636.38640871721202</v>
      </c>
      <c r="T29" s="65">
        <f t="shared" si="39"/>
        <v>0</v>
      </c>
      <c r="U29" s="112">
        <f t="shared" si="40"/>
        <v>35.354800484289555</v>
      </c>
      <c r="V29" s="112">
        <f t="shared" si="36"/>
        <v>636.38640871721202</v>
      </c>
      <c r="W29" s="112">
        <f t="shared" si="41"/>
        <v>6.7464087172120344</v>
      </c>
      <c r="Y29" s="130">
        <f t="shared" si="10"/>
        <v>0</v>
      </c>
    </row>
    <row r="30" spans="1:26" s="57" customFormat="1" ht="14.5" customHeight="1" x14ac:dyDescent="0.35">
      <c r="A30" s="286"/>
      <c r="B30" s="38">
        <v>35</v>
      </c>
      <c r="C30" s="143" t="s">
        <v>131</v>
      </c>
      <c r="D30" s="135"/>
      <c r="E30" s="141"/>
      <c r="F30" s="159">
        <v>4669.24</v>
      </c>
      <c r="G30" s="135">
        <f>References!$B$32</f>
        <v>324</v>
      </c>
      <c r="H30" s="135">
        <f t="shared" si="29"/>
        <v>1512833.76</v>
      </c>
      <c r="I30" s="137">
        <f t="shared" si="25"/>
        <v>1249621.7802885838</v>
      </c>
      <c r="J30" s="138">
        <f>(References!$C$55*I30)</f>
        <v>2224.3267689136842</v>
      </c>
      <c r="K30" s="138">
        <f>J30/References!$G$58</f>
        <v>2268.0433035903889</v>
      </c>
      <c r="L30" s="138">
        <f t="shared" si="30"/>
        <v>0.48574142763927086</v>
      </c>
      <c r="M30" s="138">
        <f>'Proposed Rates'!$B$51</f>
        <v>43.09</v>
      </c>
      <c r="N30" s="138">
        <f t="shared" si="5"/>
        <v>43.575741427639272</v>
      </c>
      <c r="O30" s="138">
        <f>'Proposed Rates'!$D$51</f>
        <v>43.575741427639272</v>
      </c>
      <c r="P30" s="65">
        <f t="shared" si="31"/>
        <v>201197.55160000001</v>
      </c>
      <c r="Q30" s="65">
        <f t="shared" si="32"/>
        <v>203465.59490359039</v>
      </c>
      <c r="R30" s="65">
        <f t="shared" si="38"/>
        <v>2268.0433035903843</v>
      </c>
      <c r="S30" s="65">
        <f t="shared" si="34"/>
        <v>203465.59490359039</v>
      </c>
      <c r="T30" s="65">
        <f t="shared" si="39"/>
        <v>0</v>
      </c>
      <c r="U30" s="112">
        <f t="shared" si="40"/>
        <v>43.575741427639272</v>
      </c>
      <c r="V30" s="112">
        <f t="shared" si="36"/>
        <v>203465.59490359039</v>
      </c>
      <c r="W30" s="112">
        <f t="shared" si="41"/>
        <v>2268.0433035903843</v>
      </c>
      <c r="Y30" s="130">
        <f t="shared" si="10"/>
        <v>0</v>
      </c>
    </row>
    <row r="31" spans="1:26" s="57" customFormat="1" ht="14.5" customHeight="1" x14ac:dyDescent="0.35">
      <c r="A31" s="286"/>
      <c r="B31" s="38">
        <v>35</v>
      </c>
      <c r="C31" s="143" t="s">
        <v>132</v>
      </c>
      <c r="D31" s="135"/>
      <c r="E31" s="141"/>
      <c r="F31" s="159">
        <v>2905.47</v>
      </c>
      <c r="G31" s="135">
        <f>References!$B$32</f>
        <v>324</v>
      </c>
      <c r="H31" s="135">
        <f t="shared" si="29"/>
        <v>941372.27999999991</v>
      </c>
      <c r="I31" s="137">
        <f t="shared" si="25"/>
        <v>777586.62951038522</v>
      </c>
      <c r="J31" s="138">
        <f>(References!$C$55*I31)</f>
        <v>1384.1042005284887</v>
      </c>
      <c r="K31" s="138">
        <f>J31/References!$G$58</f>
        <v>1411.307145763072</v>
      </c>
      <c r="L31" s="138">
        <f t="shared" si="30"/>
        <v>0.48574142763927075</v>
      </c>
      <c r="M31" s="138">
        <f>'Proposed Rates'!$B$51</f>
        <v>43.09</v>
      </c>
      <c r="N31" s="138">
        <f t="shared" si="5"/>
        <v>43.575741427639272</v>
      </c>
      <c r="O31" s="138">
        <f>'Proposed Rates'!$D$51</f>
        <v>43.575741427639272</v>
      </c>
      <c r="P31" s="65">
        <f t="shared" si="31"/>
        <v>125196.7023</v>
      </c>
      <c r="Q31" s="65">
        <f t="shared" si="32"/>
        <v>126608.00944576306</v>
      </c>
      <c r="R31" s="65">
        <f t="shared" si="38"/>
        <v>1411.3071457630576</v>
      </c>
      <c r="S31" s="65">
        <f t="shared" si="34"/>
        <v>126608.00944576306</v>
      </c>
      <c r="T31" s="65">
        <f t="shared" si="39"/>
        <v>0</v>
      </c>
      <c r="U31" s="112">
        <f t="shared" si="40"/>
        <v>43.575741427639272</v>
      </c>
      <c r="V31" s="112">
        <f t="shared" si="36"/>
        <v>126608.00944576306</v>
      </c>
      <c r="W31" s="112">
        <f t="shared" si="41"/>
        <v>1411.3071457630576</v>
      </c>
      <c r="Y31" s="130">
        <f t="shared" si="10"/>
        <v>0</v>
      </c>
    </row>
    <row r="32" spans="1:26" s="57" customFormat="1" ht="14.5" customHeight="1" x14ac:dyDescent="0.35">
      <c r="A32" s="286"/>
      <c r="B32" s="38">
        <v>35</v>
      </c>
      <c r="C32" s="143" t="s">
        <v>294</v>
      </c>
      <c r="D32" s="135"/>
      <c r="E32" s="141"/>
      <c r="F32" s="159">
        <v>211.09</v>
      </c>
      <c r="G32" s="135">
        <f>References!$B$32</f>
        <v>324</v>
      </c>
      <c r="H32" s="135">
        <f t="shared" si="29"/>
        <v>68393.16</v>
      </c>
      <c r="I32" s="137">
        <f t="shared" si="25"/>
        <v>56493.703814992834</v>
      </c>
      <c r="J32" s="138">
        <f>(References!$C$55*I32)</f>
        <v>100.55879279068746</v>
      </c>
      <c r="K32" s="138">
        <f>J32/References!$G$58</f>
        <v>102.53515796037367</v>
      </c>
      <c r="L32" s="138">
        <f t="shared" si="30"/>
        <v>0.48574142763927075</v>
      </c>
      <c r="M32" s="138">
        <f>'Proposed Rates'!$B$51</f>
        <v>43.09</v>
      </c>
      <c r="N32" s="138">
        <f t="shared" si="5"/>
        <v>43.575741427639272</v>
      </c>
      <c r="O32" s="138">
        <f>'Proposed Rates'!$D$51</f>
        <v>43.575741427639272</v>
      </c>
      <c r="P32" s="65">
        <f t="shared" si="31"/>
        <v>9095.8681000000015</v>
      </c>
      <c r="Q32" s="65">
        <f t="shared" si="32"/>
        <v>9198.4032579603736</v>
      </c>
      <c r="R32" s="65">
        <f t="shared" si="38"/>
        <v>102.53515796037209</v>
      </c>
      <c r="S32" s="65">
        <f t="shared" si="34"/>
        <v>9198.4032579603736</v>
      </c>
      <c r="T32" s="65">
        <f t="shared" si="39"/>
        <v>0</v>
      </c>
      <c r="U32" s="112">
        <f t="shared" si="40"/>
        <v>43.575741427639272</v>
      </c>
      <c r="V32" s="112">
        <f t="shared" si="36"/>
        <v>9198.4032579603736</v>
      </c>
      <c r="W32" s="112">
        <f t="shared" si="41"/>
        <v>102.53515796037209</v>
      </c>
      <c r="Y32" s="130">
        <f t="shared" si="10"/>
        <v>0</v>
      </c>
    </row>
    <row r="33" spans="1:26" s="57" customFormat="1" ht="14.5" customHeight="1" x14ac:dyDescent="0.35">
      <c r="A33" s="286"/>
      <c r="B33" s="38">
        <v>35</v>
      </c>
      <c r="C33" s="132" t="s">
        <v>135</v>
      </c>
      <c r="D33" s="148"/>
      <c r="E33" s="141"/>
      <c r="F33" s="160">
        <v>801.79</v>
      </c>
      <c r="G33" s="135">
        <f>References!$B$32</f>
        <v>324</v>
      </c>
      <c r="H33" s="135">
        <f t="shared" si="29"/>
        <v>259779.96</v>
      </c>
      <c r="I33" s="137">
        <f t="shared" si="25"/>
        <v>214581.86925871953</v>
      </c>
      <c r="J33" s="138">
        <f>(References!$C$55*I33)</f>
        <v>381.95572728052156</v>
      </c>
      <c r="K33" s="138">
        <f>J33/References!$G$58</f>
        <v>389.4626192668909</v>
      </c>
      <c r="L33" s="138">
        <f t="shared" si="30"/>
        <v>0.48574142763927075</v>
      </c>
      <c r="M33" s="138">
        <f>'Proposed Rates'!$B$51</f>
        <v>43.09</v>
      </c>
      <c r="N33" s="138">
        <f t="shared" si="5"/>
        <v>43.575741427639272</v>
      </c>
      <c r="O33" s="138">
        <f>'Proposed Rates'!$D$51</f>
        <v>43.575741427639272</v>
      </c>
      <c r="P33" s="65">
        <f t="shared" si="31"/>
        <v>34549.131099999999</v>
      </c>
      <c r="Q33" s="65">
        <f t="shared" si="32"/>
        <v>34938.593719266893</v>
      </c>
      <c r="R33" s="65">
        <f t="shared" si="38"/>
        <v>389.46261926689476</v>
      </c>
      <c r="S33" s="65">
        <f t="shared" si="34"/>
        <v>34938.593719266893</v>
      </c>
      <c r="T33" s="65">
        <f t="shared" si="39"/>
        <v>0</v>
      </c>
      <c r="U33" s="112">
        <f t="shared" si="40"/>
        <v>43.575741427639272</v>
      </c>
      <c r="V33" s="112">
        <f t="shared" si="36"/>
        <v>34938.593719266893</v>
      </c>
      <c r="W33" s="112">
        <f t="shared" si="41"/>
        <v>389.46261926689476</v>
      </c>
      <c r="Y33" s="130">
        <f t="shared" si="10"/>
        <v>0</v>
      </c>
    </row>
    <row r="34" spans="1:26" s="57" customFormat="1" ht="14.5" customHeight="1" x14ac:dyDescent="0.35">
      <c r="A34" s="286"/>
      <c r="B34" s="38">
        <v>35</v>
      </c>
      <c r="C34" s="132" t="s">
        <v>139</v>
      </c>
      <c r="D34" s="148"/>
      <c r="E34" s="141"/>
      <c r="F34" s="160">
        <v>1</v>
      </c>
      <c r="G34" s="135">
        <f>References!$B$32</f>
        <v>324</v>
      </c>
      <c r="H34" s="135">
        <f t="shared" si="29"/>
        <v>324</v>
      </c>
      <c r="I34" s="137">
        <f t="shared" si="25"/>
        <v>267.62851776490044</v>
      </c>
      <c r="J34" s="138">
        <f>(References!$C$55*I34)</f>
        <v>0.47637876162152382</v>
      </c>
      <c r="K34" s="138">
        <f>J34/References!$G$58</f>
        <v>0.48574142763927081</v>
      </c>
      <c r="L34" s="138">
        <f t="shared" si="30"/>
        <v>0.48574142763927081</v>
      </c>
      <c r="M34" s="138">
        <f>'Proposed Rates'!B58</f>
        <v>48.09</v>
      </c>
      <c r="N34" s="138">
        <f t="shared" si="5"/>
        <v>48.575741427639272</v>
      </c>
      <c r="O34" s="138">
        <f>'Proposed Rates'!D58</f>
        <v>48.575741427639272</v>
      </c>
      <c r="P34" s="65">
        <f t="shared" si="31"/>
        <v>48.09</v>
      </c>
      <c r="Q34" s="65">
        <f t="shared" si="32"/>
        <v>48.575741427639272</v>
      </c>
      <c r="R34" s="65">
        <f t="shared" si="38"/>
        <v>0.48574142763926886</v>
      </c>
      <c r="S34" s="65">
        <f t="shared" si="34"/>
        <v>48.575741427639272</v>
      </c>
      <c r="T34" s="65">
        <f t="shared" si="39"/>
        <v>0</v>
      </c>
      <c r="U34" s="112">
        <f t="shared" si="40"/>
        <v>48.575741427639272</v>
      </c>
      <c r="V34" s="112">
        <f t="shared" si="36"/>
        <v>48.575741427639272</v>
      </c>
      <c r="W34" s="112">
        <f t="shared" si="41"/>
        <v>0.48574142763926886</v>
      </c>
      <c r="Y34" s="130">
        <f t="shared" si="10"/>
        <v>0</v>
      </c>
    </row>
    <row r="35" spans="1:26" s="57" customFormat="1" ht="14.5" customHeight="1" x14ac:dyDescent="0.35">
      <c r="A35" s="286"/>
      <c r="B35" s="38">
        <v>35</v>
      </c>
      <c r="C35" s="132" t="s">
        <v>140</v>
      </c>
      <c r="D35" s="148"/>
      <c r="E35" s="141"/>
      <c r="F35" s="160">
        <v>275.93</v>
      </c>
      <c r="G35" s="135">
        <f>References!$B$32</f>
        <v>324</v>
      </c>
      <c r="H35" s="135">
        <f t="shared" si="29"/>
        <v>89401.32</v>
      </c>
      <c r="I35" s="137">
        <f t="shared" si="25"/>
        <v>73846.736906868988</v>
      </c>
      <c r="J35" s="138">
        <f>(References!$C$55*I35)</f>
        <v>131.44719169422709</v>
      </c>
      <c r="K35" s="138">
        <f>J35/References!$G$58</f>
        <v>134.03063212850401</v>
      </c>
      <c r="L35" s="138">
        <f t="shared" si="30"/>
        <v>0.48574142763927086</v>
      </c>
      <c r="M35" s="138">
        <f>'Proposed Rates'!B65</f>
        <v>49.41</v>
      </c>
      <c r="N35" s="138">
        <f t="shared" si="5"/>
        <v>49.895741427639265</v>
      </c>
      <c r="O35" s="138">
        <f>'Proposed Rates'!D65</f>
        <v>49.895741427639265</v>
      </c>
      <c r="P35" s="65">
        <f t="shared" si="31"/>
        <v>13633.701299999999</v>
      </c>
      <c r="Q35" s="65">
        <f t="shared" si="32"/>
        <v>13767.731932128503</v>
      </c>
      <c r="R35" s="65">
        <f t="shared" si="38"/>
        <v>134.03063212850429</v>
      </c>
      <c r="S35" s="65">
        <f t="shared" si="34"/>
        <v>13767.731932128503</v>
      </c>
      <c r="T35" s="65">
        <f t="shared" si="39"/>
        <v>0</v>
      </c>
      <c r="U35" s="112">
        <f t="shared" si="40"/>
        <v>49.895741427639265</v>
      </c>
      <c r="V35" s="112">
        <f t="shared" si="36"/>
        <v>13767.731932128503</v>
      </c>
      <c r="W35" s="112">
        <f t="shared" si="41"/>
        <v>134.03063212850429</v>
      </c>
      <c r="Y35" s="130">
        <f t="shared" si="10"/>
        <v>0</v>
      </c>
    </row>
    <row r="36" spans="1:26" s="57" customFormat="1" ht="14.5" customHeight="1" x14ac:dyDescent="0.35">
      <c r="A36" s="286"/>
      <c r="B36" s="38" t="s">
        <v>320</v>
      </c>
      <c r="C36" s="132" t="s">
        <v>237</v>
      </c>
      <c r="D36" s="148"/>
      <c r="E36" s="141"/>
      <c r="F36" s="160">
        <v>118.14</v>
      </c>
      <c r="G36" s="135">
        <f>References!B48</f>
        <v>125</v>
      </c>
      <c r="H36" s="135">
        <f t="shared" si="29"/>
        <v>14767.5</v>
      </c>
      <c r="I36" s="137">
        <f t="shared" si="25"/>
        <v>12198.1609138678</v>
      </c>
      <c r="J36" s="138">
        <f>(References!$C$55*I36)</f>
        <v>21.712726426684728</v>
      </c>
      <c r="K36" s="138">
        <f>J36/References!$G$58</f>
        <v>22.139464606984351</v>
      </c>
      <c r="L36" s="138">
        <f t="shared" si="30"/>
        <v>0.18740024214478035</v>
      </c>
      <c r="M36" s="138">
        <f>'Proposed Rates'!B80</f>
        <v>27.01</v>
      </c>
      <c r="N36" s="138">
        <f t="shared" si="5"/>
        <v>27.197400242144781</v>
      </c>
      <c r="O36" s="138">
        <f>'Proposed Rates'!D80</f>
        <v>27.197400242144781</v>
      </c>
      <c r="P36" s="65">
        <f t="shared" si="31"/>
        <v>3190.9614000000001</v>
      </c>
      <c r="Q36" s="65">
        <f t="shared" si="32"/>
        <v>3213.1008646069845</v>
      </c>
      <c r="R36" s="65">
        <f t="shared" si="38"/>
        <v>22.139464606984347</v>
      </c>
      <c r="S36" s="65">
        <f t="shared" si="34"/>
        <v>3213.1008646069845</v>
      </c>
      <c r="T36" s="65">
        <f t="shared" si="39"/>
        <v>0</v>
      </c>
      <c r="U36" s="112">
        <f t="shared" si="40"/>
        <v>27.197400242144781</v>
      </c>
      <c r="V36" s="112">
        <f t="shared" si="36"/>
        <v>3213.1008646069845</v>
      </c>
      <c r="W36" s="112">
        <f t="shared" si="41"/>
        <v>22.139464606984347</v>
      </c>
      <c r="Y36" s="130">
        <f t="shared" si="10"/>
        <v>0</v>
      </c>
    </row>
    <row r="37" spans="1:26" s="57" customFormat="1" ht="14.5" customHeight="1" x14ac:dyDescent="0.35">
      <c r="A37" s="286"/>
      <c r="B37" s="38">
        <v>36</v>
      </c>
      <c r="C37" s="143" t="s">
        <v>141</v>
      </c>
      <c r="D37" s="135"/>
      <c r="E37" s="141"/>
      <c r="F37" s="161">
        <v>1045.08</v>
      </c>
      <c r="G37" s="146">
        <f>References!$B$28</f>
        <v>29</v>
      </c>
      <c r="H37" s="135">
        <f t="shared" si="29"/>
        <v>30307.32</v>
      </c>
      <c r="I37" s="137">
        <f t="shared" si="25"/>
        <v>25034.268916748526</v>
      </c>
      <c r="J37" s="138">
        <f>(References!$C$55*I37)</f>
        <v>44.56099867181247</v>
      </c>
      <c r="K37" s="138">
        <f>J37/References!$G$58</f>
        <v>45.43679285407476</v>
      </c>
      <c r="L37" s="138">
        <f>K37/F37</f>
        <v>4.3476856177589049E-2</v>
      </c>
      <c r="M37" s="138">
        <f>'Proposed Rates'!$B$89</f>
        <v>5.46</v>
      </c>
      <c r="N37" s="138">
        <f>L37+M37</f>
        <v>5.5034768561775893</v>
      </c>
      <c r="O37" s="138">
        <f>'Proposed Rates'!$D$89</f>
        <v>5.5034768561775893</v>
      </c>
      <c r="P37" s="65">
        <f t="shared" si="31"/>
        <v>5706.1367999999993</v>
      </c>
      <c r="Q37" s="65">
        <f t="shared" si="32"/>
        <v>5751.5735928540744</v>
      </c>
      <c r="R37" s="65">
        <f t="shared" si="38"/>
        <v>45.436792854075065</v>
      </c>
      <c r="S37" s="65">
        <f t="shared" si="34"/>
        <v>5751.5735928540744</v>
      </c>
      <c r="T37" s="65">
        <f t="shared" si="39"/>
        <v>0</v>
      </c>
      <c r="U37" s="112">
        <f t="shared" si="40"/>
        <v>5.5034768561775893</v>
      </c>
      <c r="V37" s="112">
        <f t="shared" si="36"/>
        <v>5751.5735928540744</v>
      </c>
      <c r="W37" s="112">
        <f t="shared" si="41"/>
        <v>45.436792854075065</v>
      </c>
      <c r="Y37" s="130">
        <f t="shared" si="10"/>
        <v>0</v>
      </c>
    </row>
    <row r="38" spans="1:26" s="57" customFormat="1" ht="14.5" customHeight="1" x14ac:dyDescent="0.35">
      <c r="A38" s="286"/>
      <c r="B38" s="38"/>
      <c r="C38" s="143" t="s">
        <v>296</v>
      </c>
      <c r="D38" s="135"/>
      <c r="E38" s="141"/>
      <c r="F38" s="161">
        <f>205.15*2</f>
        <v>410.3</v>
      </c>
      <c r="G38" s="146">
        <f>References!$B$28</f>
        <v>29</v>
      </c>
      <c r="H38" s="135">
        <f t="shared" si="29"/>
        <v>11898.7</v>
      </c>
      <c r="I38" s="137">
        <f t="shared" si="25"/>
        <v>9828.4921121272255</v>
      </c>
      <c r="J38" s="138">
        <f>(References!$C$55*I38)</f>
        <v>17.4947159595865</v>
      </c>
      <c r="K38" s="138">
        <f>J38/References!$G$58</f>
        <v>17.83855408966479</v>
      </c>
      <c r="L38" s="138">
        <f t="shared" si="30"/>
        <v>4.3476856177589056E-2</v>
      </c>
      <c r="M38" s="138">
        <f>'Proposed Rates'!$B$89</f>
        <v>5.46</v>
      </c>
      <c r="N38" s="138">
        <f t="shared" si="5"/>
        <v>5.5034768561775893</v>
      </c>
      <c r="O38" s="138">
        <f>'Proposed Rates'!$D$89</f>
        <v>5.5034768561775893</v>
      </c>
      <c r="P38" s="65">
        <f t="shared" si="31"/>
        <v>2240.2379999999998</v>
      </c>
      <c r="Q38" s="65">
        <f t="shared" si="32"/>
        <v>2258.076554089665</v>
      </c>
      <c r="R38" s="65">
        <f t="shared" si="38"/>
        <v>17.838554089665195</v>
      </c>
      <c r="S38" s="65">
        <f t="shared" si="34"/>
        <v>2258.076554089665</v>
      </c>
      <c r="T38" s="65">
        <f t="shared" si="39"/>
        <v>0</v>
      </c>
      <c r="U38" s="112">
        <f t="shared" si="40"/>
        <v>5.5034768561775893</v>
      </c>
      <c r="V38" s="112">
        <f t="shared" si="36"/>
        <v>2258.076554089665</v>
      </c>
      <c r="W38" s="112">
        <f t="shared" si="41"/>
        <v>17.838554089665195</v>
      </c>
      <c r="Y38" s="130">
        <f t="shared" si="10"/>
        <v>0</v>
      </c>
    </row>
    <row r="39" spans="1:26" s="57" customFormat="1" ht="14.5" customHeight="1" x14ac:dyDescent="0.35">
      <c r="A39" s="286"/>
      <c r="B39" s="38"/>
      <c r="C39" s="143" t="s">
        <v>142</v>
      </c>
      <c r="D39" s="135"/>
      <c r="E39" s="141"/>
      <c r="F39" s="161">
        <f>4.36*3</f>
        <v>13.080000000000002</v>
      </c>
      <c r="G39" s="146">
        <f>References!$B$28</f>
        <v>29</v>
      </c>
      <c r="H39" s="135">
        <f t="shared" si="29"/>
        <v>379.32000000000005</v>
      </c>
      <c r="I39" s="137">
        <f t="shared" si="25"/>
        <v>313.32360913142605</v>
      </c>
      <c r="J39" s="138">
        <f>(References!$C$55*I39)</f>
        <v>0.55771602425393951</v>
      </c>
      <c r="K39" s="138">
        <f>J39/References!$G$58</f>
        <v>0.56867727880286478</v>
      </c>
      <c r="L39" s="138">
        <f t="shared" si="30"/>
        <v>4.3476856177589042E-2</v>
      </c>
      <c r="M39" s="138">
        <f>'Proposed Rates'!$B$89</f>
        <v>5.46</v>
      </c>
      <c r="N39" s="138">
        <f t="shared" si="5"/>
        <v>5.5034768561775893</v>
      </c>
      <c r="O39" s="138">
        <f>'Proposed Rates'!$D$89</f>
        <v>5.5034768561775893</v>
      </c>
      <c r="P39" s="65">
        <f t="shared" si="31"/>
        <v>71.416800000000009</v>
      </c>
      <c r="Q39" s="65">
        <f t="shared" si="32"/>
        <v>71.985477278802875</v>
      </c>
      <c r="R39" s="65">
        <f t="shared" si="38"/>
        <v>0.56867727880286623</v>
      </c>
      <c r="S39" s="65">
        <f t="shared" si="34"/>
        <v>71.985477278802875</v>
      </c>
      <c r="T39" s="65">
        <f t="shared" si="39"/>
        <v>0</v>
      </c>
      <c r="U39" s="112">
        <f t="shared" si="40"/>
        <v>5.5034768561775893</v>
      </c>
      <c r="V39" s="112">
        <f t="shared" si="36"/>
        <v>71.985477278802875</v>
      </c>
      <c r="W39" s="112">
        <f t="shared" si="41"/>
        <v>0.56867727880286623</v>
      </c>
      <c r="Y39" s="130">
        <f t="shared" si="10"/>
        <v>0</v>
      </c>
    </row>
    <row r="40" spans="1:26" s="57" customFormat="1" ht="14.5" customHeight="1" x14ac:dyDescent="0.35">
      <c r="A40" s="286"/>
      <c r="B40" s="38"/>
      <c r="C40" s="143" t="s">
        <v>298</v>
      </c>
      <c r="D40" s="135"/>
      <c r="E40" s="141"/>
      <c r="F40" s="161">
        <f>23.96*4</f>
        <v>95.84</v>
      </c>
      <c r="G40" s="146">
        <f>References!$B$28</f>
        <v>29</v>
      </c>
      <c r="H40" s="135">
        <f t="shared" si="29"/>
        <v>2779.36</v>
      </c>
      <c r="I40" s="137">
        <f t="shared" si="25"/>
        <v>2295.7901146143636</v>
      </c>
      <c r="J40" s="138">
        <f>(References!$C$55*I40)</f>
        <v>4.0865064040135755</v>
      </c>
      <c r="K40" s="138">
        <f>J40/References!$G$58</f>
        <v>4.1668218960601351</v>
      </c>
      <c r="L40" s="138">
        <f t="shared" si="30"/>
        <v>4.3476856177589056E-2</v>
      </c>
      <c r="M40" s="138">
        <f>'Proposed Rates'!$B$89</f>
        <v>5.46</v>
      </c>
      <c r="N40" s="138">
        <f t="shared" si="5"/>
        <v>5.5034768561775893</v>
      </c>
      <c r="O40" s="138">
        <f>'Proposed Rates'!$D$89</f>
        <v>5.5034768561775893</v>
      </c>
      <c r="P40" s="65">
        <f t="shared" si="31"/>
        <v>523.28640000000007</v>
      </c>
      <c r="Q40" s="65">
        <f t="shared" si="32"/>
        <v>527.4532218960602</v>
      </c>
      <c r="R40" s="65">
        <f t="shared" si="38"/>
        <v>4.166821896060128</v>
      </c>
      <c r="S40" s="65">
        <f t="shared" si="34"/>
        <v>527.4532218960602</v>
      </c>
      <c r="T40" s="65">
        <f t="shared" si="39"/>
        <v>0</v>
      </c>
      <c r="U40" s="112">
        <f t="shared" si="40"/>
        <v>5.5034768561775893</v>
      </c>
      <c r="V40" s="112">
        <f t="shared" si="36"/>
        <v>527.4532218960602</v>
      </c>
      <c r="W40" s="112">
        <f t="shared" si="41"/>
        <v>4.166821896060128</v>
      </c>
      <c r="Y40" s="130">
        <f t="shared" si="10"/>
        <v>0</v>
      </c>
    </row>
    <row r="41" spans="1:26" s="57" customFormat="1" ht="14.5" customHeight="1" x14ac:dyDescent="0.35">
      <c r="A41" s="286"/>
      <c r="B41" s="38">
        <v>36</v>
      </c>
      <c r="C41" s="132" t="s">
        <v>143</v>
      </c>
      <c r="D41" s="148"/>
      <c r="E41" s="141"/>
      <c r="F41" s="159">
        <v>51.96</v>
      </c>
      <c r="G41" s="135">
        <f>References!B23</f>
        <v>47</v>
      </c>
      <c r="H41" s="135">
        <f t="shared" ref="H41:H42" si="42">F41*G41</f>
        <v>2442.12</v>
      </c>
      <c r="I41" s="137">
        <f t="shared" si="25"/>
        <v>2017.2251722346255</v>
      </c>
      <c r="J41" s="138">
        <f>(References!$C$55*I41)</f>
        <v>3.5906608065776409</v>
      </c>
      <c r="K41" s="138">
        <f>J41/References!$G$58</f>
        <v>3.6612310347728885</v>
      </c>
      <c r="L41" s="138">
        <f t="shared" si="30"/>
        <v>7.0462491046437425E-2</v>
      </c>
      <c r="M41" s="138">
        <f>'Proposed Rates'!B74</f>
        <v>7.59</v>
      </c>
      <c r="N41" s="138">
        <f t="shared" si="5"/>
        <v>7.6604624910464372</v>
      </c>
      <c r="O41" s="138">
        <f>'Proposed Rates'!D74</f>
        <v>7.6604624910464372</v>
      </c>
      <c r="P41" s="65">
        <f t="shared" si="31"/>
        <v>394.37639999999999</v>
      </c>
      <c r="Q41" s="65">
        <f t="shared" si="32"/>
        <v>398.03763103477286</v>
      </c>
      <c r="R41" s="65">
        <f t="shared" ref="R41:R42" si="43">Q41-P41</f>
        <v>3.661231034772868</v>
      </c>
      <c r="S41" s="65">
        <f t="shared" si="34"/>
        <v>398.03763103477286</v>
      </c>
      <c r="T41" s="65">
        <f t="shared" ref="T41:T42" si="44">Q41-S41</f>
        <v>0</v>
      </c>
      <c r="U41" s="112">
        <f t="shared" ref="U41:U42" si="45">N41</f>
        <v>7.6604624910464372</v>
      </c>
      <c r="V41" s="112">
        <f t="shared" si="36"/>
        <v>398.03763103477286</v>
      </c>
      <c r="W41" s="112">
        <f t="shared" ref="W41:W42" si="46">V41-P41</f>
        <v>3.661231034772868</v>
      </c>
      <c r="Y41" s="130">
        <f t="shared" si="10"/>
        <v>0</v>
      </c>
    </row>
    <row r="42" spans="1:26" s="57" customFormat="1" ht="14.5" customHeight="1" x14ac:dyDescent="0.35">
      <c r="A42" s="286"/>
      <c r="B42" s="38" t="s">
        <v>321</v>
      </c>
      <c r="C42" s="132" t="s">
        <v>300</v>
      </c>
      <c r="D42" s="148"/>
      <c r="E42" s="141"/>
      <c r="F42" s="160">
        <v>38.97</v>
      </c>
      <c r="G42" s="135">
        <f>References!B28</f>
        <v>29</v>
      </c>
      <c r="H42" s="135">
        <f t="shared" si="42"/>
        <v>1130.1299999999999</v>
      </c>
      <c r="I42" s="137">
        <f t="shared" si="25"/>
        <v>933.50313821495956</v>
      </c>
      <c r="J42" s="138">
        <f>(References!$C$55*I42)</f>
        <v>1.6616355860226315</v>
      </c>
      <c r="K42" s="138">
        <f>J42/References!$G$58</f>
        <v>1.694293085240645</v>
      </c>
      <c r="L42" s="138">
        <f t="shared" si="30"/>
        <v>4.3476856177589042E-2</v>
      </c>
      <c r="M42" s="138">
        <f>'Proposed Rates'!B82</f>
        <v>7.45</v>
      </c>
      <c r="N42" s="138">
        <f t="shared" si="5"/>
        <v>7.4934768561775895</v>
      </c>
      <c r="O42" s="138">
        <f>'Proposed Rates'!D82</f>
        <v>7.4934768561775895</v>
      </c>
      <c r="P42" s="65">
        <f t="shared" si="31"/>
        <v>290.32650000000001</v>
      </c>
      <c r="Q42" s="65">
        <f t="shared" si="32"/>
        <v>292.02079308524065</v>
      </c>
      <c r="R42" s="65">
        <f t="shared" si="43"/>
        <v>1.6942930852406448</v>
      </c>
      <c r="S42" s="65">
        <f t="shared" si="34"/>
        <v>292.02079308524065</v>
      </c>
      <c r="T42" s="65">
        <f t="shared" si="44"/>
        <v>0</v>
      </c>
      <c r="U42" s="112">
        <f t="shared" si="45"/>
        <v>7.4934768561775895</v>
      </c>
      <c r="V42" s="112">
        <f t="shared" si="36"/>
        <v>292.02079308524065</v>
      </c>
      <c r="W42" s="112">
        <f t="shared" si="46"/>
        <v>1.6942930852406448</v>
      </c>
      <c r="Y42" s="130">
        <f t="shared" si="10"/>
        <v>0</v>
      </c>
    </row>
    <row r="43" spans="1:26" s="57" customFormat="1" ht="15.5" x14ac:dyDescent="0.35">
      <c r="A43" s="43"/>
      <c r="B43" s="40"/>
      <c r="C43" s="151" t="s">
        <v>17</v>
      </c>
      <c r="D43" s="152">
        <f>SUM(D20:D42)</f>
        <v>0</v>
      </c>
      <c r="E43" s="153"/>
      <c r="F43" s="154">
        <f>SUM(F20:F42)</f>
        <v>23151.72</v>
      </c>
      <c r="G43" s="155"/>
      <c r="H43" s="154">
        <f>SUM(H20:H42)</f>
        <v>5313665.6800000016</v>
      </c>
      <c r="I43" s="157">
        <f>SUM(I20:I42)</f>
        <v>4389161.9439401906</v>
      </c>
      <c r="J43" s="162"/>
      <c r="K43" s="162"/>
      <c r="L43" s="162"/>
      <c r="M43" s="162"/>
      <c r="N43" s="162"/>
      <c r="O43" s="68"/>
      <c r="P43" s="68">
        <f>SUM(P20:P42)</f>
        <v>692821.31459999981</v>
      </c>
      <c r="Q43" s="68">
        <f>SUM(Q20:Q42)</f>
        <v>700787.57248086738</v>
      </c>
      <c r="R43" s="68">
        <f>SUM(R20:R42)</f>
        <v>7966.2578808672688</v>
      </c>
      <c r="S43" s="68">
        <f>SUM(S20:S42)</f>
        <v>700787.57248086738</v>
      </c>
      <c r="T43" s="68">
        <f>SUM(T20:T42)</f>
        <v>0</v>
      </c>
      <c r="U43" s="69"/>
      <c r="V43" s="68">
        <f>SUM(V20:V42)</f>
        <v>700787.57248086738</v>
      </c>
      <c r="W43" s="68">
        <f>SUM(W20:W42)</f>
        <v>7966.2578808672688</v>
      </c>
      <c r="Y43" s="130">
        <f t="shared" si="10"/>
        <v>0</v>
      </c>
    </row>
    <row r="44" spans="1:26" x14ac:dyDescent="0.35">
      <c r="C44" s="61" t="s">
        <v>3</v>
      </c>
      <c r="D44" s="62">
        <f>D19+D43</f>
        <v>2630.41</v>
      </c>
      <c r="E44" s="62"/>
      <c r="F44" s="62">
        <f>F19+F43</f>
        <v>136072.51999999999</v>
      </c>
      <c r="G44" s="62"/>
      <c r="H44" s="62">
        <f>H19+H43</f>
        <v>9338171.6600000001</v>
      </c>
      <c r="I44" s="62">
        <f>I19+I43</f>
        <v>7713459.9999999991</v>
      </c>
      <c r="J44" s="65"/>
      <c r="K44" s="70"/>
      <c r="L44" s="70"/>
      <c r="M44" s="70"/>
      <c r="N44" s="70"/>
      <c r="O44" s="70"/>
      <c r="P44" s="70">
        <f>P19+P43</f>
        <v>1337554.0167575274</v>
      </c>
      <c r="Q44" s="70">
        <f>Q19+Q43</f>
        <v>1351568.2284307042</v>
      </c>
      <c r="R44" s="70">
        <f>R19+R43</f>
        <v>14014.211673176742</v>
      </c>
      <c r="S44" s="70">
        <f>S19+S43</f>
        <v>1351568.2284307042</v>
      </c>
      <c r="T44" s="70">
        <f>T19+T43</f>
        <v>0</v>
      </c>
      <c r="U44" s="70"/>
      <c r="V44" s="70">
        <f>V19+V43</f>
        <v>1351568.2284307042</v>
      </c>
      <c r="W44" s="70">
        <f>W19+W43</f>
        <v>14014.211673176742</v>
      </c>
    </row>
    <row r="45" spans="1:26" x14ac:dyDescent="0.35">
      <c r="J45" s="46"/>
      <c r="L45" s="26"/>
      <c r="S45" s="58"/>
    </row>
    <row r="46" spans="1:26" x14ac:dyDescent="0.35">
      <c r="J46" s="46"/>
      <c r="Q46" s="55" t="s">
        <v>14</v>
      </c>
      <c r="R46" s="131">
        <f>R19/R44</f>
        <v>0.43155861587885674</v>
      </c>
      <c r="S46" s="58"/>
      <c r="Z46" s="26"/>
    </row>
    <row r="47" spans="1:26" x14ac:dyDescent="0.35">
      <c r="A47" s="71"/>
      <c r="B47" s="72"/>
      <c r="C47" s="76" t="s">
        <v>104</v>
      </c>
      <c r="D47" s="73"/>
      <c r="E47" s="71"/>
      <c r="F47" s="71"/>
      <c r="G47" s="71"/>
      <c r="H47" s="71"/>
      <c r="I47" s="74"/>
      <c r="J47" s="75"/>
      <c r="K47" s="71"/>
      <c r="L47" s="71"/>
      <c r="M47" s="71"/>
      <c r="N47" s="71"/>
      <c r="O47" s="71"/>
      <c r="Q47" s="55" t="s">
        <v>15</v>
      </c>
      <c r="R47" s="131">
        <f>R43/R44</f>
        <v>0.5684413841211432</v>
      </c>
      <c r="S47" s="58"/>
      <c r="Z47" s="26"/>
    </row>
    <row r="48" spans="1:26" ht="15" customHeight="1" x14ac:dyDescent="0.35">
      <c r="A48" s="286" t="s">
        <v>14</v>
      </c>
      <c r="B48" s="59">
        <v>21</v>
      </c>
      <c r="C48" s="83" t="s">
        <v>391</v>
      </c>
      <c r="D48" s="18">
        <v>0</v>
      </c>
      <c r="E48" s="5">
        <f>References!B9</f>
        <v>4.333333333333333</v>
      </c>
      <c r="F48" s="54">
        <f t="shared" ref="F48:F57" si="47">E48*12</f>
        <v>52</v>
      </c>
      <c r="G48" s="54">
        <f>References!B20</f>
        <v>117</v>
      </c>
      <c r="H48" s="165">
        <f t="shared" ref="H48:H53" si="48">F48*G48</f>
        <v>6084</v>
      </c>
      <c r="I48" s="54">
        <f t="shared" ref="I48:I54" si="49">H48*$D$76</f>
        <v>5025.4688335853525</v>
      </c>
      <c r="J48" s="65">
        <f>(References!$C$55*I48)</f>
        <v>8.9453345237819466</v>
      </c>
      <c r="K48" s="99">
        <f>J48/References!$G$58</f>
        <v>9.1211445856707503</v>
      </c>
      <c r="L48" s="65">
        <f t="shared" ref="L48:L54" si="50">K48/F48*E48</f>
        <v>0.76009538213922923</v>
      </c>
      <c r="M48" s="99">
        <f>'Proposed Rates'!B17</f>
        <v>68.02</v>
      </c>
      <c r="N48" s="99">
        <f>L48+M48</f>
        <v>68.780095382139223</v>
      </c>
      <c r="O48" s="99">
        <f>'Proposed Rates'!D17</f>
        <v>68.780095382139223</v>
      </c>
      <c r="R48" s="131">
        <f>SUM(R46:R47)</f>
        <v>1</v>
      </c>
      <c r="S48" s="58"/>
    </row>
    <row r="49" spans="1:20" x14ac:dyDescent="0.35">
      <c r="A49" s="286"/>
      <c r="B49" s="59">
        <v>21</v>
      </c>
      <c r="C49" s="83" t="s">
        <v>390</v>
      </c>
      <c r="D49" s="18">
        <v>0</v>
      </c>
      <c r="E49" s="5">
        <f>References!B9</f>
        <v>4.333333333333333</v>
      </c>
      <c r="F49" s="54">
        <f>E49*12</f>
        <v>52</v>
      </c>
      <c r="G49" s="54">
        <f>References!B24</f>
        <v>68</v>
      </c>
      <c r="H49" s="165">
        <f t="shared" si="48"/>
        <v>3536</v>
      </c>
      <c r="I49" s="54">
        <f t="shared" si="49"/>
        <v>2920.7853049897776</v>
      </c>
      <c r="J49" s="65">
        <f>(References!$C$55*I49)</f>
        <v>5.1989978428818153</v>
      </c>
      <c r="K49" s="99">
        <f>J49/References!$G$58</f>
        <v>5.3011780497915479</v>
      </c>
      <c r="L49" s="65">
        <f>K49/F49*E49</f>
        <v>0.44176483748262896</v>
      </c>
      <c r="M49" s="99">
        <f>'Proposed Rates'!B20</f>
        <v>41.28</v>
      </c>
      <c r="N49" s="99">
        <f t="shared" ref="N49:N67" si="51">L49+M49</f>
        <v>41.721764837482631</v>
      </c>
      <c r="O49" s="99">
        <f>'Proposed Rates'!D20</f>
        <v>41.721764837482631</v>
      </c>
      <c r="S49" s="58"/>
    </row>
    <row r="50" spans="1:20" x14ac:dyDescent="0.35">
      <c r="A50" s="286"/>
      <c r="B50" s="59">
        <v>21</v>
      </c>
      <c r="C50" s="83" t="s">
        <v>392</v>
      </c>
      <c r="D50" s="18">
        <v>0</v>
      </c>
      <c r="E50" s="5">
        <f>References!B10</f>
        <v>2.1666666666666665</v>
      </c>
      <c r="F50" s="54">
        <v>26</v>
      </c>
      <c r="G50" s="54">
        <f>References!B24</f>
        <v>68</v>
      </c>
      <c r="H50" s="165">
        <f t="shared" si="48"/>
        <v>1768</v>
      </c>
      <c r="I50" s="54">
        <f t="shared" si="49"/>
        <v>1460.3926524948888</v>
      </c>
      <c r="J50" s="65">
        <f>(References!$C$55*I50)</f>
        <v>2.5994989214409077</v>
      </c>
      <c r="K50" s="99">
        <f>J50/References!$G$58</f>
        <v>2.650589024895774</v>
      </c>
      <c r="L50" s="65">
        <f t="shared" si="50"/>
        <v>0.22088241874131448</v>
      </c>
      <c r="M50" s="99">
        <f>'Proposed Rates'!B24</f>
        <v>23.45</v>
      </c>
      <c r="N50" s="99">
        <f t="shared" si="51"/>
        <v>23.670882418741314</v>
      </c>
      <c r="O50" s="99">
        <f>'Proposed Rates'!D24</f>
        <v>23.670882418741314</v>
      </c>
      <c r="S50" s="58"/>
    </row>
    <row r="51" spans="1:20" x14ac:dyDescent="0.35">
      <c r="A51" s="286"/>
      <c r="B51" s="59">
        <v>21</v>
      </c>
      <c r="C51" s="55" t="s">
        <v>312</v>
      </c>
      <c r="D51" s="18">
        <v>0</v>
      </c>
      <c r="E51" s="5">
        <f>References!B11</f>
        <v>1</v>
      </c>
      <c r="F51" s="54">
        <f t="shared" ref="F51:F52" si="52">E51*12</f>
        <v>12</v>
      </c>
      <c r="G51" s="108">
        <f>References!B22</f>
        <v>37</v>
      </c>
      <c r="H51" s="165">
        <f t="shared" si="48"/>
        <v>444</v>
      </c>
      <c r="I51" s="54">
        <f t="shared" si="49"/>
        <v>366.75019101115987</v>
      </c>
      <c r="J51" s="65">
        <f>(References!$C$55*I51)</f>
        <v>0.65281533999986596</v>
      </c>
      <c r="K51" s="99">
        <f>J51/References!$G$58</f>
        <v>0.66564566009825998</v>
      </c>
      <c r="L51" s="65">
        <f>K51/F51*E51</f>
        <v>5.5470471674854999E-2</v>
      </c>
      <c r="M51" s="99">
        <f>'Proposed Rates'!B26</f>
        <v>9.26</v>
      </c>
      <c r="N51" s="99">
        <f t="shared" si="51"/>
        <v>9.3154704716748551</v>
      </c>
      <c r="O51" s="99">
        <f t="shared" ref="O51:O53" si="53">L51+M51</f>
        <v>9.3154704716748551</v>
      </c>
      <c r="Q51" s="55" t="s">
        <v>405</v>
      </c>
      <c r="S51" s="58"/>
    </row>
    <row r="52" spans="1:20" x14ac:dyDescent="0.35">
      <c r="A52" s="286"/>
      <c r="B52" s="59">
        <v>21</v>
      </c>
      <c r="C52" s="57" t="s">
        <v>313</v>
      </c>
      <c r="D52" s="18">
        <v>0</v>
      </c>
      <c r="E52" s="5">
        <f>References!B11</f>
        <v>1</v>
      </c>
      <c r="F52" s="54">
        <f t="shared" si="52"/>
        <v>12</v>
      </c>
      <c r="G52" s="54">
        <f>References!B23</f>
        <v>47</v>
      </c>
      <c r="H52" s="165">
        <f t="shared" si="48"/>
        <v>564</v>
      </c>
      <c r="I52" s="54">
        <f t="shared" si="49"/>
        <v>465.8718642574193</v>
      </c>
      <c r="J52" s="65">
        <f>(References!$C$55*I52)</f>
        <v>0.82925191837820811</v>
      </c>
      <c r="K52" s="99">
        <f>J52/References!$G$58</f>
        <v>0.84554989255724911</v>
      </c>
      <c r="L52" s="65">
        <f>K52/F52*E52</f>
        <v>7.0462491046437425E-2</v>
      </c>
      <c r="M52" s="99">
        <f>'Proposed Rates'!B27</f>
        <v>12.17</v>
      </c>
      <c r="N52" s="99">
        <f t="shared" si="51"/>
        <v>12.240462491046438</v>
      </c>
      <c r="O52" s="99">
        <f>'Proposed Rates'!D27</f>
        <v>12.240462491046438</v>
      </c>
      <c r="Q52" s="55" t="s">
        <v>14</v>
      </c>
      <c r="R52" s="221">
        <f>R19</f>
        <v>6047.9537923094722</v>
      </c>
      <c r="S52" s="58"/>
    </row>
    <row r="53" spans="1:20" x14ac:dyDescent="0.35">
      <c r="A53" s="289"/>
      <c r="B53" s="29"/>
      <c r="C53" s="94" t="s">
        <v>393</v>
      </c>
      <c r="D53" s="77">
        <v>0</v>
      </c>
      <c r="E53" s="95">
        <f>References!B11</f>
        <v>1</v>
      </c>
      <c r="F53" s="19">
        <v>12</v>
      </c>
      <c r="G53" s="19">
        <f>References!B24</f>
        <v>68</v>
      </c>
      <c r="H53" s="166">
        <f t="shared" si="48"/>
        <v>816</v>
      </c>
      <c r="I53" s="19">
        <f t="shared" si="49"/>
        <v>674.02737807456413</v>
      </c>
      <c r="J53" s="107">
        <f>(References!$C$55*I53)</f>
        <v>1.1997687329727267</v>
      </c>
      <c r="K53" s="92">
        <f>J53/References!$G$58</f>
        <v>1.2233487807211265</v>
      </c>
      <c r="L53" s="107">
        <f t="shared" si="50"/>
        <v>0.10194573172676054</v>
      </c>
      <c r="M53" s="92">
        <f>'Proposed Rates'!B28</f>
        <v>15.85</v>
      </c>
      <c r="N53" s="92">
        <f t="shared" si="51"/>
        <v>15.951945731726759</v>
      </c>
      <c r="O53" s="92">
        <f t="shared" si="53"/>
        <v>15.951945731726759</v>
      </c>
      <c r="Q53" s="55" t="s">
        <v>15</v>
      </c>
      <c r="R53" s="221">
        <f>R43</f>
        <v>7966.2578808672688</v>
      </c>
      <c r="S53" s="58"/>
    </row>
    <row r="54" spans="1:20" ht="15" customHeight="1" x14ac:dyDescent="0.35">
      <c r="A54" s="288" t="s">
        <v>15</v>
      </c>
      <c r="B54" s="59">
        <v>35</v>
      </c>
      <c r="C54" s="93" t="s">
        <v>314</v>
      </c>
      <c r="D54" s="18">
        <v>0</v>
      </c>
      <c r="E54" s="4">
        <v>1</v>
      </c>
      <c r="F54" s="54">
        <f t="shared" si="47"/>
        <v>12</v>
      </c>
      <c r="G54" s="66">
        <f>References!B29</f>
        <v>175</v>
      </c>
      <c r="H54" s="165">
        <f t="shared" ref="H54:H67" si="54">F54*G54</f>
        <v>2100</v>
      </c>
      <c r="I54" s="54">
        <f t="shared" si="49"/>
        <v>1734.6292818095399</v>
      </c>
      <c r="J54" s="65">
        <f>(References!$C$55*I54)</f>
        <v>3.0876401216209874</v>
      </c>
      <c r="K54" s="99">
        <f>J54/References!$G$58</f>
        <v>3.1483240680323106</v>
      </c>
      <c r="L54" s="65">
        <f t="shared" si="50"/>
        <v>0.26236033900269257</v>
      </c>
      <c r="M54" s="99">
        <f>'Proposed Rates'!B56</f>
        <v>24.93</v>
      </c>
      <c r="N54" s="99">
        <f t="shared" si="51"/>
        <v>25.192360339002693</v>
      </c>
      <c r="O54" s="99">
        <f>'Proposed Rates'!D56</f>
        <v>25.192360339002693</v>
      </c>
      <c r="Q54" s="224" t="s">
        <v>17</v>
      </c>
      <c r="R54" s="221">
        <f>SUM(R52:R53)</f>
        <v>14014.211673176742</v>
      </c>
      <c r="S54" s="58"/>
    </row>
    <row r="55" spans="1:20" ht="15" customHeight="1" x14ac:dyDescent="0.35">
      <c r="A55" s="286"/>
      <c r="B55" s="59">
        <v>35</v>
      </c>
      <c r="C55" s="82" t="s">
        <v>323</v>
      </c>
      <c r="D55" s="18"/>
      <c r="E55" s="5">
        <v>4.33</v>
      </c>
      <c r="F55" s="54">
        <f t="shared" si="47"/>
        <v>51.96</v>
      </c>
      <c r="G55" s="66">
        <f>References!B33</f>
        <v>473</v>
      </c>
      <c r="H55" s="165">
        <f t="shared" si="54"/>
        <v>24577.08</v>
      </c>
      <c r="I55" s="54">
        <f t="shared" ref="I55:I57" si="55">H55*$D$76</f>
        <v>20301.010775893148</v>
      </c>
      <c r="J55" s="65">
        <f>(References!$C$55*I55)</f>
        <v>36.13579918108988</v>
      </c>
      <c r="K55" s="99">
        <f>J55/References!$G$58</f>
        <v>36.846005945693115</v>
      </c>
      <c r="L55" s="65">
        <f>K55/F55</f>
        <v>0.70912251627584899</v>
      </c>
      <c r="M55" s="99">
        <f>'Proposed Rates'!B52</f>
        <v>56.27</v>
      </c>
      <c r="N55" s="99">
        <f t="shared" si="51"/>
        <v>56.979122516275851</v>
      </c>
      <c r="O55" s="99">
        <f>'Proposed Rates'!D52</f>
        <v>56.979122516275851</v>
      </c>
      <c r="S55" s="58"/>
    </row>
    <row r="56" spans="1:20" ht="15" customHeight="1" x14ac:dyDescent="0.35">
      <c r="A56" s="286"/>
      <c r="B56" s="59">
        <v>35</v>
      </c>
      <c r="C56" s="82" t="s">
        <v>324</v>
      </c>
      <c r="D56" s="18"/>
      <c r="E56" s="5">
        <f>References!$B$9</f>
        <v>4.333333333333333</v>
      </c>
      <c r="F56" s="54">
        <f t="shared" si="47"/>
        <v>52</v>
      </c>
      <c r="G56" s="66">
        <f>References!B35</f>
        <v>613</v>
      </c>
      <c r="H56" s="165">
        <f t="shared" si="54"/>
        <v>31876</v>
      </c>
      <c r="I56" s="54">
        <f t="shared" si="55"/>
        <v>26330.020469981377</v>
      </c>
      <c r="J56" s="65">
        <f>(References!$C$55*I56)</f>
        <v>46.867436436566948</v>
      </c>
      <c r="K56" s="99">
        <f>J56/References!$G$58</f>
        <v>47.788560948856151</v>
      </c>
      <c r="L56" s="65">
        <f>K56/F56</f>
        <v>0.91901078747800291</v>
      </c>
      <c r="M56" s="99">
        <f>'Proposed Rates'!B53</f>
        <v>76.95</v>
      </c>
      <c r="N56" s="99">
        <f t="shared" si="51"/>
        <v>77.869010787478004</v>
      </c>
      <c r="O56" s="99">
        <f>'Proposed Rates'!D53</f>
        <v>77.869010787478004</v>
      </c>
      <c r="S56" s="58"/>
    </row>
    <row r="57" spans="1:20" ht="15" customHeight="1" x14ac:dyDescent="0.35">
      <c r="A57" s="286"/>
      <c r="B57" s="59">
        <v>35</v>
      </c>
      <c r="C57" s="109" t="s">
        <v>395</v>
      </c>
      <c r="D57" s="77"/>
      <c r="E57" s="95">
        <f>References!$B$9</f>
        <v>4.333333333333333</v>
      </c>
      <c r="F57" s="19">
        <f t="shared" si="47"/>
        <v>52</v>
      </c>
      <c r="G57" s="110">
        <f>References!B37</f>
        <v>840</v>
      </c>
      <c r="H57" s="166">
        <f t="shared" si="54"/>
        <v>43680</v>
      </c>
      <c r="I57" s="19">
        <f t="shared" si="55"/>
        <v>36080.289061638432</v>
      </c>
      <c r="J57" s="107">
        <f>(References!$C$55*I57)</f>
        <v>64.222914529716547</v>
      </c>
      <c r="K57" s="92">
        <f>J57/References!$G$58</f>
        <v>65.485140615072069</v>
      </c>
      <c r="L57" s="107">
        <f>K57/F57</f>
        <v>1.2593296272129244</v>
      </c>
      <c r="M57" s="92">
        <f>'Proposed Rates'!B54</f>
        <v>116.69</v>
      </c>
      <c r="N57" s="92">
        <f t="shared" si="51"/>
        <v>117.94932962721292</v>
      </c>
      <c r="O57" s="92">
        <f>'Proposed Rates'!D54</f>
        <v>117.94932962721292</v>
      </c>
      <c r="Q57" s="57" t="s">
        <v>406</v>
      </c>
      <c r="R57" s="55">
        <v>1083.6500000000001</v>
      </c>
      <c r="S57" s="225" t="s">
        <v>408</v>
      </c>
      <c r="T57" s="226"/>
    </row>
    <row r="58" spans="1:20" x14ac:dyDescent="0.35">
      <c r="A58" s="286"/>
      <c r="B58" s="59">
        <v>35.5</v>
      </c>
      <c r="C58" s="82" t="s">
        <v>317</v>
      </c>
      <c r="D58" s="18">
        <v>0</v>
      </c>
      <c r="E58" s="4">
        <v>1</v>
      </c>
      <c r="F58" s="54">
        <f t="shared" ref="F58:F67" si="56">E58*12</f>
        <v>12</v>
      </c>
      <c r="G58" s="108">
        <f>References!B22</f>
        <v>37</v>
      </c>
      <c r="H58" s="165">
        <f t="shared" si="54"/>
        <v>444</v>
      </c>
      <c r="I58" s="54">
        <f t="shared" ref="I58:I63" si="57">H58*$D$76</f>
        <v>366.75019101115987</v>
      </c>
      <c r="J58" s="65">
        <f>(References!$C$55*I58)</f>
        <v>0.65281533999986596</v>
      </c>
      <c r="K58" s="99">
        <f>J58/References!$G$58</f>
        <v>0.66564566009825998</v>
      </c>
      <c r="L58" s="65">
        <f t="shared" ref="L58:L63" si="58">K58/F58*E58</f>
        <v>5.5470471674854999E-2</v>
      </c>
      <c r="M58" s="99">
        <f>'Proposed Rates'!B71</f>
        <v>5.95</v>
      </c>
      <c r="N58" s="99">
        <f t="shared" si="51"/>
        <v>6.0054704716748555</v>
      </c>
      <c r="O58" s="99">
        <f>'Proposed Rates'!D71</f>
        <v>6.0054704716748555</v>
      </c>
      <c r="S58" s="225" t="s">
        <v>407</v>
      </c>
      <c r="T58" s="226"/>
    </row>
    <row r="59" spans="1:20" x14ac:dyDescent="0.35">
      <c r="A59" s="286"/>
      <c r="B59" s="59">
        <v>35.5</v>
      </c>
      <c r="C59" s="82" t="s">
        <v>318</v>
      </c>
      <c r="D59" s="18">
        <v>0</v>
      </c>
      <c r="E59" s="4">
        <v>1</v>
      </c>
      <c r="F59" s="54">
        <f t="shared" si="56"/>
        <v>12</v>
      </c>
      <c r="G59" s="108">
        <f>References!B22</f>
        <v>37</v>
      </c>
      <c r="H59" s="165">
        <f t="shared" si="54"/>
        <v>444</v>
      </c>
      <c r="I59" s="54">
        <f t="shared" si="57"/>
        <v>366.75019101115987</v>
      </c>
      <c r="J59" s="65">
        <f>(References!$C$55*I59)</f>
        <v>0.65281533999986596</v>
      </c>
      <c r="K59" s="99">
        <f>J59/References!$G$58</f>
        <v>0.66564566009825998</v>
      </c>
      <c r="L59" s="65">
        <f t="shared" si="58"/>
        <v>5.5470471674854999E-2</v>
      </c>
      <c r="M59" s="99">
        <f>'Proposed Rates'!B72</f>
        <v>8.9499999999999993</v>
      </c>
      <c r="N59" s="99">
        <f t="shared" si="51"/>
        <v>9.0054704716748546</v>
      </c>
      <c r="O59" s="99">
        <f>'Proposed Rates'!D72</f>
        <v>9.0054704716748546</v>
      </c>
      <c r="S59" s="58"/>
    </row>
    <row r="60" spans="1:20" x14ac:dyDescent="0.35">
      <c r="A60" s="286"/>
      <c r="B60" s="59">
        <v>35.5</v>
      </c>
      <c r="C60" s="82" t="s">
        <v>319</v>
      </c>
      <c r="D60" s="18">
        <v>0</v>
      </c>
      <c r="E60" s="4">
        <v>1</v>
      </c>
      <c r="F60" s="54">
        <f t="shared" si="56"/>
        <v>12</v>
      </c>
      <c r="G60" s="66">
        <f>References!B23</f>
        <v>47</v>
      </c>
      <c r="H60" s="165">
        <f t="shared" si="54"/>
        <v>564</v>
      </c>
      <c r="I60" s="54">
        <f t="shared" si="57"/>
        <v>465.8718642574193</v>
      </c>
      <c r="J60" s="65">
        <f>(References!$C$55*I60)</f>
        <v>0.82925191837820811</v>
      </c>
      <c r="K60" s="99">
        <f>J60/References!$G$58</f>
        <v>0.84554989255724911</v>
      </c>
      <c r="L60" s="65">
        <f t="shared" si="58"/>
        <v>7.0462491046437425E-2</v>
      </c>
      <c r="M60" s="99">
        <f>'Proposed Rates'!B75</f>
        <v>10.59</v>
      </c>
      <c r="N60" s="99">
        <f t="shared" si="51"/>
        <v>10.660462491046438</v>
      </c>
      <c r="O60" s="99">
        <f>'Proposed Rates'!D75</f>
        <v>10.660462491046438</v>
      </c>
      <c r="Q60" s="223" t="s">
        <v>10</v>
      </c>
      <c r="R60" s="222">
        <f>R57*References!B58</f>
        <v>3857.7940000000026</v>
      </c>
      <c r="S60" s="58"/>
    </row>
    <row r="61" spans="1:20" x14ac:dyDescent="0.35">
      <c r="A61" s="286"/>
      <c r="B61" s="59">
        <v>35.5</v>
      </c>
      <c r="C61" s="82" t="s">
        <v>402</v>
      </c>
      <c r="D61" s="18">
        <v>0</v>
      </c>
      <c r="E61" s="4">
        <v>1</v>
      </c>
      <c r="F61" s="54">
        <f t="shared" si="56"/>
        <v>12</v>
      </c>
      <c r="G61" s="66">
        <f>References!B24</f>
        <v>68</v>
      </c>
      <c r="H61" s="165">
        <f t="shared" si="54"/>
        <v>816</v>
      </c>
      <c r="I61" s="54">
        <f t="shared" si="57"/>
        <v>674.02737807456413</v>
      </c>
      <c r="J61" s="65">
        <f>(References!$C$55*I61)</f>
        <v>1.1997687329727267</v>
      </c>
      <c r="K61" s="99">
        <f>J61/References!$G$58</f>
        <v>1.2233487807211265</v>
      </c>
      <c r="L61" s="65">
        <f t="shared" si="58"/>
        <v>0.10194573172676054</v>
      </c>
      <c r="M61" s="99">
        <f>'Proposed Rates'!B77</f>
        <v>9.89</v>
      </c>
      <c r="N61" s="99">
        <f t="shared" si="51"/>
        <v>9.9919457317267604</v>
      </c>
      <c r="O61" s="99">
        <f>'Proposed Rates'!D77</f>
        <v>9.9919457317267604</v>
      </c>
      <c r="S61" s="58"/>
    </row>
    <row r="62" spans="1:20" x14ac:dyDescent="0.35">
      <c r="A62" s="286"/>
      <c r="B62" s="59">
        <v>35.5</v>
      </c>
      <c r="C62" s="82" t="s">
        <v>396</v>
      </c>
      <c r="D62" s="18">
        <v>0</v>
      </c>
      <c r="E62" s="4">
        <v>1</v>
      </c>
      <c r="F62" s="54">
        <f t="shared" si="56"/>
        <v>12</v>
      </c>
      <c r="G62" s="66">
        <f>References!B24</f>
        <v>68</v>
      </c>
      <c r="H62" s="165">
        <f t="shared" si="54"/>
        <v>816</v>
      </c>
      <c r="I62" s="54">
        <f t="shared" si="57"/>
        <v>674.02737807456413</v>
      </c>
      <c r="J62" s="65">
        <f>(References!$C$55*I62)</f>
        <v>1.1997687329727267</v>
      </c>
      <c r="K62" s="99">
        <f>J62/References!$G$58</f>
        <v>1.2233487807211265</v>
      </c>
      <c r="L62" s="65">
        <f t="shared" si="58"/>
        <v>0.10194573172676054</v>
      </c>
      <c r="M62" s="99">
        <f>'Proposed Rates'!B78</f>
        <v>12.89</v>
      </c>
      <c r="N62" s="99">
        <f t="shared" si="51"/>
        <v>12.99194573172676</v>
      </c>
      <c r="O62" s="99">
        <f>'Proposed Rates'!D78</f>
        <v>12.99194573172676</v>
      </c>
      <c r="S62" s="58"/>
    </row>
    <row r="63" spans="1:20" x14ac:dyDescent="0.35">
      <c r="A63" s="286"/>
      <c r="B63" s="59">
        <v>36</v>
      </c>
      <c r="C63" s="82" t="s">
        <v>316</v>
      </c>
      <c r="D63" s="18">
        <v>0</v>
      </c>
      <c r="E63" s="4">
        <v>1</v>
      </c>
      <c r="F63" s="54">
        <f t="shared" si="56"/>
        <v>12</v>
      </c>
      <c r="G63" s="66">
        <f>References!B28</f>
        <v>29</v>
      </c>
      <c r="H63" s="165">
        <f t="shared" si="54"/>
        <v>348</v>
      </c>
      <c r="I63" s="54">
        <f t="shared" si="57"/>
        <v>287.45285241415235</v>
      </c>
      <c r="J63" s="65">
        <f>(References!$C$55*I63)</f>
        <v>0.51166607729719227</v>
      </c>
      <c r="K63" s="99">
        <f>J63/References!$G$58</f>
        <v>0.52172227413106864</v>
      </c>
      <c r="L63" s="65">
        <f t="shared" si="58"/>
        <v>4.3476856177589056E-2</v>
      </c>
      <c r="M63" s="99">
        <f>'Proposed Rates'!B90</f>
        <v>7.46</v>
      </c>
      <c r="N63" s="99">
        <f t="shared" si="51"/>
        <v>7.5034768561775893</v>
      </c>
      <c r="O63" s="99">
        <f>'Proposed Rates'!D90</f>
        <v>7.5034768561775893</v>
      </c>
      <c r="S63" s="58"/>
    </row>
    <row r="64" spans="1:20" x14ac:dyDescent="0.35">
      <c r="A64" s="286"/>
      <c r="B64" s="59">
        <v>36</v>
      </c>
      <c r="C64" s="82" t="s">
        <v>394</v>
      </c>
      <c r="D64" s="18">
        <v>0</v>
      </c>
      <c r="E64" s="5">
        <f>References!$B$9</f>
        <v>4.333333333333333</v>
      </c>
      <c r="F64" s="54">
        <f t="shared" si="56"/>
        <v>52</v>
      </c>
      <c r="G64" s="66">
        <f>References!B32</f>
        <v>324</v>
      </c>
      <c r="H64" s="165">
        <f t="shared" si="54"/>
        <v>16848</v>
      </c>
      <c r="I64" s="54">
        <f t="shared" ref="I64:I67" si="59">H64*$D$76</f>
        <v>13916.682923774822</v>
      </c>
      <c r="J64" s="65">
        <f>(References!$C$55*I64)</f>
        <v>24.771695604319238</v>
      </c>
      <c r="K64" s="99">
        <f>J64/References!$G$58</f>
        <v>25.25855423724208</v>
      </c>
      <c r="L64" s="65">
        <f t="shared" ref="L64:L67" si="60">K64/F64</f>
        <v>0.48574142763927075</v>
      </c>
      <c r="M64" s="99">
        <f>'Proposed Rates'!B92</f>
        <v>43.09</v>
      </c>
      <c r="N64" s="99">
        <f t="shared" si="51"/>
        <v>43.575741427639272</v>
      </c>
      <c r="O64" s="99">
        <f>'Proposed Rates'!D92</f>
        <v>43.575741427639272</v>
      </c>
      <c r="S64" s="58"/>
    </row>
    <row r="65" spans="1:19" x14ac:dyDescent="0.35">
      <c r="A65" s="286"/>
      <c r="B65" s="59">
        <v>36</v>
      </c>
      <c r="C65" s="82" t="s">
        <v>323</v>
      </c>
      <c r="D65" s="18">
        <v>0</v>
      </c>
      <c r="E65" s="5">
        <f>References!$B$9</f>
        <v>4.333333333333333</v>
      </c>
      <c r="F65" s="54">
        <f t="shared" si="56"/>
        <v>52</v>
      </c>
      <c r="G65" s="66">
        <f>References!B33</f>
        <v>473</v>
      </c>
      <c r="H65" s="165">
        <f t="shared" si="54"/>
        <v>24596</v>
      </c>
      <c r="I65" s="54">
        <f t="shared" si="59"/>
        <v>20316.638959708307</v>
      </c>
      <c r="J65" s="65">
        <f>(References!$C$55*I65)</f>
        <v>36.163617348280866</v>
      </c>
      <c r="K65" s="99">
        <f>J65/References!$G$58</f>
        <v>36.874370846344149</v>
      </c>
      <c r="L65" s="65">
        <f t="shared" si="60"/>
        <v>0.70912251627584899</v>
      </c>
      <c r="M65" s="99">
        <f>'Proposed Rates'!B93</f>
        <v>56.27</v>
      </c>
      <c r="N65" s="99">
        <f t="shared" si="51"/>
        <v>56.979122516275851</v>
      </c>
      <c r="O65" s="99">
        <f>'Proposed Rates'!D93</f>
        <v>56.979122516275851</v>
      </c>
      <c r="S65" s="58"/>
    </row>
    <row r="66" spans="1:19" x14ac:dyDescent="0.35">
      <c r="A66" s="286"/>
      <c r="B66" s="59">
        <v>36</v>
      </c>
      <c r="C66" s="82" t="s">
        <v>324</v>
      </c>
      <c r="D66" s="18">
        <v>0</v>
      </c>
      <c r="E66" s="5">
        <f>References!$B$9</f>
        <v>4.333333333333333</v>
      </c>
      <c r="F66" s="54">
        <f t="shared" si="56"/>
        <v>52</v>
      </c>
      <c r="G66" s="66">
        <f>References!B35</f>
        <v>613</v>
      </c>
      <c r="H66" s="165">
        <f t="shared" si="54"/>
        <v>31876</v>
      </c>
      <c r="I66" s="54">
        <f t="shared" si="59"/>
        <v>26330.020469981377</v>
      </c>
      <c r="J66" s="65">
        <f>(References!$C$55*I66)</f>
        <v>46.867436436566948</v>
      </c>
      <c r="K66" s="99">
        <f>J66/References!$G$58</f>
        <v>47.788560948856151</v>
      </c>
      <c r="L66" s="65">
        <f t="shared" si="60"/>
        <v>0.91901078747800291</v>
      </c>
      <c r="M66" s="99">
        <f>'Proposed Rates'!B94</f>
        <v>76.95</v>
      </c>
      <c r="N66" s="99">
        <f t="shared" si="51"/>
        <v>77.869010787478004</v>
      </c>
      <c r="O66" s="99">
        <f>'Proposed Rates'!D94</f>
        <v>77.869010787478004</v>
      </c>
      <c r="S66" s="58"/>
    </row>
    <row r="67" spans="1:19" x14ac:dyDescent="0.35">
      <c r="A67" s="289"/>
      <c r="B67" s="29">
        <v>36</v>
      </c>
      <c r="C67" s="109" t="s">
        <v>395</v>
      </c>
      <c r="D67" s="77">
        <v>0</v>
      </c>
      <c r="E67" s="95">
        <f>References!$B$9</f>
        <v>4.333333333333333</v>
      </c>
      <c r="F67" s="19">
        <f t="shared" si="56"/>
        <v>52</v>
      </c>
      <c r="G67" s="110">
        <f>References!$B$37</f>
        <v>840</v>
      </c>
      <c r="H67" s="165">
        <f t="shared" si="54"/>
        <v>43680</v>
      </c>
      <c r="I67" s="19">
        <f t="shared" si="59"/>
        <v>36080.289061638432</v>
      </c>
      <c r="J67" s="107">
        <f>(References!$C$55*I67)</f>
        <v>64.222914529716547</v>
      </c>
      <c r="K67" s="92">
        <f>J67/References!$G$58</f>
        <v>65.485140615072069</v>
      </c>
      <c r="L67" s="107">
        <f t="shared" si="60"/>
        <v>1.2593296272129244</v>
      </c>
      <c r="M67" s="92">
        <f>'Proposed Rates'!B95</f>
        <v>116.69</v>
      </c>
      <c r="N67" s="92">
        <f t="shared" si="51"/>
        <v>117.94932962721292</v>
      </c>
      <c r="O67" s="92">
        <f>'Proposed Rates'!D95</f>
        <v>117.94932962721292</v>
      </c>
      <c r="S67" s="58"/>
    </row>
    <row r="68" spans="1:19" x14ac:dyDescent="0.35">
      <c r="A68" s="60"/>
      <c r="C68" s="82"/>
      <c r="D68" s="18"/>
      <c r="E68" s="4"/>
      <c r="F68" s="54"/>
      <c r="G68" s="66"/>
      <c r="H68" s="54"/>
      <c r="J68" s="65"/>
      <c r="K68" s="99"/>
      <c r="L68" s="65"/>
      <c r="M68" s="99"/>
      <c r="N68" s="99"/>
      <c r="O68" s="65"/>
      <c r="S68" s="58"/>
    </row>
    <row r="69" spans="1:19" x14ac:dyDescent="0.35">
      <c r="A69" s="60"/>
      <c r="C69" s="82"/>
      <c r="D69" s="18"/>
      <c r="E69" s="4"/>
      <c r="F69" s="54"/>
      <c r="G69" s="66"/>
      <c r="H69" s="54"/>
      <c r="J69" s="65"/>
      <c r="K69" s="99"/>
      <c r="L69" s="65"/>
      <c r="M69" s="99"/>
      <c r="N69" s="99"/>
      <c r="O69" s="65"/>
      <c r="S69" s="58"/>
    </row>
    <row r="70" spans="1:19" x14ac:dyDescent="0.35">
      <c r="A70" s="60"/>
      <c r="C70" s="63"/>
      <c r="S70" s="58"/>
    </row>
    <row r="71" spans="1:19" x14ac:dyDescent="0.35">
      <c r="A71" s="60"/>
      <c r="C71" s="287" t="s">
        <v>99</v>
      </c>
      <c r="D71" s="287"/>
      <c r="E71" s="81"/>
      <c r="F71" s="81"/>
      <c r="H71" s="87" t="s">
        <v>264</v>
      </c>
    </row>
    <row r="72" spans="1:19" x14ac:dyDescent="0.35">
      <c r="A72" s="60"/>
      <c r="D72" s="45" t="s">
        <v>17</v>
      </c>
      <c r="E72" s="17"/>
      <c r="F72" s="17"/>
      <c r="H72" s="85" t="s">
        <v>265</v>
      </c>
      <c r="J72" s="24"/>
      <c r="P72" s="56"/>
      <c r="Q72" s="24"/>
    </row>
    <row r="73" spans="1:19" x14ac:dyDescent="0.35">
      <c r="A73" s="60"/>
      <c r="C73" s="55" t="s">
        <v>33</v>
      </c>
      <c r="D73" s="64">
        <v>3856.73</v>
      </c>
      <c r="E73" s="54"/>
      <c r="F73" s="54"/>
      <c r="G73" s="28"/>
      <c r="H73" s="86" t="s">
        <v>266</v>
      </c>
      <c r="J73" s="24"/>
      <c r="P73" s="56"/>
      <c r="Q73" s="91"/>
    </row>
    <row r="74" spans="1:19" x14ac:dyDescent="0.35">
      <c r="A74" s="60"/>
      <c r="C74" s="55" t="s">
        <v>34</v>
      </c>
      <c r="D74" s="12">
        <f>D73*2000</f>
        <v>7713460</v>
      </c>
      <c r="E74" s="12"/>
      <c r="F74" s="12"/>
      <c r="G74" s="12"/>
      <c r="H74" s="12"/>
      <c r="J74" s="24"/>
      <c r="Q74" s="91"/>
    </row>
    <row r="75" spans="1:19" x14ac:dyDescent="0.35">
      <c r="A75" s="60"/>
      <c r="C75" s="55" t="s">
        <v>5</v>
      </c>
      <c r="D75" s="12">
        <f>F19+F43</f>
        <v>136072.51999999999</v>
      </c>
      <c r="E75" s="54"/>
      <c r="F75" s="54"/>
      <c r="G75" s="54"/>
      <c r="H75" s="54"/>
      <c r="J75" s="24"/>
      <c r="P75" s="56"/>
      <c r="Q75" s="91"/>
    </row>
    <row r="76" spans="1:19" x14ac:dyDescent="0.35">
      <c r="C76" s="25" t="s">
        <v>12</v>
      </c>
      <c r="D76" s="11">
        <f>D74/$H$44</f>
        <v>0.82601394371882852</v>
      </c>
      <c r="E76" s="11"/>
      <c r="F76" s="11"/>
      <c r="G76" s="11"/>
      <c r="H76" s="3"/>
      <c r="J76" s="24"/>
      <c r="M76" s="23"/>
      <c r="N76" s="23"/>
      <c r="O76" s="23"/>
      <c r="P76" s="22"/>
      <c r="Q76" s="22"/>
    </row>
    <row r="77" spans="1:19" x14ac:dyDescent="0.35">
      <c r="G77" s="27"/>
      <c r="H77" s="5"/>
      <c r="J77" s="24"/>
      <c r="M77" s="26"/>
      <c r="N77" s="2"/>
      <c r="O77" s="2"/>
      <c r="P77" s="58"/>
      <c r="Q77" s="3"/>
    </row>
    <row r="78" spans="1:19" x14ac:dyDescent="0.35">
      <c r="D78" s="10"/>
      <c r="E78" s="7"/>
      <c r="G78" s="27"/>
      <c r="H78" s="5"/>
      <c r="J78" s="24"/>
      <c r="M78" s="26"/>
      <c r="N78" s="2"/>
      <c r="O78" s="2"/>
      <c r="P78" s="58"/>
      <c r="Q78" s="3"/>
    </row>
    <row r="79" spans="1:19" x14ac:dyDescent="0.35">
      <c r="D79" s="10"/>
      <c r="E79" s="7"/>
      <c r="G79" s="27"/>
      <c r="H79" s="5"/>
      <c r="J79" s="24"/>
      <c r="M79" s="26"/>
      <c r="N79" s="2"/>
      <c r="O79" s="2"/>
      <c r="P79" s="58"/>
      <c r="Q79" s="3"/>
    </row>
    <row r="80" spans="1:19" x14ac:dyDescent="0.35">
      <c r="D80" s="55"/>
      <c r="I80" s="55"/>
    </row>
    <row r="81" spans="4:9" x14ac:dyDescent="0.35">
      <c r="D81" s="55"/>
      <c r="E81" s="24"/>
      <c r="I81" s="55"/>
    </row>
    <row r="82" spans="4:9" x14ac:dyDescent="0.35">
      <c r="D82" s="55"/>
      <c r="I82" s="55"/>
    </row>
    <row r="83" spans="4:9" x14ac:dyDescent="0.35">
      <c r="D83" s="55"/>
      <c r="I83" s="55"/>
    </row>
    <row r="84" spans="4:9" x14ac:dyDescent="0.35">
      <c r="D84" s="55"/>
    </row>
  </sheetData>
  <mergeCells count="6">
    <mergeCell ref="B1:J1"/>
    <mergeCell ref="A20:A42"/>
    <mergeCell ref="C71:D71"/>
    <mergeCell ref="A3:A18"/>
    <mergeCell ref="A48:A53"/>
    <mergeCell ref="A54:A67"/>
  </mergeCells>
  <pageMargins left="0.2" right="0.22" top="0.63" bottom="0.34" header="0.19" footer="0.17"/>
  <pageSetup fitToHeight="0" orientation="landscape" r:id="rId1"/>
  <headerFooter>
    <oddHeader>&amp;C&amp;"-,Bold"&amp;12Murrey's Disposal Co, Inc
dba Olympiac Disposal&amp;"-,Regular"
Disposal Fee Staff Calculations</oddHeader>
    <oddFooter>&amp;L&amp;F - &amp;A&amp;C&amp;D&amp;R&amp;P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116"/>
  <sheetViews>
    <sheetView tabSelected="1" zoomScaleNormal="100" workbookViewId="0">
      <selection activeCell="C12" sqref="C12"/>
    </sheetView>
  </sheetViews>
  <sheetFormatPr defaultRowHeight="14.5" x14ac:dyDescent="0.35"/>
  <cols>
    <col min="1" max="1" width="32" customWidth="1"/>
    <col min="2" max="2" width="11.453125" style="231" customWidth="1"/>
    <col min="3" max="3" width="11.453125" customWidth="1"/>
    <col min="4" max="4" width="12.453125" customWidth="1"/>
    <col min="5" max="5" width="2.26953125" bestFit="1" customWidth="1"/>
    <col min="7" max="7" width="20.81640625" style="276" bestFit="1" customWidth="1"/>
  </cols>
  <sheetData>
    <row r="1" spans="1:8" ht="18.5" x14ac:dyDescent="0.45">
      <c r="A1" s="255" t="s">
        <v>326</v>
      </c>
      <c r="B1" s="256"/>
      <c r="C1" s="257"/>
      <c r="D1" s="258"/>
      <c r="E1" s="228"/>
      <c r="F1" s="114"/>
    </row>
    <row r="2" spans="1:8" ht="18.5" x14ac:dyDescent="0.45">
      <c r="A2" s="259" t="s">
        <v>327</v>
      </c>
      <c r="B2" s="233"/>
      <c r="C2" s="234"/>
      <c r="D2" s="260"/>
      <c r="E2" s="228"/>
      <c r="F2" s="114"/>
    </row>
    <row r="3" spans="1:8" ht="18.5" x14ac:dyDescent="0.45">
      <c r="A3" s="259" t="s">
        <v>411</v>
      </c>
      <c r="B3" s="233"/>
      <c r="C3" s="234"/>
      <c r="D3" s="260"/>
      <c r="E3" s="228"/>
      <c r="F3" s="114"/>
    </row>
    <row r="4" spans="1:8" ht="19" thickBot="1" x14ac:dyDescent="0.5">
      <c r="A4" s="259"/>
      <c r="B4" s="233"/>
      <c r="C4" s="234"/>
      <c r="D4" s="260"/>
      <c r="E4" s="228"/>
      <c r="F4" s="114"/>
      <c r="G4" s="277"/>
    </row>
    <row r="5" spans="1:8" ht="18" thickBot="1" x14ac:dyDescent="0.4">
      <c r="A5" s="119" t="s">
        <v>104</v>
      </c>
      <c r="B5" s="235"/>
      <c r="C5" s="236"/>
      <c r="D5" s="261"/>
      <c r="E5" s="228"/>
      <c r="F5" s="114"/>
      <c r="G5" s="278"/>
    </row>
    <row r="6" spans="1:8" ht="45.5" x14ac:dyDescent="0.35">
      <c r="A6" s="262"/>
      <c r="B6" s="238" t="s">
        <v>409</v>
      </c>
      <c r="C6" s="239" t="s">
        <v>328</v>
      </c>
      <c r="D6" s="263" t="s">
        <v>410</v>
      </c>
      <c r="E6" s="228"/>
      <c r="F6" s="114"/>
      <c r="G6" s="279"/>
    </row>
    <row r="7" spans="1:8" ht="15.5" x14ac:dyDescent="0.35">
      <c r="A7" s="262"/>
      <c r="B7" s="238"/>
      <c r="C7" s="239"/>
      <c r="D7" s="263"/>
      <c r="E7" s="228"/>
      <c r="F7" s="114"/>
      <c r="G7" s="279"/>
    </row>
    <row r="8" spans="1:8" ht="15.5" x14ac:dyDescent="0.35">
      <c r="A8" s="264" t="s">
        <v>329</v>
      </c>
      <c r="B8" s="240"/>
      <c r="C8" s="237"/>
      <c r="D8" s="265"/>
      <c r="E8" s="228"/>
      <c r="F8" s="114"/>
    </row>
    <row r="9" spans="1:8" ht="15.5" x14ac:dyDescent="0.35">
      <c r="A9" s="266" t="s">
        <v>330</v>
      </c>
      <c r="B9" s="241">
        <v>7.0798351944380906</v>
      </c>
      <c r="C9" s="242">
        <f>'Staff Calcs '!L18</f>
        <v>5.0972865863380269E-2</v>
      </c>
      <c r="D9" s="267">
        <f>SUM(B9:C9)</f>
        <v>7.1308080603014705</v>
      </c>
      <c r="E9" s="228"/>
      <c r="F9" s="114"/>
    </row>
    <row r="10" spans="1:8" ht="15.5" x14ac:dyDescent="0.35">
      <c r="A10" s="262"/>
      <c r="B10" s="240"/>
      <c r="C10" s="237"/>
      <c r="D10" s="265"/>
      <c r="E10" s="228"/>
    </row>
    <row r="11" spans="1:8" ht="15.5" x14ac:dyDescent="0.35">
      <c r="A11" s="264" t="s">
        <v>331</v>
      </c>
      <c r="B11" s="240"/>
      <c r="C11" s="237"/>
      <c r="D11" s="267"/>
      <c r="E11" s="228"/>
      <c r="F11" s="114"/>
    </row>
    <row r="12" spans="1:8" ht="15.5" x14ac:dyDescent="0.35">
      <c r="A12" s="266" t="s">
        <v>332</v>
      </c>
      <c r="B12" s="241">
        <v>17.649999999999999</v>
      </c>
      <c r="C12" s="242">
        <f>'Staff Calcs '!L3</f>
        <v>0.12993083455371437</v>
      </c>
      <c r="D12" s="267">
        <f t="shared" ref="D12:D28" si="0">SUM(B12:C12)</f>
        <v>17.779930834553713</v>
      </c>
      <c r="E12" s="228"/>
      <c r="F12" s="164"/>
      <c r="H12" s="167"/>
    </row>
    <row r="13" spans="1:8" ht="15.5" x14ac:dyDescent="0.35">
      <c r="A13" s="266" t="s">
        <v>333</v>
      </c>
      <c r="B13" s="241">
        <v>22.62</v>
      </c>
      <c r="C13" s="242">
        <f>'Staff Calcs '!L4</f>
        <v>0.22088241874131445</v>
      </c>
      <c r="D13" s="267">
        <f t="shared" si="0"/>
        <v>22.840882418741316</v>
      </c>
      <c r="E13" s="227"/>
      <c r="F13" s="164"/>
      <c r="H13" s="167"/>
    </row>
    <row r="14" spans="1:8" ht="15.5" x14ac:dyDescent="0.35">
      <c r="A14" s="266" t="s">
        <v>334</v>
      </c>
      <c r="B14" s="241">
        <v>33.47</v>
      </c>
      <c r="C14" s="242">
        <f>'Staff Calcs '!L5</f>
        <v>0.33132362811197169</v>
      </c>
      <c r="D14" s="267">
        <f t="shared" si="0"/>
        <v>33.801323628111973</v>
      </c>
      <c r="E14" s="227"/>
      <c r="F14" s="164"/>
      <c r="H14" s="167"/>
    </row>
    <row r="15" spans="1:8" ht="15.5" x14ac:dyDescent="0.35">
      <c r="A15" s="266" t="s">
        <v>335</v>
      </c>
      <c r="B15" s="241">
        <v>44.86</v>
      </c>
      <c r="C15" s="242">
        <f>'Staff Calcs '!L6</f>
        <v>0.50023371303180031</v>
      </c>
      <c r="D15" s="267">
        <f t="shared" si="0"/>
        <v>45.360233713031796</v>
      </c>
      <c r="E15" s="227"/>
      <c r="F15" s="164"/>
      <c r="H15" s="167"/>
    </row>
    <row r="16" spans="1:8" ht="15.5" x14ac:dyDescent="0.35">
      <c r="A16" s="266" t="s">
        <v>336</v>
      </c>
      <c r="B16" s="241">
        <v>56.41</v>
      </c>
      <c r="C16" s="242">
        <f>'Staff Calcs '!L7</f>
        <v>0.63016454758551477</v>
      </c>
      <c r="D16" s="267">
        <f t="shared" si="0"/>
        <v>57.040164547585512</v>
      </c>
      <c r="E16" s="228"/>
      <c r="F16" s="164"/>
      <c r="H16" s="167"/>
    </row>
    <row r="17" spans="1:8" ht="15.5" x14ac:dyDescent="0.35">
      <c r="A17" s="268" t="s">
        <v>337</v>
      </c>
      <c r="B17" s="243">
        <v>68.02</v>
      </c>
      <c r="C17" s="244">
        <f>'Staff Calcs '!L48</f>
        <v>0.76009538213922923</v>
      </c>
      <c r="D17" s="269">
        <f t="shared" si="0"/>
        <v>68.780095382139223</v>
      </c>
      <c r="E17" s="228"/>
      <c r="F17" s="164"/>
      <c r="H17" s="167"/>
    </row>
    <row r="18" spans="1:8" ht="15.5" x14ac:dyDescent="0.35">
      <c r="A18" s="266" t="s">
        <v>338</v>
      </c>
      <c r="B18" s="241">
        <v>24.7</v>
      </c>
      <c r="C18" s="242">
        <f>'Staff Calcs '!L8</f>
        <v>0.24037204392437164</v>
      </c>
      <c r="D18" s="267">
        <f t="shared" si="0"/>
        <v>24.94037204392437</v>
      </c>
      <c r="E18" s="228"/>
      <c r="F18" s="164"/>
      <c r="H18" s="167"/>
    </row>
    <row r="19" spans="1:8" ht="15.5" x14ac:dyDescent="0.35">
      <c r="A19" s="266" t="s">
        <v>339</v>
      </c>
      <c r="B19" s="241">
        <v>31.83</v>
      </c>
      <c r="C19" s="242">
        <f>'Staff Calcs '!L9</f>
        <v>0.30533746120122884</v>
      </c>
      <c r="D19" s="267">
        <f t="shared" si="0"/>
        <v>32.135337461201225</v>
      </c>
      <c r="E19" s="228"/>
      <c r="F19" s="164"/>
      <c r="H19" s="167"/>
    </row>
    <row r="20" spans="1:8" ht="15.5" x14ac:dyDescent="0.35">
      <c r="A20" s="268" t="s">
        <v>340</v>
      </c>
      <c r="B20" s="245">
        <v>41.28</v>
      </c>
      <c r="C20" s="244">
        <f>'Staff Calcs '!L49</f>
        <v>0.44176483748262896</v>
      </c>
      <c r="D20" s="269">
        <f t="shared" si="0"/>
        <v>41.721764837482631</v>
      </c>
      <c r="E20" s="229"/>
      <c r="F20" s="164"/>
      <c r="H20" s="167"/>
    </row>
    <row r="21" spans="1:8" ht="15.5" x14ac:dyDescent="0.35">
      <c r="A21" s="266" t="s">
        <v>341</v>
      </c>
      <c r="B21" s="241">
        <v>13.32</v>
      </c>
      <c r="C21" s="242">
        <f>'Staff Calcs '!L10</f>
        <v>0.11044120937065721</v>
      </c>
      <c r="D21" s="267">
        <f t="shared" si="0"/>
        <v>13.430441209370658</v>
      </c>
      <c r="E21" s="228"/>
      <c r="F21" s="164"/>
      <c r="H21" s="167"/>
    </row>
    <row r="22" spans="1:8" ht="15.5" x14ac:dyDescent="0.35">
      <c r="A22" s="266" t="s">
        <v>342</v>
      </c>
      <c r="B22" s="241">
        <v>14.64</v>
      </c>
      <c r="C22" s="242">
        <f>'Staff Calcs '!L12</f>
        <v>0.12018602196218581</v>
      </c>
      <c r="D22" s="267">
        <f t="shared" si="0"/>
        <v>14.760186021962186</v>
      </c>
      <c r="E22" s="228"/>
      <c r="F22" s="164"/>
      <c r="H22" s="167"/>
    </row>
    <row r="23" spans="1:8" ht="15.5" x14ac:dyDescent="0.35">
      <c r="A23" s="266" t="s">
        <v>343</v>
      </c>
      <c r="B23" s="241">
        <v>17.8</v>
      </c>
      <c r="C23" s="242">
        <f>'Staff Calcs '!L13</f>
        <v>0.15266873060061442</v>
      </c>
      <c r="D23" s="267">
        <f t="shared" si="0"/>
        <v>17.952668730600614</v>
      </c>
      <c r="E23" s="228"/>
      <c r="F23" s="164"/>
      <c r="H23" s="167"/>
    </row>
    <row r="24" spans="1:8" ht="15.5" x14ac:dyDescent="0.35">
      <c r="A24" s="268" t="s">
        <v>344</v>
      </c>
      <c r="B24" s="245">
        <v>23.45</v>
      </c>
      <c r="C24" s="244">
        <f>'Staff Calcs '!L50</f>
        <v>0.22088241874131448</v>
      </c>
      <c r="D24" s="269">
        <f t="shared" si="0"/>
        <v>23.670882418741314</v>
      </c>
      <c r="E24" s="229"/>
      <c r="F24" s="164"/>
      <c r="H24" s="167"/>
    </row>
    <row r="25" spans="1:8" ht="15.5" x14ac:dyDescent="0.35">
      <c r="A25" s="266" t="s">
        <v>345</v>
      </c>
      <c r="B25" s="241">
        <v>8.18</v>
      </c>
      <c r="C25" s="242">
        <f>'Staff Calcs '!L14</f>
        <v>5.0972865863380269E-2</v>
      </c>
      <c r="D25" s="267">
        <f t="shared" si="0"/>
        <v>8.2309728658633805</v>
      </c>
      <c r="E25" s="228"/>
      <c r="F25" s="164"/>
      <c r="H25" s="167"/>
    </row>
    <row r="26" spans="1:8" ht="15.5" x14ac:dyDescent="0.35">
      <c r="A26" s="268" t="s">
        <v>346</v>
      </c>
      <c r="B26" s="243">
        <v>9.26</v>
      </c>
      <c r="C26" s="244">
        <f>'Staff Calcs '!L51</f>
        <v>5.5470471674854999E-2</v>
      </c>
      <c r="D26" s="269">
        <f t="shared" si="0"/>
        <v>9.3154704716748551</v>
      </c>
      <c r="E26" s="228"/>
      <c r="F26" s="164"/>
      <c r="H26" s="167"/>
    </row>
    <row r="27" spans="1:8" ht="15.5" x14ac:dyDescent="0.35">
      <c r="A27" s="268" t="s">
        <v>347</v>
      </c>
      <c r="B27" s="243">
        <v>12.17</v>
      </c>
      <c r="C27" s="244">
        <f>'Staff Calcs '!L52</f>
        <v>7.0462491046437425E-2</v>
      </c>
      <c r="D27" s="269">
        <f t="shared" si="0"/>
        <v>12.240462491046438</v>
      </c>
      <c r="E27" s="228"/>
      <c r="F27" s="164"/>
      <c r="H27" s="167"/>
    </row>
    <row r="28" spans="1:8" ht="15.5" x14ac:dyDescent="0.35">
      <c r="A28" s="268" t="s">
        <v>348</v>
      </c>
      <c r="B28" s="245">
        <v>15.85</v>
      </c>
      <c r="C28" s="244">
        <f>'Staff Calcs '!L53</f>
        <v>0.10194573172676054</v>
      </c>
      <c r="D28" s="269">
        <f t="shared" si="0"/>
        <v>15.951945731726759</v>
      </c>
      <c r="E28" s="229"/>
      <c r="F28" s="164"/>
      <c r="H28" s="167"/>
    </row>
    <row r="29" spans="1:8" ht="15.5" x14ac:dyDescent="0.35">
      <c r="A29" s="262"/>
      <c r="B29" s="240"/>
      <c r="C29" s="242"/>
      <c r="D29" s="265"/>
      <c r="E29" s="228"/>
    </row>
    <row r="30" spans="1:8" ht="15.5" x14ac:dyDescent="0.35">
      <c r="A30" s="264" t="s">
        <v>349</v>
      </c>
      <c r="B30" s="240"/>
      <c r="C30" s="237"/>
      <c r="D30" s="265"/>
      <c r="E30" s="228"/>
    </row>
    <row r="31" spans="1:8" ht="15.5" x14ac:dyDescent="0.35">
      <c r="A31" s="266" t="s">
        <v>350</v>
      </c>
      <c r="B31" s="241">
        <v>7.53</v>
      </c>
      <c r="C31" s="242">
        <f>'Staff Calcs '!L17</f>
        <v>5.0972865863380269E-2</v>
      </c>
      <c r="D31" s="267">
        <f t="shared" ref="D31:D35" si="1">SUM(B31:C31)</f>
        <v>7.5809728658633802</v>
      </c>
      <c r="E31" s="228"/>
      <c r="H31" s="167"/>
    </row>
    <row r="32" spans="1:8" ht="15.5" x14ac:dyDescent="0.35">
      <c r="A32" s="266" t="s">
        <v>351</v>
      </c>
      <c r="B32" s="241">
        <v>7.53</v>
      </c>
      <c r="C32" s="242">
        <f>C31</f>
        <v>5.0972865863380269E-2</v>
      </c>
      <c r="D32" s="267">
        <f t="shared" si="1"/>
        <v>7.5809728658633802</v>
      </c>
      <c r="E32" s="228"/>
      <c r="H32" s="167"/>
    </row>
    <row r="33" spans="1:8" ht="15.5" x14ac:dyDescent="0.35">
      <c r="A33" s="266" t="s">
        <v>352</v>
      </c>
      <c r="B33" s="241">
        <v>7.53</v>
      </c>
      <c r="C33" s="242">
        <f t="shared" ref="C33:C34" si="2">C32</f>
        <v>5.0972865863380269E-2</v>
      </c>
      <c r="D33" s="267">
        <f t="shared" si="1"/>
        <v>7.5809728658633802</v>
      </c>
      <c r="E33" s="228"/>
      <c r="H33" s="167"/>
    </row>
    <row r="34" spans="1:8" ht="15.5" x14ac:dyDescent="0.35">
      <c r="A34" s="266" t="s">
        <v>353</v>
      </c>
      <c r="B34" s="241">
        <v>7.53</v>
      </c>
      <c r="C34" s="242">
        <f t="shared" si="2"/>
        <v>5.0972865863380269E-2</v>
      </c>
      <c r="D34" s="267">
        <f t="shared" si="1"/>
        <v>7.5809728658633802</v>
      </c>
      <c r="E34" s="228"/>
      <c r="H34" s="167"/>
    </row>
    <row r="35" spans="1:8" ht="15.5" x14ac:dyDescent="0.35">
      <c r="A35" s="266" t="s">
        <v>354</v>
      </c>
      <c r="B35" s="241">
        <v>8.18</v>
      </c>
      <c r="C35" s="242">
        <f>C31</f>
        <v>5.0972865863380269E-2</v>
      </c>
      <c r="D35" s="267">
        <f t="shared" si="1"/>
        <v>8.2309728658633805</v>
      </c>
      <c r="E35" s="228"/>
      <c r="H35" s="167"/>
    </row>
    <row r="36" spans="1:8" ht="15.5" x14ac:dyDescent="0.35">
      <c r="A36" s="262"/>
      <c r="B36" s="240"/>
      <c r="C36" s="237"/>
      <c r="D36" s="265"/>
      <c r="E36" s="228"/>
      <c r="H36" s="167"/>
    </row>
    <row r="37" spans="1:8" ht="15.5" x14ac:dyDescent="0.35">
      <c r="A37" s="264" t="s">
        <v>355</v>
      </c>
      <c r="B37" s="240"/>
      <c r="C37" s="237"/>
      <c r="D37" s="265"/>
      <c r="E37" s="228"/>
      <c r="H37" s="167"/>
    </row>
    <row r="38" spans="1:8" ht="15.5" x14ac:dyDescent="0.35">
      <c r="A38" s="266" t="s">
        <v>356</v>
      </c>
      <c r="B38" s="241">
        <v>27.01</v>
      </c>
      <c r="C38" s="242">
        <f>'Staff Calcs '!L36</f>
        <v>0.18740024214478035</v>
      </c>
      <c r="D38" s="267">
        <f t="shared" ref="D38:D40" si="3">SUM(B38:C38)</f>
        <v>27.197400242144781</v>
      </c>
      <c r="E38" s="228"/>
      <c r="H38" s="167"/>
    </row>
    <row r="39" spans="1:8" ht="15.5" x14ac:dyDescent="0.35">
      <c r="A39" s="266" t="s">
        <v>357</v>
      </c>
      <c r="B39" s="241">
        <v>27.01</v>
      </c>
      <c r="C39" s="242">
        <f>C38</f>
        <v>0.18740024214478035</v>
      </c>
      <c r="D39" s="267">
        <f t="shared" si="3"/>
        <v>27.197400242144781</v>
      </c>
      <c r="E39" s="228"/>
      <c r="H39" s="167"/>
    </row>
    <row r="40" spans="1:8" ht="15.5" x14ac:dyDescent="0.35">
      <c r="A40" s="266" t="s">
        <v>358</v>
      </c>
      <c r="B40" s="241">
        <v>27.01</v>
      </c>
      <c r="C40" s="242">
        <f>C38</f>
        <v>0.18740024214478035</v>
      </c>
      <c r="D40" s="267">
        <f t="shared" si="3"/>
        <v>27.197400242144781</v>
      </c>
      <c r="E40" s="228"/>
      <c r="H40" s="167"/>
    </row>
    <row r="41" spans="1:8" ht="15.5" x14ac:dyDescent="0.35">
      <c r="A41" s="262"/>
      <c r="B41" s="240"/>
      <c r="C41" s="237"/>
      <c r="D41" s="265"/>
      <c r="E41" s="228"/>
      <c r="H41" s="167"/>
    </row>
    <row r="42" spans="1:8" ht="15.5" x14ac:dyDescent="0.35">
      <c r="A42" s="264" t="s">
        <v>359</v>
      </c>
      <c r="B42" s="240"/>
      <c r="C42" s="237"/>
      <c r="D42" s="265"/>
      <c r="E42" s="228"/>
      <c r="H42" s="167"/>
    </row>
    <row r="43" spans="1:8" ht="15.5" x14ac:dyDescent="0.35">
      <c r="A43" s="266" t="s">
        <v>360</v>
      </c>
      <c r="B43" s="241">
        <v>27.01</v>
      </c>
      <c r="C43" s="242">
        <f>C38</f>
        <v>0.18740024214478035</v>
      </c>
      <c r="D43" s="267">
        <f t="shared" ref="D43" si="4">SUM(B43:C43)</f>
        <v>27.197400242144781</v>
      </c>
      <c r="E43" s="228"/>
      <c r="H43" s="167"/>
    </row>
    <row r="44" spans="1:8" ht="15.5" x14ac:dyDescent="0.35">
      <c r="A44" s="262"/>
      <c r="B44" s="240"/>
      <c r="C44" s="237"/>
      <c r="D44" s="265"/>
      <c r="E44" s="228"/>
      <c r="H44" s="167"/>
    </row>
    <row r="45" spans="1:8" ht="15.5" x14ac:dyDescent="0.35">
      <c r="A45" s="264" t="s">
        <v>361</v>
      </c>
      <c r="B45" s="240"/>
      <c r="C45" s="237"/>
      <c r="D45" s="265"/>
      <c r="E45" s="228"/>
      <c r="H45" s="167"/>
    </row>
    <row r="46" spans="1:8" ht="15.5" x14ac:dyDescent="0.35">
      <c r="A46" s="266" t="s">
        <v>112</v>
      </c>
      <c r="B46" s="241">
        <v>142.47999999999999</v>
      </c>
      <c r="C46" s="246">
        <f>References!B55</f>
        <v>3.5600000000000023</v>
      </c>
      <c r="D46" s="267">
        <f>SUM(B46:C46)</f>
        <v>146.04</v>
      </c>
      <c r="E46" s="228"/>
      <c r="H46" s="167"/>
    </row>
    <row r="47" spans="1:8" ht="15.5" x14ac:dyDescent="0.35">
      <c r="A47" s="262"/>
      <c r="B47" s="240"/>
      <c r="C47" s="237"/>
      <c r="D47" s="265"/>
      <c r="E47" s="228"/>
      <c r="H47" s="167"/>
    </row>
    <row r="48" spans="1:8" ht="15.5" x14ac:dyDescent="0.35">
      <c r="A48" s="264" t="s">
        <v>362</v>
      </c>
      <c r="B48" s="240"/>
      <c r="C48" s="237"/>
      <c r="D48" s="265"/>
      <c r="E48" s="228"/>
      <c r="H48" s="167"/>
    </row>
    <row r="49" spans="1:8" ht="15.5" x14ac:dyDescent="0.35">
      <c r="A49" s="266" t="s">
        <v>363</v>
      </c>
      <c r="B49" s="241">
        <v>21.93</v>
      </c>
      <c r="C49" s="242">
        <f>'Staff Calcs '!L20</f>
        <v>0.26236033900269257</v>
      </c>
      <c r="D49" s="267">
        <f t="shared" ref="D49:D54" si="5">SUM(B49:C49)</f>
        <v>22.192360339002693</v>
      </c>
      <c r="E49" s="228"/>
      <c r="F49" s="280"/>
      <c r="H49" s="167"/>
    </row>
    <row r="50" spans="1:8" ht="15.5" x14ac:dyDescent="0.35">
      <c r="A50" s="266" t="s">
        <v>364</v>
      </c>
      <c r="B50" s="241">
        <v>30.73</v>
      </c>
      <c r="C50" s="242">
        <f>'Staff Calcs '!L25</f>
        <v>0.3748004842895607</v>
      </c>
      <c r="D50" s="267">
        <f t="shared" si="5"/>
        <v>31.104800484289562</v>
      </c>
      <c r="E50" s="228"/>
      <c r="F50" s="280"/>
      <c r="H50" s="167"/>
    </row>
    <row r="51" spans="1:8" ht="15.5" x14ac:dyDescent="0.35">
      <c r="A51" s="266" t="s">
        <v>322</v>
      </c>
      <c r="B51" s="241">
        <v>43.09</v>
      </c>
      <c r="C51" s="242">
        <f>'Staff Calcs '!L30</f>
        <v>0.48574142763927086</v>
      </c>
      <c r="D51" s="267">
        <f t="shared" si="5"/>
        <v>43.575741427639272</v>
      </c>
      <c r="E51" s="228"/>
      <c r="F51" s="280"/>
      <c r="H51" s="167"/>
    </row>
    <row r="52" spans="1:8" s="114" customFormat="1" ht="15.5" x14ac:dyDescent="0.35">
      <c r="A52" s="268" t="s">
        <v>323</v>
      </c>
      <c r="B52" s="243">
        <v>56.27</v>
      </c>
      <c r="C52" s="244">
        <f>'Staff Calcs '!L55</f>
        <v>0.70912251627584899</v>
      </c>
      <c r="D52" s="269">
        <f t="shared" si="5"/>
        <v>56.979122516275851</v>
      </c>
      <c r="E52" s="228"/>
      <c r="F52" s="280"/>
      <c r="G52" s="276"/>
      <c r="H52" s="167"/>
    </row>
    <row r="53" spans="1:8" s="114" customFormat="1" ht="15.5" x14ac:dyDescent="0.35">
      <c r="A53" s="268" t="s">
        <v>324</v>
      </c>
      <c r="B53" s="243">
        <v>76.95</v>
      </c>
      <c r="C53" s="244">
        <f>'Staff Calcs '!L66</f>
        <v>0.91901078747800291</v>
      </c>
      <c r="D53" s="269">
        <f t="shared" si="5"/>
        <v>77.869010787478004</v>
      </c>
      <c r="E53" s="228"/>
      <c r="F53" s="280"/>
      <c r="G53" s="276"/>
      <c r="H53" s="167"/>
    </row>
    <row r="54" spans="1:8" ht="15.5" x14ac:dyDescent="0.35">
      <c r="A54" s="268" t="s">
        <v>365</v>
      </c>
      <c r="B54" s="243">
        <v>116.69</v>
      </c>
      <c r="C54" s="244">
        <f>'Staff Calcs '!L67</f>
        <v>1.2593296272129244</v>
      </c>
      <c r="D54" s="269">
        <f t="shared" si="5"/>
        <v>117.94932962721292</v>
      </c>
      <c r="E54" s="228"/>
      <c r="F54" s="280"/>
      <c r="H54" s="167"/>
    </row>
    <row r="55" spans="1:8" ht="15.5" x14ac:dyDescent="0.35">
      <c r="A55" s="262"/>
      <c r="B55" s="240"/>
      <c r="C55" s="237"/>
      <c r="D55" s="265"/>
      <c r="E55" s="228"/>
      <c r="F55" s="280"/>
      <c r="H55" s="167"/>
    </row>
    <row r="56" spans="1:8" ht="15.5" x14ac:dyDescent="0.35">
      <c r="A56" s="268" t="s">
        <v>366</v>
      </c>
      <c r="B56" s="243">
        <v>24.93</v>
      </c>
      <c r="C56" s="244">
        <f>C49</f>
        <v>0.26236033900269257</v>
      </c>
      <c r="D56" s="269">
        <f>SUM(B56:C56)</f>
        <v>25.192360339002693</v>
      </c>
      <c r="E56" s="228"/>
      <c r="F56" s="280"/>
      <c r="H56" s="167"/>
    </row>
    <row r="57" spans="1:8" ht="15.5" x14ac:dyDescent="0.35">
      <c r="A57" s="268" t="s">
        <v>367</v>
      </c>
      <c r="B57" s="243">
        <v>33.729999999999997</v>
      </c>
      <c r="C57" s="244">
        <f t="shared" ref="C57:C61" si="6">C50</f>
        <v>0.3748004842895607</v>
      </c>
      <c r="D57" s="269">
        <f t="shared" ref="D57:D60" si="7">SUM(B57:C57)</f>
        <v>34.104800484289555</v>
      </c>
      <c r="E57" s="228"/>
      <c r="F57" s="280"/>
      <c r="H57" s="167"/>
    </row>
    <row r="58" spans="1:8" ht="15.5" x14ac:dyDescent="0.35">
      <c r="A58" s="268" t="s">
        <v>368</v>
      </c>
      <c r="B58" s="243">
        <v>48.09</v>
      </c>
      <c r="C58" s="244">
        <f t="shared" si="6"/>
        <v>0.48574142763927086</v>
      </c>
      <c r="D58" s="269">
        <f t="shared" si="7"/>
        <v>48.575741427639272</v>
      </c>
      <c r="E58" s="228"/>
      <c r="F58" s="280"/>
      <c r="H58" s="167"/>
    </row>
    <row r="59" spans="1:8" s="114" customFormat="1" ht="15.5" x14ac:dyDescent="0.35">
      <c r="A59" s="268" t="s">
        <v>399</v>
      </c>
      <c r="B59" s="243">
        <v>59.27</v>
      </c>
      <c r="C59" s="244">
        <f t="shared" si="6"/>
        <v>0.70912251627584899</v>
      </c>
      <c r="D59" s="269">
        <f t="shared" si="7"/>
        <v>59.979122516275851</v>
      </c>
      <c r="E59" s="228"/>
      <c r="F59" s="280"/>
      <c r="G59" s="276"/>
      <c r="H59" s="167"/>
    </row>
    <row r="60" spans="1:8" s="114" customFormat="1" ht="15.5" x14ac:dyDescent="0.35">
      <c r="A60" s="268" t="s">
        <v>400</v>
      </c>
      <c r="B60" s="243">
        <v>79.95</v>
      </c>
      <c r="C60" s="244">
        <f t="shared" si="6"/>
        <v>0.91901078747800291</v>
      </c>
      <c r="D60" s="269">
        <f t="shared" si="7"/>
        <v>80.869010787478004</v>
      </c>
      <c r="E60" s="228"/>
      <c r="F60" s="280"/>
      <c r="G60" s="276"/>
      <c r="H60" s="167"/>
    </row>
    <row r="61" spans="1:8" ht="15.5" x14ac:dyDescent="0.35">
      <c r="A61" s="268" t="s">
        <v>369</v>
      </c>
      <c r="B61" s="243">
        <v>122.69</v>
      </c>
      <c r="C61" s="244">
        <f t="shared" si="6"/>
        <v>1.2593296272129244</v>
      </c>
      <c r="D61" s="269">
        <f>SUM(B61:C61)</f>
        <v>123.94932962721292</v>
      </c>
      <c r="E61" s="228"/>
      <c r="F61" s="280"/>
      <c r="H61" s="167"/>
    </row>
    <row r="62" spans="1:8" ht="15.5" x14ac:dyDescent="0.35">
      <c r="A62" s="262"/>
      <c r="B62" s="240"/>
      <c r="C62" s="237"/>
      <c r="D62" s="265"/>
      <c r="E62" s="228"/>
      <c r="F62" s="280"/>
      <c r="H62" s="167"/>
    </row>
    <row r="63" spans="1:8" ht="15.5" x14ac:dyDescent="0.35">
      <c r="A63" s="266" t="s">
        <v>370</v>
      </c>
      <c r="B63" s="241">
        <f>B56</f>
        <v>24.93</v>
      </c>
      <c r="C63" s="242">
        <f>C49</f>
        <v>0.26236033900269257</v>
      </c>
      <c r="D63" s="267">
        <f>SUM(B63:C63)</f>
        <v>25.192360339002693</v>
      </c>
      <c r="E63" s="228"/>
      <c r="H63" s="167"/>
    </row>
    <row r="64" spans="1:8" ht="15.5" x14ac:dyDescent="0.35">
      <c r="A64" s="266" t="s">
        <v>371</v>
      </c>
      <c r="B64" s="241">
        <v>34.979999999999997</v>
      </c>
      <c r="C64" s="242">
        <f t="shared" ref="C64:C65" si="8">C50</f>
        <v>0.3748004842895607</v>
      </c>
      <c r="D64" s="267">
        <f t="shared" ref="D64:D65" si="9">SUM(B64:C64)</f>
        <v>35.354800484289555</v>
      </c>
      <c r="E64" s="228"/>
      <c r="H64" s="167"/>
    </row>
    <row r="65" spans="1:8" ht="15.5" x14ac:dyDescent="0.35">
      <c r="A65" s="266" t="s">
        <v>372</v>
      </c>
      <c r="B65" s="241">
        <v>49.41</v>
      </c>
      <c r="C65" s="242">
        <f t="shared" si="8"/>
        <v>0.48574142763927086</v>
      </c>
      <c r="D65" s="267">
        <f t="shared" si="9"/>
        <v>49.895741427639265</v>
      </c>
      <c r="E65" s="228"/>
      <c r="H65" s="167"/>
    </row>
    <row r="66" spans="1:8" s="114" customFormat="1" ht="15.5" x14ac:dyDescent="0.35">
      <c r="A66" s="268" t="s">
        <v>397</v>
      </c>
      <c r="B66" s="243">
        <v>56.27</v>
      </c>
      <c r="C66" s="244">
        <f>C59</f>
        <v>0.70912251627584899</v>
      </c>
      <c r="D66" s="269">
        <f>SUM(B66:C66)</f>
        <v>56.979122516275851</v>
      </c>
      <c r="E66" s="228"/>
      <c r="G66" s="276"/>
      <c r="H66" s="167"/>
    </row>
    <row r="67" spans="1:8" s="114" customFormat="1" ht="15.5" x14ac:dyDescent="0.35">
      <c r="A67" s="268" t="s">
        <v>398</v>
      </c>
      <c r="B67" s="243">
        <v>76.95</v>
      </c>
      <c r="C67" s="244">
        <f>C60</f>
        <v>0.91901078747800291</v>
      </c>
      <c r="D67" s="269">
        <f>SUM(B67:C67)</f>
        <v>77.869010787478004</v>
      </c>
      <c r="E67" s="228"/>
      <c r="G67" s="276"/>
      <c r="H67" s="167"/>
    </row>
    <row r="68" spans="1:8" ht="15.5" x14ac:dyDescent="0.35">
      <c r="A68" s="262"/>
      <c r="B68" s="240"/>
      <c r="C68" s="237"/>
      <c r="D68" s="265"/>
      <c r="E68" s="228"/>
      <c r="H68" s="167"/>
    </row>
    <row r="69" spans="1:8" ht="15.5" x14ac:dyDescent="0.35">
      <c r="A69" s="264" t="s">
        <v>373</v>
      </c>
      <c r="B69" s="240"/>
      <c r="C69" s="237"/>
      <c r="D69" s="265"/>
      <c r="E69" s="228"/>
      <c r="H69" s="167"/>
    </row>
    <row r="70" spans="1:8" ht="15.5" x14ac:dyDescent="0.35">
      <c r="A70" s="262"/>
      <c r="B70" s="240"/>
      <c r="C70" s="242"/>
      <c r="D70" s="267"/>
      <c r="E70" s="228"/>
      <c r="H70" s="167"/>
    </row>
    <row r="71" spans="1:8" ht="15.5" x14ac:dyDescent="0.35">
      <c r="A71" s="268" t="s">
        <v>374</v>
      </c>
      <c r="B71" s="247">
        <v>5.95</v>
      </c>
      <c r="C71" s="244">
        <f>'Staff Calcs '!L51</f>
        <v>5.5470471674854999E-2</v>
      </c>
      <c r="D71" s="269">
        <f>SUM(B71:C71)</f>
        <v>6.0054704716748555</v>
      </c>
      <c r="E71" s="228"/>
      <c r="F71" s="114"/>
      <c r="H71" s="167"/>
    </row>
    <row r="72" spans="1:8" ht="15.5" x14ac:dyDescent="0.35">
      <c r="A72" s="268" t="s">
        <v>375</v>
      </c>
      <c r="B72" s="247">
        <v>8.9499999999999993</v>
      </c>
      <c r="C72" s="244">
        <f>C71</f>
        <v>5.5470471674854999E-2</v>
      </c>
      <c r="D72" s="269">
        <f>SUM(B72:C72)</f>
        <v>9.0054704716748546</v>
      </c>
      <c r="E72" s="228"/>
      <c r="F72" s="114"/>
      <c r="H72" s="167"/>
    </row>
    <row r="73" spans="1:8" ht="15.5" x14ac:dyDescent="0.35">
      <c r="A73" s="262"/>
      <c r="B73" s="240"/>
      <c r="C73" s="237"/>
      <c r="D73" s="265"/>
      <c r="E73" s="228"/>
      <c r="H73" s="167"/>
    </row>
    <row r="74" spans="1:8" ht="15.5" x14ac:dyDescent="0.35">
      <c r="A74" s="266" t="s">
        <v>163</v>
      </c>
      <c r="B74" s="241">
        <v>7.59</v>
      </c>
      <c r="C74" s="242">
        <f>'Staff Calcs '!L41</f>
        <v>7.0462491046437425E-2</v>
      </c>
      <c r="D74" s="267">
        <f t="shared" ref="D74" si="10">SUM(B74:C74)</f>
        <v>7.6604624910464372</v>
      </c>
      <c r="E74" s="228"/>
      <c r="F74" s="114"/>
      <c r="H74" s="167"/>
    </row>
    <row r="75" spans="1:8" ht="15.5" x14ac:dyDescent="0.35">
      <c r="A75" s="268" t="s">
        <v>376</v>
      </c>
      <c r="B75" s="243">
        <v>10.59</v>
      </c>
      <c r="C75" s="244">
        <f>C74</f>
        <v>7.0462491046437425E-2</v>
      </c>
      <c r="D75" s="269">
        <f>SUM(B75:C75)</f>
        <v>10.660462491046438</v>
      </c>
      <c r="E75" s="228"/>
      <c r="F75" s="114"/>
      <c r="H75" s="167"/>
    </row>
    <row r="76" spans="1:8" ht="15.5" x14ac:dyDescent="0.35">
      <c r="A76" s="262"/>
      <c r="B76" s="240"/>
      <c r="C76" s="237"/>
      <c r="D76" s="265"/>
      <c r="E76" s="228"/>
      <c r="H76" s="167"/>
    </row>
    <row r="77" spans="1:8" ht="15.5" x14ac:dyDescent="0.35">
      <c r="A77" s="268" t="s">
        <v>377</v>
      </c>
      <c r="B77" s="245">
        <v>9.89</v>
      </c>
      <c r="C77" s="244">
        <f>'Staff Calcs '!L53</f>
        <v>0.10194573172676054</v>
      </c>
      <c r="D77" s="269">
        <f t="shared" ref="D77:D78" si="11">SUM(B77:C77)</f>
        <v>9.9919457317267604</v>
      </c>
      <c r="E77" s="229"/>
      <c r="F77" s="114"/>
      <c r="H77" s="167"/>
    </row>
    <row r="78" spans="1:8" ht="15.5" x14ac:dyDescent="0.35">
      <c r="A78" s="268" t="s">
        <v>378</v>
      </c>
      <c r="B78" s="245">
        <v>12.89</v>
      </c>
      <c r="C78" s="248">
        <f>'Staff Calcs '!L53</f>
        <v>0.10194573172676054</v>
      </c>
      <c r="D78" s="269">
        <f t="shared" si="11"/>
        <v>12.99194573172676</v>
      </c>
      <c r="E78" s="229"/>
      <c r="F78" s="114"/>
      <c r="H78" s="167"/>
    </row>
    <row r="79" spans="1:8" ht="15.5" x14ac:dyDescent="0.35">
      <c r="A79" s="262"/>
      <c r="B79" s="240"/>
      <c r="C79" s="237"/>
      <c r="D79" s="267"/>
      <c r="E79" s="228"/>
      <c r="F79" s="114"/>
      <c r="H79" s="167"/>
    </row>
    <row r="80" spans="1:8" ht="15.5" x14ac:dyDescent="0.35">
      <c r="A80" s="266" t="s">
        <v>379</v>
      </c>
      <c r="B80" s="241">
        <v>27.01</v>
      </c>
      <c r="C80" s="242">
        <f>C38</f>
        <v>0.18740024214478035</v>
      </c>
      <c r="D80" s="267">
        <f t="shared" ref="D80:D82" si="12">SUM(B80:C80)</f>
        <v>27.197400242144781</v>
      </c>
      <c r="E80" s="228"/>
      <c r="F80" s="114"/>
      <c r="H80" s="167"/>
    </row>
    <row r="81" spans="1:8" ht="15.5" x14ac:dyDescent="0.35">
      <c r="A81" s="262"/>
      <c r="B81" s="240"/>
      <c r="C81" s="242"/>
      <c r="D81" s="267"/>
      <c r="E81" s="228"/>
      <c r="F81" s="114"/>
      <c r="H81" s="167"/>
    </row>
    <row r="82" spans="1:8" ht="15.5" x14ac:dyDescent="0.35">
      <c r="A82" s="266" t="s">
        <v>380</v>
      </c>
      <c r="B82" s="241">
        <v>7.45</v>
      </c>
      <c r="C82" s="242">
        <f>'Staff Calcs '!L42</f>
        <v>4.3476856177589042E-2</v>
      </c>
      <c r="D82" s="267">
        <f t="shared" si="12"/>
        <v>7.4934768561775895</v>
      </c>
      <c r="E82" s="228"/>
      <c r="F82" s="114"/>
      <c r="H82" s="167"/>
    </row>
    <row r="83" spans="1:8" ht="15.5" x14ac:dyDescent="0.35">
      <c r="A83" s="262"/>
      <c r="B83" s="240"/>
      <c r="C83" s="237"/>
      <c r="D83" s="267"/>
      <c r="E83" s="228"/>
      <c r="F83" s="114"/>
      <c r="H83" s="167"/>
    </row>
    <row r="84" spans="1:8" ht="15.5" x14ac:dyDescent="0.35">
      <c r="A84" s="266" t="s">
        <v>381</v>
      </c>
      <c r="B84" s="249">
        <v>25.79</v>
      </c>
      <c r="C84" s="250">
        <f>'Staff Calcs '!L51*References!B9</f>
        <v>0.24037204392437164</v>
      </c>
      <c r="D84" s="267">
        <f>SUM(B84:C84)</f>
        <v>26.03037204392437</v>
      </c>
      <c r="E84" s="228"/>
      <c r="F84" s="114"/>
      <c r="H84" s="167"/>
    </row>
    <row r="85" spans="1:8" ht="15.5" x14ac:dyDescent="0.35">
      <c r="A85" s="266" t="s">
        <v>382</v>
      </c>
      <c r="B85" s="249">
        <v>32.96</v>
      </c>
      <c r="C85" s="250">
        <f>'Staff Calcs '!L41*References!B9</f>
        <v>0.30533746120122884</v>
      </c>
      <c r="D85" s="267">
        <f t="shared" ref="D85:D86" si="13">SUM(B85:C85)</f>
        <v>33.265337461201227</v>
      </c>
      <c r="E85" s="228"/>
      <c r="F85" s="116"/>
      <c r="H85" s="167"/>
    </row>
    <row r="86" spans="1:8" ht="15.5" x14ac:dyDescent="0.35">
      <c r="A86" s="266" t="s">
        <v>383</v>
      </c>
      <c r="B86" s="251">
        <v>42.82</v>
      </c>
      <c r="C86" s="252">
        <f>'Staff Calcs '!L53*References!B9</f>
        <v>0.44176483748262896</v>
      </c>
      <c r="D86" s="267">
        <f t="shared" si="13"/>
        <v>43.26176483748263</v>
      </c>
      <c r="E86" s="229"/>
      <c r="F86" s="116"/>
      <c r="H86" s="167"/>
    </row>
    <row r="87" spans="1:8" ht="15.5" x14ac:dyDescent="0.35">
      <c r="A87" s="262"/>
      <c r="B87" s="240"/>
      <c r="C87" s="237"/>
      <c r="D87" s="265"/>
      <c r="E87" s="228"/>
      <c r="H87" s="167"/>
    </row>
    <row r="88" spans="1:8" ht="15.5" x14ac:dyDescent="0.35">
      <c r="A88" s="264" t="s">
        <v>384</v>
      </c>
      <c r="B88" s="240"/>
      <c r="C88" s="237"/>
      <c r="D88" s="265"/>
      <c r="E88" s="228"/>
      <c r="H88" s="167"/>
    </row>
    <row r="89" spans="1:8" ht="15.5" x14ac:dyDescent="0.35">
      <c r="A89" s="266" t="s">
        <v>385</v>
      </c>
      <c r="B89" s="241">
        <v>5.46</v>
      </c>
      <c r="C89" s="242">
        <f>'Staff Calcs '!L37</f>
        <v>4.3476856177589049E-2</v>
      </c>
      <c r="D89" s="267">
        <f>SUM(B89:C89)</f>
        <v>5.5034768561775893</v>
      </c>
      <c r="E89" s="228"/>
      <c r="H89" s="167"/>
    </row>
    <row r="90" spans="1:8" ht="15.5" x14ac:dyDescent="0.35">
      <c r="A90" s="268" t="s">
        <v>386</v>
      </c>
      <c r="B90" s="243">
        <v>7.46</v>
      </c>
      <c r="C90" s="244">
        <f>'Staff Calcs '!L42</f>
        <v>4.3476856177589042E-2</v>
      </c>
      <c r="D90" s="269">
        <f>SUM(B90:C90)</f>
        <v>7.5034768561775893</v>
      </c>
      <c r="E90" s="228"/>
      <c r="H90" s="167"/>
    </row>
    <row r="91" spans="1:8" ht="15.5" x14ac:dyDescent="0.35">
      <c r="A91" s="262"/>
      <c r="B91" s="240"/>
      <c r="C91" s="237"/>
      <c r="D91" s="265"/>
      <c r="E91" s="228"/>
      <c r="H91" s="167"/>
    </row>
    <row r="92" spans="1:8" ht="15.5" x14ac:dyDescent="0.35">
      <c r="A92" s="268" t="s">
        <v>322</v>
      </c>
      <c r="B92" s="245">
        <v>43.09</v>
      </c>
      <c r="C92" s="244">
        <f>'Staff Calcs '!L64</f>
        <v>0.48574142763927075</v>
      </c>
      <c r="D92" s="269">
        <f>SUM(B92:C92)</f>
        <v>43.575741427639272</v>
      </c>
      <c r="E92" s="229"/>
      <c r="H92" s="167"/>
    </row>
    <row r="93" spans="1:8" ht="15.5" x14ac:dyDescent="0.35">
      <c r="A93" s="268" t="s">
        <v>323</v>
      </c>
      <c r="B93" s="245">
        <v>56.27</v>
      </c>
      <c r="C93" s="244">
        <f>'Staff Calcs '!L65</f>
        <v>0.70912251627584899</v>
      </c>
      <c r="D93" s="269">
        <f t="shared" ref="D93:D95" si="14">SUM(B93:C93)</f>
        <v>56.979122516275851</v>
      </c>
      <c r="E93" s="229"/>
      <c r="H93" s="167"/>
    </row>
    <row r="94" spans="1:8" ht="15.5" x14ac:dyDescent="0.35">
      <c r="A94" s="268" t="s">
        <v>324</v>
      </c>
      <c r="B94" s="245">
        <v>76.95</v>
      </c>
      <c r="C94" s="244">
        <f>'Staff Calcs '!L66</f>
        <v>0.91901078747800291</v>
      </c>
      <c r="D94" s="269">
        <f t="shared" si="14"/>
        <v>77.869010787478004</v>
      </c>
      <c r="E94" s="229"/>
      <c r="H94" s="167"/>
    </row>
    <row r="95" spans="1:8" ht="15.5" x14ac:dyDescent="0.35">
      <c r="A95" s="268" t="s">
        <v>325</v>
      </c>
      <c r="B95" s="245">
        <v>116.69</v>
      </c>
      <c r="C95" s="244">
        <f>'Staff Calcs '!L67</f>
        <v>1.2593296272129244</v>
      </c>
      <c r="D95" s="269">
        <f t="shared" si="14"/>
        <v>117.94932962721292</v>
      </c>
      <c r="E95" s="229"/>
      <c r="H95" s="167"/>
    </row>
    <row r="96" spans="1:8" s="114" customFormat="1" ht="15.5" x14ac:dyDescent="0.35">
      <c r="A96" s="270"/>
      <c r="B96" s="253"/>
      <c r="C96" s="254"/>
      <c r="D96" s="271"/>
      <c r="E96" s="229"/>
      <c r="G96" s="276"/>
      <c r="H96" s="167"/>
    </row>
    <row r="97" spans="1:8" s="114" customFormat="1" ht="15.5" x14ac:dyDescent="0.35">
      <c r="A97" s="264" t="s">
        <v>401</v>
      </c>
      <c r="B97" s="253"/>
      <c r="C97" s="254"/>
      <c r="D97" s="271"/>
      <c r="E97" s="229"/>
      <c r="G97" s="276"/>
      <c r="H97" s="167"/>
    </row>
    <row r="98" spans="1:8" s="114" customFormat="1" ht="15.5" x14ac:dyDescent="0.35">
      <c r="A98" s="268" t="s">
        <v>322</v>
      </c>
      <c r="B98" s="245">
        <v>48.09</v>
      </c>
      <c r="C98" s="244">
        <f>C92</f>
        <v>0.48574142763927075</v>
      </c>
      <c r="D98" s="269">
        <f>SUM(B98:C98)</f>
        <v>48.575741427639272</v>
      </c>
      <c r="E98" s="229"/>
      <c r="G98" s="276"/>
      <c r="H98" s="167"/>
    </row>
    <row r="99" spans="1:8" s="114" customFormat="1" ht="15.5" x14ac:dyDescent="0.35">
      <c r="A99" s="268" t="s">
        <v>323</v>
      </c>
      <c r="B99" s="245">
        <v>61.27</v>
      </c>
      <c r="C99" s="244">
        <f t="shared" ref="C99:C101" si="15">C93</f>
        <v>0.70912251627584899</v>
      </c>
      <c r="D99" s="269">
        <f t="shared" ref="D99:D101" si="16">SUM(B99:C99)</f>
        <v>61.979122516275851</v>
      </c>
      <c r="E99" s="229"/>
      <c r="G99" s="276"/>
      <c r="H99" s="167"/>
    </row>
    <row r="100" spans="1:8" s="114" customFormat="1" ht="15.5" x14ac:dyDescent="0.35">
      <c r="A100" s="268" t="s">
        <v>324</v>
      </c>
      <c r="B100" s="245">
        <v>81.95</v>
      </c>
      <c r="C100" s="244">
        <f t="shared" si="15"/>
        <v>0.91901078747800291</v>
      </c>
      <c r="D100" s="269">
        <f t="shared" si="16"/>
        <v>82.869010787478004</v>
      </c>
      <c r="E100" s="229"/>
      <c r="G100" s="276"/>
      <c r="H100" s="167"/>
    </row>
    <row r="101" spans="1:8" s="114" customFormat="1" ht="15.5" x14ac:dyDescent="0.35">
      <c r="A101" s="268" t="s">
        <v>325</v>
      </c>
      <c r="B101" s="245">
        <v>122.69</v>
      </c>
      <c r="C101" s="244">
        <f t="shared" si="15"/>
        <v>1.2593296272129244</v>
      </c>
      <c r="D101" s="269">
        <f t="shared" si="16"/>
        <v>123.94932962721292</v>
      </c>
      <c r="E101" s="229"/>
      <c r="G101" s="276"/>
      <c r="H101" s="167"/>
    </row>
    <row r="102" spans="1:8" ht="15.5" x14ac:dyDescent="0.35">
      <c r="A102" s="262"/>
      <c r="B102" s="240"/>
      <c r="C102" s="237"/>
      <c r="D102" s="265"/>
      <c r="E102" s="228"/>
      <c r="H102" s="167"/>
    </row>
    <row r="103" spans="1:8" ht="15.5" x14ac:dyDescent="0.35">
      <c r="A103" s="266" t="s">
        <v>387</v>
      </c>
      <c r="B103" s="241">
        <v>27.01</v>
      </c>
      <c r="C103" s="242">
        <f>C38</f>
        <v>0.18740024214478035</v>
      </c>
      <c r="D103" s="267">
        <f>SUM(B103:C103)</f>
        <v>27.197400242144781</v>
      </c>
      <c r="E103" s="228"/>
      <c r="H103" s="167"/>
    </row>
    <row r="104" spans="1:8" ht="15.5" x14ac:dyDescent="0.35">
      <c r="A104" s="262"/>
      <c r="B104" s="240"/>
      <c r="C104" s="237"/>
      <c r="D104" s="265"/>
      <c r="E104" s="228"/>
      <c r="H104" s="167"/>
    </row>
    <row r="105" spans="1:8" ht="15.5" x14ac:dyDescent="0.35">
      <c r="A105" s="266" t="s">
        <v>388</v>
      </c>
      <c r="B105" s="241">
        <v>7.45</v>
      </c>
      <c r="C105" s="242">
        <f>'Staff Calcs '!L42</f>
        <v>4.3476856177589042E-2</v>
      </c>
      <c r="D105" s="267">
        <f>SUM(B105:C105)</f>
        <v>7.4934768561775895</v>
      </c>
      <c r="E105" s="228"/>
      <c r="H105" s="167"/>
    </row>
    <row r="106" spans="1:8" ht="15.5" x14ac:dyDescent="0.35">
      <c r="A106" s="262"/>
      <c r="B106" s="240"/>
      <c r="C106" s="237"/>
      <c r="D106" s="265"/>
      <c r="E106" s="228"/>
      <c r="H106" s="167"/>
    </row>
    <row r="107" spans="1:8" ht="16" thickBot="1" x14ac:dyDescent="0.4">
      <c r="A107" s="272" t="s">
        <v>389</v>
      </c>
      <c r="B107" s="273">
        <v>23.79</v>
      </c>
      <c r="C107" s="274">
        <f>'Staff Calcs '!L37*References!B9</f>
        <v>0.18839971010288586</v>
      </c>
      <c r="D107" s="275">
        <f>SUM(B107:C107)</f>
        <v>23.978399710102885</v>
      </c>
      <c r="E107" s="228"/>
      <c r="H107" s="167"/>
    </row>
    <row r="108" spans="1:8" x14ac:dyDescent="0.35">
      <c r="A108" s="114"/>
      <c r="C108" s="114"/>
      <c r="D108" s="116"/>
      <c r="E108" s="114"/>
    </row>
    <row r="109" spans="1:8" x14ac:dyDescent="0.35">
      <c r="A109" s="114"/>
      <c r="C109" s="167"/>
      <c r="D109" s="116"/>
    </row>
    <row r="111" spans="1:8" x14ac:dyDescent="0.35">
      <c r="A111" s="115"/>
      <c r="C111" s="117"/>
      <c r="D111" s="114"/>
    </row>
    <row r="112" spans="1:8" x14ac:dyDescent="0.35">
      <c r="A112" s="114"/>
      <c r="C112" s="118"/>
      <c r="D112" s="116"/>
    </row>
    <row r="113" spans="1:4" x14ac:dyDescent="0.35">
      <c r="A113" s="114"/>
      <c r="C113" s="118"/>
      <c r="D113" s="116"/>
    </row>
    <row r="114" spans="1:4" x14ac:dyDescent="0.35">
      <c r="A114" s="114"/>
      <c r="C114" s="117"/>
      <c r="D114" s="114"/>
    </row>
    <row r="116" spans="1:4" x14ac:dyDescent="0.35">
      <c r="A116" s="114"/>
      <c r="C116" s="116"/>
      <c r="D116" s="114"/>
    </row>
  </sheetData>
  <printOptions gridLines="1"/>
  <pageMargins left="0.7" right="0.7" top="0.75" bottom="0.75" header="0.3" footer="0.3"/>
  <pageSetup scale="40" fitToWidth="0" orientation="portrait" r:id="rId1"/>
  <headerFooter>
    <oddFooter>&amp;L&amp;F - &amp;A&amp;C&amp;D&amp;R&amp;P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9"/>
  <sheetViews>
    <sheetView topLeftCell="A31" workbookViewId="0">
      <selection activeCell="H58" sqref="H58"/>
    </sheetView>
  </sheetViews>
  <sheetFormatPr defaultRowHeight="14.5" x14ac:dyDescent="0.35"/>
  <cols>
    <col min="1" max="1" width="34.81640625" style="177" bestFit="1" customWidth="1"/>
    <col min="2" max="2" width="27.81640625" style="177" bestFit="1" customWidth="1"/>
    <col min="3" max="3" width="11.26953125" style="177" bestFit="1" customWidth="1"/>
    <col min="4" max="4" width="14.1796875" style="177" bestFit="1" customWidth="1"/>
    <col min="5" max="7" width="10.1796875" style="177" bestFit="1" customWidth="1"/>
    <col min="8" max="8" width="8.54296875" style="177" bestFit="1" customWidth="1"/>
    <col min="9" max="9" width="9.81640625" style="177" bestFit="1" customWidth="1"/>
    <col min="10" max="11" width="11.26953125" style="177" bestFit="1" customWidth="1"/>
    <col min="12" max="12" width="14.54296875" bestFit="1" customWidth="1"/>
    <col min="13" max="13" width="10.26953125" bestFit="1" customWidth="1"/>
    <col min="14" max="14" width="10" style="168" bestFit="1" customWidth="1"/>
    <col min="15" max="15" width="11.1796875" style="168" bestFit="1" customWidth="1"/>
    <col min="16" max="16" width="10.26953125" style="168" bestFit="1" customWidth="1"/>
    <col min="17" max="20" width="9.1796875" style="168"/>
    <col min="21" max="21" width="20.1796875" style="168" bestFit="1" customWidth="1"/>
    <col min="22" max="22" width="26.26953125" style="168" bestFit="1" customWidth="1"/>
    <col min="23" max="23" width="8.54296875" style="168" bestFit="1" customWidth="1"/>
    <col min="24" max="26" width="9.1796875" style="168"/>
  </cols>
  <sheetData>
    <row r="1" spans="1:24" x14ac:dyDescent="0.35">
      <c r="A1" s="176" t="s">
        <v>144</v>
      </c>
      <c r="B1" s="290" t="s">
        <v>270</v>
      </c>
      <c r="C1" s="290"/>
      <c r="D1" s="290"/>
      <c r="L1" s="96"/>
      <c r="M1" s="96"/>
    </row>
    <row r="2" spans="1:24" x14ac:dyDescent="0.35">
      <c r="A2" s="220" t="s">
        <v>412</v>
      </c>
      <c r="L2" s="96"/>
      <c r="M2" s="96"/>
    </row>
    <row r="3" spans="1:24" ht="15" thickBot="1" x14ac:dyDescent="0.4">
      <c r="A3" s="176" t="s">
        <v>271</v>
      </c>
      <c r="L3" s="96"/>
      <c r="M3" s="96"/>
    </row>
    <row r="4" spans="1:24" ht="94.5" customHeight="1" x14ac:dyDescent="0.35">
      <c r="A4" s="291" t="s">
        <v>404</v>
      </c>
      <c r="B4" s="291"/>
      <c r="L4" s="96"/>
      <c r="M4" s="96"/>
      <c r="U4" s="193"/>
      <c r="V4" s="194" t="s">
        <v>145</v>
      </c>
      <c r="W4" s="195"/>
      <c r="X4" s="196"/>
    </row>
    <row r="5" spans="1:24" ht="12.75" customHeight="1" x14ac:dyDescent="0.35">
      <c r="L5" s="103">
        <v>42370</v>
      </c>
      <c r="M5" s="97" t="s">
        <v>146</v>
      </c>
      <c r="U5" s="197"/>
      <c r="X5" s="198"/>
    </row>
    <row r="6" spans="1:24" x14ac:dyDescent="0.35">
      <c r="A6" s="178" t="s">
        <v>105</v>
      </c>
      <c r="B6" s="178" t="s">
        <v>106</v>
      </c>
      <c r="C6" s="178" t="s">
        <v>17</v>
      </c>
      <c r="D6" s="178" t="s">
        <v>272</v>
      </c>
      <c r="E6" s="178" t="s">
        <v>92</v>
      </c>
      <c r="F6" s="178" t="s">
        <v>273</v>
      </c>
      <c r="H6" s="178" t="s">
        <v>92</v>
      </c>
      <c r="I6" s="178" t="s">
        <v>274</v>
      </c>
      <c r="J6" s="178" t="s">
        <v>275</v>
      </c>
      <c r="K6" s="178" t="s">
        <v>276</v>
      </c>
      <c r="L6" s="97" t="s">
        <v>147</v>
      </c>
      <c r="M6" s="97" t="s">
        <v>148</v>
      </c>
      <c r="N6" s="199" t="s">
        <v>10</v>
      </c>
      <c r="O6" s="199" t="s">
        <v>10</v>
      </c>
      <c r="P6" s="199" t="s">
        <v>93</v>
      </c>
      <c r="U6" s="197"/>
      <c r="V6" s="200" t="s">
        <v>14</v>
      </c>
      <c r="X6" s="198"/>
    </row>
    <row r="7" spans="1:24" x14ac:dyDescent="0.35">
      <c r="A7" s="179" t="s">
        <v>14</v>
      </c>
      <c r="C7" s="178" t="s">
        <v>93</v>
      </c>
      <c r="D7" s="178" t="s">
        <v>277</v>
      </c>
      <c r="E7" s="178" t="s">
        <v>94</v>
      </c>
      <c r="F7" s="178" t="s">
        <v>94</v>
      </c>
      <c r="G7" s="178" t="s">
        <v>149</v>
      </c>
      <c r="H7" s="178" t="s">
        <v>150</v>
      </c>
      <c r="I7" s="178" t="s">
        <v>278</v>
      </c>
      <c r="J7" s="178" t="s">
        <v>151</v>
      </c>
      <c r="K7" s="178" t="s">
        <v>279</v>
      </c>
      <c r="L7" s="104">
        <f>References!C55</f>
        <v>1.7800000000000038E-3</v>
      </c>
      <c r="M7" s="97">
        <f>References!G58</f>
        <v>0.98072499999999996</v>
      </c>
      <c r="N7" s="199" t="s">
        <v>152</v>
      </c>
      <c r="O7" s="199" t="s">
        <v>153</v>
      </c>
      <c r="P7" s="199" t="s">
        <v>154</v>
      </c>
      <c r="U7" s="201"/>
      <c r="V7" s="202" t="s">
        <v>155</v>
      </c>
      <c r="W7" s="203">
        <v>34</v>
      </c>
      <c r="X7" s="198"/>
    </row>
    <row r="8" spans="1:24" x14ac:dyDescent="0.35">
      <c r="A8" s="180" t="s">
        <v>156</v>
      </c>
      <c r="B8" s="180" t="s">
        <v>114</v>
      </c>
      <c r="C8" s="181">
        <v>1901.1299999999997</v>
      </c>
      <c r="D8" s="182">
        <v>16.46</v>
      </c>
      <c r="E8" s="183">
        <v>115.49999999999997</v>
      </c>
      <c r="F8" s="184">
        <v>9.6249999999999982</v>
      </c>
      <c r="G8" s="185">
        <v>4.33</v>
      </c>
      <c r="H8" s="186">
        <v>500.11499999999995</v>
      </c>
      <c r="I8" s="184">
        <v>20</v>
      </c>
      <c r="J8" s="186">
        <v>10002.299999999999</v>
      </c>
      <c r="K8" s="186">
        <v>8263.3303293004701</v>
      </c>
      <c r="L8" s="100">
        <f>K8*$L$7</f>
        <v>14.708727986154868</v>
      </c>
      <c r="M8" s="98">
        <f>L8/$M$7</f>
        <v>14.997810789115061</v>
      </c>
      <c r="N8" s="204">
        <f>M8/E8</f>
        <v>0.1298511756633339</v>
      </c>
      <c r="P8" s="204">
        <f>N8*E8</f>
        <v>14.997810789115062</v>
      </c>
      <c r="U8" s="201"/>
      <c r="V8" s="202" t="s">
        <v>157</v>
      </c>
      <c r="W8" s="203">
        <v>51</v>
      </c>
      <c r="X8" s="198"/>
    </row>
    <row r="9" spans="1:24" x14ac:dyDescent="0.35">
      <c r="A9" s="180" t="s">
        <v>158</v>
      </c>
      <c r="B9" s="180" t="s">
        <v>115</v>
      </c>
      <c r="C9" s="181">
        <v>375147.95</v>
      </c>
      <c r="D9" s="182">
        <v>20.6</v>
      </c>
      <c r="E9" s="183">
        <v>18211.065533980582</v>
      </c>
      <c r="F9" s="184">
        <v>1517.5887944983817</v>
      </c>
      <c r="G9" s="185">
        <v>4.33</v>
      </c>
      <c r="H9" s="186">
        <v>78853.913762135911</v>
      </c>
      <c r="I9" s="184">
        <v>34</v>
      </c>
      <c r="J9" s="186">
        <v>2681033.067912621</v>
      </c>
      <c r="K9" s="186">
        <v>2214916.7555402108</v>
      </c>
      <c r="L9" s="100">
        <f t="shared" ref="L9:L23" si="0">K9*$L$7</f>
        <v>3942.5518248615836</v>
      </c>
      <c r="M9" s="98">
        <f t="shared" ref="M9:M23" si="1">L9/$M$7</f>
        <v>4020.0380584379759</v>
      </c>
      <c r="N9" s="204">
        <f>M9/E9</f>
        <v>0.22074699862766758</v>
      </c>
      <c r="P9" s="204">
        <f t="shared" ref="P9:P23" si="2">N9*E9</f>
        <v>4020.0380584379759</v>
      </c>
      <c r="R9" s="204"/>
      <c r="U9" s="201"/>
      <c r="V9" s="202" t="s">
        <v>159</v>
      </c>
      <c r="W9" s="203">
        <v>77</v>
      </c>
      <c r="X9" s="198"/>
    </row>
    <row r="10" spans="1:24" x14ac:dyDescent="0.35">
      <c r="A10" s="180" t="s">
        <v>160</v>
      </c>
      <c r="B10" s="180" t="s">
        <v>116</v>
      </c>
      <c r="C10" s="181">
        <v>69555.320000000007</v>
      </c>
      <c r="D10" s="182">
        <v>30.45</v>
      </c>
      <c r="E10" s="183">
        <v>2284.2469622331696</v>
      </c>
      <c r="F10" s="184">
        <v>190.35391351943079</v>
      </c>
      <c r="G10" s="185">
        <v>4.33</v>
      </c>
      <c r="H10" s="186">
        <v>9890.7893464696244</v>
      </c>
      <c r="I10" s="184">
        <v>51</v>
      </c>
      <c r="J10" s="186">
        <v>504430.25666995085</v>
      </c>
      <c r="K10" s="186">
        <v>416731.53564256482</v>
      </c>
      <c r="L10" s="100">
        <f t="shared" si="0"/>
        <v>741.78213344376695</v>
      </c>
      <c r="M10" s="98">
        <f t="shared" si="1"/>
        <v>756.36099155600903</v>
      </c>
      <c r="N10" s="204">
        <f>M10/E10</f>
        <v>0.33112049794150139</v>
      </c>
      <c r="P10" s="204">
        <f t="shared" si="2"/>
        <v>756.36099155600903</v>
      </c>
      <c r="U10" s="201"/>
      <c r="V10" s="202" t="s">
        <v>161</v>
      </c>
      <c r="W10" s="203">
        <v>97</v>
      </c>
      <c r="X10" s="198"/>
    </row>
    <row r="11" spans="1:24" x14ac:dyDescent="0.35">
      <c r="A11" s="180" t="s">
        <v>162</v>
      </c>
      <c r="B11" s="180" t="s">
        <v>117</v>
      </c>
      <c r="C11" s="181">
        <v>3727.7500000000005</v>
      </c>
      <c r="D11" s="182">
        <v>40.299999999999997</v>
      </c>
      <c r="E11" s="183">
        <v>92.500000000000014</v>
      </c>
      <c r="F11" s="184">
        <v>7.7083333333333348</v>
      </c>
      <c r="G11" s="185">
        <v>4.33</v>
      </c>
      <c r="H11" s="186">
        <v>400.52500000000009</v>
      </c>
      <c r="I11" s="184">
        <v>77</v>
      </c>
      <c r="J11" s="186">
        <v>30840.425000000007</v>
      </c>
      <c r="K11" s="186">
        <v>25478.601848676459</v>
      </c>
      <c r="L11" s="100">
        <f t="shared" si="0"/>
        <v>45.351911290644196</v>
      </c>
      <c r="M11" s="98">
        <f t="shared" si="1"/>
        <v>46.243249933104792</v>
      </c>
      <c r="N11" s="204">
        <f t="shared" ref="N11:N20" si="3">M11/E11</f>
        <v>0.49992702630383551</v>
      </c>
      <c r="P11" s="204">
        <f t="shared" si="2"/>
        <v>46.243249933104792</v>
      </c>
      <c r="U11" s="201"/>
      <c r="V11" s="202" t="s">
        <v>163</v>
      </c>
      <c r="W11" s="203">
        <v>47</v>
      </c>
      <c r="X11" s="198"/>
    </row>
    <row r="12" spans="1:24" x14ac:dyDescent="0.35">
      <c r="A12" s="180" t="s">
        <v>280</v>
      </c>
      <c r="B12" s="180" t="s">
        <v>267</v>
      </c>
      <c r="C12" s="181">
        <v>861.22</v>
      </c>
      <c r="D12" s="182">
        <v>50.66</v>
      </c>
      <c r="E12" s="183">
        <v>17</v>
      </c>
      <c r="F12" s="184">
        <v>1.4166666666666667</v>
      </c>
      <c r="G12" s="185">
        <v>4.33</v>
      </c>
      <c r="H12" s="186">
        <v>73.610000000000014</v>
      </c>
      <c r="I12" s="184">
        <v>97</v>
      </c>
      <c r="J12" s="186">
        <v>7140.170000000001</v>
      </c>
      <c r="K12" s="186">
        <v>5898.8016073664412</v>
      </c>
      <c r="L12" s="100">
        <f t="shared" si="0"/>
        <v>10.499866861112288</v>
      </c>
      <c r="M12" s="98">
        <f t="shared" si="1"/>
        <v>10.70622943344188</v>
      </c>
      <c r="N12" s="204">
        <f t="shared" si="3"/>
        <v>0.62977820196716938</v>
      </c>
      <c r="P12" s="204">
        <f t="shared" si="2"/>
        <v>10.70622943344188</v>
      </c>
      <c r="U12" s="201"/>
      <c r="V12" s="202" t="s">
        <v>165</v>
      </c>
      <c r="W12" s="203">
        <v>68</v>
      </c>
      <c r="X12" s="198"/>
    </row>
    <row r="13" spans="1:24" x14ac:dyDescent="0.35">
      <c r="A13" s="180" t="s">
        <v>164</v>
      </c>
      <c r="B13" s="180" t="s">
        <v>118</v>
      </c>
      <c r="C13" s="181">
        <v>132.12</v>
      </c>
      <c r="D13" s="182">
        <v>22.51</v>
      </c>
      <c r="E13" s="183">
        <v>5.8693913816081738</v>
      </c>
      <c r="F13" s="184">
        <v>0.48911594846734779</v>
      </c>
      <c r="G13" s="185">
        <v>4.33</v>
      </c>
      <c r="H13" s="186">
        <v>25.414464682363388</v>
      </c>
      <c r="I13" s="184">
        <v>37</v>
      </c>
      <c r="J13" s="186">
        <v>940.33519324744532</v>
      </c>
      <c r="K13" s="186">
        <v>776.85135639505256</v>
      </c>
      <c r="L13" s="100">
        <f t="shared" si="0"/>
        <v>1.3827954143831964</v>
      </c>
      <c r="M13" s="98">
        <f t="shared" si="1"/>
        <v>1.4099726369606123</v>
      </c>
      <c r="N13" s="204">
        <f t="shared" si="3"/>
        <v>0.2402246749771676</v>
      </c>
      <c r="P13" s="204">
        <f t="shared" si="2"/>
        <v>1.4099726369606123</v>
      </c>
      <c r="U13" s="201"/>
      <c r="V13" s="202" t="s">
        <v>32</v>
      </c>
      <c r="W13" s="203">
        <v>34</v>
      </c>
      <c r="X13" s="198"/>
    </row>
    <row r="14" spans="1:24" x14ac:dyDescent="0.35">
      <c r="A14" s="180" t="s">
        <v>166</v>
      </c>
      <c r="B14" s="180" t="s">
        <v>119</v>
      </c>
      <c r="C14" s="181">
        <v>731.3</v>
      </c>
      <c r="D14" s="182">
        <v>29.04</v>
      </c>
      <c r="E14" s="183">
        <v>25.182506887052341</v>
      </c>
      <c r="F14" s="184">
        <v>2.0985422405876952</v>
      </c>
      <c r="G14" s="185">
        <v>4.33</v>
      </c>
      <c r="H14" s="186">
        <v>109.04025482093665</v>
      </c>
      <c r="I14" s="184">
        <v>47</v>
      </c>
      <c r="J14" s="186">
        <v>5124.8919765840228</v>
      </c>
      <c r="K14" s="186">
        <v>4233.8937348905147</v>
      </c>
      <c r="L14" s="100">
        <f t="shared" si="0"/>
        <v>7.5363308481051323</v>
      </c>
      <c r="M14" s="98">
        <f t="shared" si="1"/>
        <v>7.6844485947693109</v>
      </c>
      <c r="N14" s="204">
        <f t="shared" si="3"/>
        <v>0.30515026280883467</v>
      </c>
      <c r="P14" s="204">
        <f t="shared" si="2"/>
        <v>7.6844485947693109</v>
      </c>
      <c r="U14" s="201"/>
      <c r="X14" s="198"/>
    </row>
    <row r="15" spans="1:24" x14ac:dyDescent="0.35">
      <c r="A15" s="180" t="s">
        <v>167</v>
      </c>
      <c r="B15" s="180" t="s">
        <v>120</v>
      </c>
      <c r="C15" s="181">
        <v>113250.52999999998</v>
      </c>
      <c r="D15" s="182">
        <v>12.31</v>
      </c>
      <c r="E15" s="183">
        <v>9199.8805848903321</v>
      </c>
      <c r="F15" s="184">
        <v>766.65671540752771</v>
      </c>
      <c r="G15" s="185">
        <v>2.165</v>
      </c>
      <c r="H15" s="186">
        <v>19917.741466287567</v>
      </c>
      <c r="I15" s="184">
        <v>34</v>
      </c>
      <c r="J15" s="186">
        <v>677203.20985377731</v>
      </c>
      <c r="K15" s="186">
        <v>559466.70496629272</v>
      </c>
      <c r="L15" s="100">
        <f t="shared" si="0"/>
        <v>995.85073484000316</v>
      </c>
      <c r="M15" s="98">
        <f t="shared" si="1"/>
        <v>1015.4230134237459</v>
      </c>
      <c r="N15" s="204">
        <f t="shared" si="3"/>
        <v>0.11037349931383379</v>
      </c>
      <c r="P15" s="204">
        <f t="shared" si="2"/>
        <v>1015.4230134237459</v>
      </c>
      <c r="U15" s="201"/>
      <c r="V15" s="200" t="s">
        <v>168</v>
      </c>
      <c r="X15" s="198"/>
    </row>
    <row r="16" spans="1:24" x14ac:dyDescent="0.35">
      <c r="A16" s="180" t="s">
        <v>169</v>
      </c>
      <c r="B16" s="180" t="s">
        <v>121</v>
      </c>
      <c r="C16" s="181">
        <v>923.25000000000011</v>
      </c>
      <c r="D16" s="182">
        <v>24.62</v>
      </c>
      <c r="E16" s="183">
        <v>37.5</v>
      </c>
      <c r="F16" s="184">
        <v>3.125</v>
      </c>
      <c r="G16" s="185">
        <v>2.165</v>
      </c>
      <c r="H16" s="186">
        <v>81.1875</v>
      </c>
      <c r="I16" s="184">
        <v>51</v>
      </c>
      <c r="J16" s="186">
        <v>4140.5625</v>
      </c>
      <c r="K16" s="186">
        <v>3420.6968083954871</v>
      </c>
      <c r="L16" s="100">
        <f t="shared" si="0"/>
        <v>6.0888403189439799</v>
      </c>
      <c r="M16" s="98">
        <f t="shared" si="1"/>
        <v>6.2085093364031509</v>
      </c>
      <c r="N16" s="204">
        <f t="shared" si="3"/>
        <v>0.1655602489707507</v>
      </c>
      <c r="P16" s="204">
        <f t="shared" si="2"/>
        <v>6.2085093364031509</v>
      </c>
      <c r="U16" s="201"/>
      <c r="V16" s="202" t="s">
        <v>75</v>
      </c>
      <c r="W16" s="203">
        <v>29</v>
      </c>
      <c r="X16" s="198"/>
    </row>
    <row r="17" spans="1:24" x14ac:dyDescent="0.35">
      <c r="A17" s="180" t="s">
        <v>170</v>
      </c>
      <c r="B17" s="180" t="s">
        <v>122</v>
      </c>
      <c r="C17" s="181">
        <v>446.82</v>
      </c>
      <c r="D17" s="182">
        <v>13.54</v>
      </c>
      <c r="E17" s="183">
        <v>33</v>
      </c>
      <c r="F17" s="184">
        <v>2.75</v>
      </c>
      <c r="G17" s="185">
        <v>2.165</v>
      </c>
      <c r="H17" s="186">
        <v>71.445000000000007</v>
      </c>
      <c r="I17" s="184">
        <v>37</v>
      </c>
      <c r="J17" s="186">
        <v>2643.4650000000001</v>
      </c>
      <c r="K17" s="186">
        <v>2183.8801584579819</v>
      </c>
      <c r="L17" s="100">
        <f t="shared" si="0"/>
        <v>3.887306682055216</v>
      </c>
      <c r="M17" s="98">
        <f t="shared" si="1"/>
        <v>3.9637071371232673</v>
      </c>
      <c r="N17" s="204">
        <f t="shared" si="3"/>
        <v>0.12011233748858385</v>
      </c>
      <c r="P17" s="204">
        <f t="shared" si="2"/>
        <v>3.9637071371232673</v>
      </c>
      <c r="U17" s="201"/>
      <c r="V17" s="202" t="s">
        <v>171</v>
      </c>
      <c r="W17" s="203">
        <v>175</v>
      </c>
      <c r="X17" s="198"/>
    </row>
    <row r="18" spans="1:24" x14ac:dyDescent="0.35">
      <c r="A18" s="180" t="s">
        <v>172</v>
      </c>
      <c r="B18" s="180" t="s">
        <v>123</v>
      </c>
      <c r="C18" s="181">
        <v>196.92000000000002</v>
      </c>
      <c r="D18" s="182">
        <v>16.41</v>
      </c>
      <c r="E18" s="183">
        <v>12</v>
      </c>
      <c r="F18" s="184">
        <v>1</v>
      </c>
      <c r="G18" s="185">
        <v>2.165</v>
      </c>
      <c r="H18" s="186">
        <v>25.98</v>
      </c>
      <c r="I18" s="184">
        <v>47</v>
      </c>
      <c r="J18" s="186">
        <v>1221.06</v>
      </c>
      <c r="K18" s="186">
        <v>1008.770196044473</v>
      </c>
      <c r="L18" s="100">
        <f t="shared" si="0"/>
        <v>1.7956109489591658</v>
      </c>
      <c r="M18" s="98">
        <f t="shared" si="1"/>
        <v>1.8309015768530077</v>
      </c>
      <c r="N18" s="204">
        <f t="shared" si="3"/>
        <v>0.15257513140441731</v>
      </c>
      <c r="P18" s="204">
        <f t="shared" si="2"/>
        <v>1.8309015768530077</v>
      </c>
      <c r="U18" s="201"/>
      <c r="V18" s="202" t="s">
        <v>173</v>
      </c>
      <c r="W18" s="203">
        <v>250</v>
      </c>
      <c r="X18" s="198"/>
    </row>
    <row r="19" spans="1:24" x14ac:dyDescent="0.35">
      <c r="A19" s="180" t="s">
        <v>175</v>
      </c>
      <c r="B19" s="180" t="s">
        <v>124</v>
      </c>
      <c r="C19" s="181">
        <v>11711.489999999998</v>
      </c>
      <c r="D19" s="182">
        <v>7.71</v>
      </c>
      <c r="E19" s="183">
        <v>1518.9999999999998</v>
      </c>
      <c r="F19" s="184">
        <v>126.58333333333331</v>
      </c>
      <c r="G19" s="185">
        <v>1</v>
      </c>
      <c r="H19" s="186">
        <v>1518.9999999999998</v>
      </c>
      <c r="I19" s="184">
        <v>34</v>
      </c>
      <c r="J19" s="186">
        <v>51645.999999999993</v>
      </c>
      <c r="K19" s="186">
        <v>42666.982412750272</v>
      </c>
      <c r="L19" s="100">
        <f t="shared" si="0"/>
        <v>75.947228694695653</v>
      </c>
      <c r="M19" s="98">
        <f t="shared" si="1"/>
        <v>77.439882428505086</v>
      </c>
      <c r="N19" s="204">
        <f t="shared" si="3"/>
        <v>5.0980831091840088E-2</v>
      </c>
      <c r="P19" s="204">
        <f t="shared" si="2"/>
        <v>77.439882428505086</v>
      </c>
      <c r="U19" s="201"/>
      <c r="V19" s="202" t="s">
        <v>174</v>
      </c>
      <c r="W19" s="203">
        <v>324</v>
      </c>
      <c r="X19" s="198"/>
    </row>
    <row r="20" spans="1:24" x14ac:dyDescent="0.35">
      <c r="A20" s="180" t="s">
        <v>177</v>
      </c>
      <c r="B20" s="180" t="s">
        <v>125</v>
      </c>
      <c r="C20" s="181">
        <v>185.04</v>
      </c>
      <c r="D20" s="182">
        <v>15.42</v>
      </c>
      <c r="E20" s="183">
        <v>12</v>
      </c>
      <c r="F20" s="184">
        <v>1</v>
      </c>
      <c r="G20" s="185">
        <v>1</v>
      </c>
      <c r="H20" s="186">
        <v>12</v>
      </c>
      <c r="I20" s="184">
        <v>51</v>
      </c>
      <c r="J20" s="186">
        <v>612</v>
      </c>
      <c r="K20" s="186">
        <v>505.59952826168865</v>
      </c>
      <c r="L20" s="100">
        <f t="shared" si="0"/>
        <v>0.8999671603058077</v>
      </c>
      <c r="M20" s="98">
        <f t="shared" si="1"/>
        <v>0.9176549596531216</v>
      </c>
      <c r="N20" s="204">
        <f t="shared" si="3"/>
        <v>7.6471246637760129E-2</v>
      </c>
      <c r="P20" s="204">
        <f t="shared" si="2"/>
        <v>0.9176549596531216</v>
      </c>
      <c r="U20" s="201"/>
      <c r="V20" s="202" t="s">
        <v>176</v>
      </c>
      <c r="W20" s="203">
        <v>473</v>
      </c>
      <c r="X20" s="198"/>
    </row>
    <row r="21" spans="1:24" x14ac:dyDescent="0.35">
      <c r="A21" s="180" t="s">
        <v>181</v>
      </c>
      <c r="B21" s="180" t="s">
        <v>126</v>
      </c>
      <c r="C21" s="181">
        <v>316.11</v>
      </c>
      <c r="D21" s="182">
        <v>7.71</v>
      </c>
      <c r="E21" s="184">
        <v>41</v>
      </c>
      <c r="F21" s="184">
        <v>3.4166666666666665</v>
      </c>
      <c r="G21" s="185">
        <v>1</v>
      </c>
      <c r="H21" s="186">
        <v>41</v>
      </c>
      <c r="I21" s="184">
        <v>34</v>
      </c>
      <c r="J21" s="186">
        <v>1394</v>
      </c>
      <c r="K21" s="186">
        <v>1151.6433699294018</v>
      </c>
      <c r="L21" s="100">
        <f t="shared" si="0"/>
        <v>2.0499251984743396</v>
      </c>
      <c r="M21" s="98">
        <f t="shared" si="1"/>
        <v>2.0902140747654436</v>
      </c>
      <c r="N21" s="204">
        <f>M21/E21</f>
        <v>5.0980831091840088E-2</v>
      </c>
      <c r="O21" s="204">
        <f>N21</f>
        <v>5.0980831091840088E-2</v>
      </c>
      <c r="P21" s="204">
        <f t="shared" si="2"/>
        <v>2.0902140747654436</v>
      </c>
      <c r="Q21" s="203"/>
      <c r="R21" s="203"/>
      <c r="S21" s="203"/>
      <c r="T21" s="203"/>
      <c r="U21" s="197"/>
      <c r="V21" s="202" t="s">
        <v>178</v>
      </c>
      <c r="W21" s="203">
        <v>613</v>
      </c>
      <c r="X21" s="198"/>
    </row>
    <row r="22" spans="1:24" x14ac:dyDescent="0.35">
      <c r="A22" s="180" t="s">
        <v>182</v>
      </c>
      <c r="B22" s="180" t="s">
        <v>127</v>
      </c>
      <c r="C22" s="181">
        <v>9184.44</v>
      </c>
      <c r="D22" s="182">
        <v>7.06</v>
      </c>
      <c r="E22" s="184">
        <v>1300.9121813031163</v>
      </c>
      <c r="F22" s="184">
        <v>108.40934844192635</v>
      </c>
      <c r="G22" s="185">
        <v>1</v>
      </c>
      <c r="H22" s="186">
        <v>1300.9121813031163</v>
      </c>
      <c r="I22" s="184">
        <v>34</v>
      </c>
      <c r="J22" s="186">
        <v>44231.014164305954</v>
      </c>
      <c r="K22" s="186">
        <v>36541.143620929994</v>
      </c>
      <c r="L22" s="100">
        <f t="shared" si="0"/>
        <v>65.043235645255521</v>
      </c>
      <c r="M22" s="98">
        <f t="shared" si="1"/>
        <v>66.321584180331413</v>
      </c>
      <c r="N22" s="204">
        <f>M22/E22</f>
        <v>5.0980831091840081E-2</v>
      </c>
      <c r="O22" s="204">
        <f>N22</f>
        <v>5.0980831091840081E-2</v>
      </c>
      <c r="P22" s="204">
        <f t="shared" si="2"/>
        <v>66.321584180331413</v>
      </c>
      <c r="Q22" s="203"/>
      <c r="R22" s="204"/>
      <c r="S22" s="203"/>
      <c r="T22" s="203"/>
      <c r="U22" s="197"/>
      <c r="V22" s="202" t="s">
        <v>179</v>
      </c>
      <c r="W22" s="203">
        <v>840</v>
      </c>
      <c r="X22" s="198"/>
    </row>
    <row r="23" spans="1:24" x14ac:dyDescent="0.35">
      <c r="A23" s="180" t="s">
        <v>183</v>
      </c>
      <c r="B23" s="180" t="s">
        <v>128</v>
      </c>
      <c r="C23" s="181">
        <v>85.929999999999993</v>
      </c>
      <c r="D23" s="182">
        <v>6.61</v>
      </c>
      <c r="E23" s="184">
        <v>12.999999999999998</v>
      </c>
      <c r="F23" s="184">
        <v>1.0833333333333333</v>
      </c>
      <c r="G23" s="185">
        <v>1</v>
      </c>
      <c r="H23" s="186">
        <v>13</v>
      </c>
      <c r="I23" s="184">
        <v>34</v>
      </c>
      <c r="J23" s="186">
        <v>442</v>
      </c>
      <c r="K23" s="186">
        <v>365.15521485566398</v>
      </c>
      <c r="L23" s="100">
        <f t="shared" si="0"/>
        <v>0.64997628244308325</v>
      </c>
      <c r="M23" s="98">
        <f t="shared" si="1"/>
        <v>0.66275080419392107</v>
      </c>
      <c r="N23" s="204">
        <f>M23/E23</f>
        <v>5.0980831091840088E-2</v>
      </c>
      <c r="O23" s="204">
        <f>N23</f>
        <v>5.0980831091840088E-2</v>
      </c>
      <c r="P23" s="204">
        <f t="shared" si="2"/>
        <v>0.66275080419392107</v>
      </c>
      <c r="Q23" s="203"/>
      <c r="R23" s="203"/>
      <c r="S23" s="203"/>
      <c r="T23" s="203"/>
      <c r="U23" s="197"/>
      <c r="V23" s="202" t="s">
        <v>180</v>
      </c>
      <c r="W23" s="203">
        <v>980</v>
      </c>
      <c r="X23" s="198"/>
    </row>
    <row r="24" spans="1:24" ht="15" thickBot="1" x14ac:dyDescent="0.4">
      <c r="A24" s="180" t="s">
        <v>184</v>
      </c>
      <c r="B24" s="180" t="s">
        <v>185</v>
      </c>
      <c r="C24" s="181">
        <v>51.669999999999987</v>
      </c>
      <c r="H24" s="186"/>
      <c r="L24" s="96"/>
      <c r="M24" s="96"/>
      <c r="U24" s="205"/>
      <c r="V24" s="206" t="s">
        <v>281</v>
      </c>
      <c r="W24" s="206">
        <v>125</v>
      </c>
      <c r="X24" s="207"/>
    </row>
    <row r="25" spans="1:24" x14ac:dyDescent="0.35">
      <c r="A25" s="180" t="s">
        <v>282</v>
      </c>
      <c r="B25" s="180" t="s">
        <v>283</v>
      </c>
      <c r="C25" s="181">
        <v>4.9399999999999995</v>
      </c>
      <c r="L25" s="96"/>
      <c r="M25" s="96"/>
      <c r="N25" s="208"/>
      <c r="U25" s="101"/>
      <c r="V25" s="101"/>
      <c r="W25" s="101"/>
      <c r="X25" s="101"/>
    </row>
    <row r="26" spans="1:24" x14ac:dyDescent="0.35">
      <c r="A26" s="180" t="s">
        <v>186</v>
      </c>
      <c r="B26" s="180" t="s">
        <v>187</v>
      </c>
      <c r="C26" s="181">
        <v>51.010000000000005</v>
      </c>
      <c r="L26" s="96"/>
      <c r="M26" s="96"/>
      <c r="U26" s="101"/>
      <c r="V26" s="101"/>
      <c r="W26" s="101"/>
      <c r="X26" s="101"/>
    </row>
    <row r="27" spans="1:24" x14ac:dyDescent="0.35">
      <c r="A27" s="180" t="s">
        <v>188</v>
      </c>
      <c r="B27" s="180" t="s">
        <v>189</v>
      </c>
      <c r="C27" s="181">
        <v>230.99</v>
      </c>
      <c r="L27" s="96"/>
      <c r="M27" s="96"/>
      <c r="U27" s="101"/>
      <c r="V27" s="101"/>
      <c r="W27" s="101"/>
      <c r="X27" s="101"/>
    </row>
    <row r="28" spans="1:24" ht="15" thickBot="1" x14ac:dyDescent="0.4">
      <c r="A28" s="180" t="s">
        <v>192</v>
      </c>
      <c r="B28" s="180" t="s">
        <v>193</v>
      </c>
      <c r="C28" s="181">
        <v>149.34000000000003</v>
      </c>
      <c r="L28" s="96"/>
      <c r="M28" s="96"/>
      <c r="U28" s="101"/>
      <c r="V28" s="101"/>
      <c r="W28" s="101"/>
      <c r="X28" s="101"/>
    </row>
    <row r="29" spans="1:24" x14ac:dyDescent="0.35">
      <c r="A29" s="180" t="s">
        <v>195</v>
      </c>
      <c r="B29" s="180" t="s">
        <v>196</v>
      </c>
      <c r="C29" s="181">
        <v>96.84</v>
      </c>
      <c r="L29" s="96"/>
      <c r="M29" s="96"/>
      <c r="U29" s="209" t="s">
        <v>190</v>
      </c>
      <c r="V29" s="210" t="s">
        <v>191</v>
      </c>
      <c r="W29" s="210" t="s">
        <v>150</v>
      </c>
      <c r="X29" s="196"/>
    </row>
    <row r="30" spans="1:24" x14ac:dyDescent="0.35">
      <c r="A30" s="180" t="s">
        <v>198</v>
      </c>
      <c r="B30" s="180" t="s">
        <v>199</v>
      </c>
      <c r="C30" s="181">
        <v>3.7199999999999998</v>
      </c>
      <c r="L30" s="96"/>
      <c r="M30" s="96"/>
      <c r="U30" s="197" t="s">
        <v>194</v>
      </c>
      <c r="V30" s="203">
        <v>8</v>
      </c>
      <c r="W30" s="211">
        <v>32</v>
      </c>
      <c r="X30" s="198"/>
    </row>
    <row r="31" spans="1:24" x14ac:dyDescent="0.35">
      <c r="A31" s="180" t="s">
        <v>200</v>
      </c>
      <c r="B31" s="180" t="s">
        <v>201</v>
      </c>
      <c r="C31" s="181">
        <v>131.81</v>
      </c>
      <c r="L31" s="96"/>
      <c r="M31" s="96"/>
      <c r="U31" s="197" t="s">
        <v>197</v>
      </c>
      <c r="V31" s="203">
        <v>4</v>
      </c>
      <c r="W31" s="211">
        <v>20</v>
      </c>
      <c r="X31" s="198"/>
    </row>
    <row r="32" spans="1:24" x14ac:dyDescent="0.35">
      <c r="A32" s="180" t="s">
        <v>202</v>
      </c>
      <c r="B32" s="180" t="s">
        <v>203</v>
      </c>
      <c r="C32" s="181">
        <v>48.42</v>
      </c>
      <c r="L32" s="96"/>
      <c r="M32" s="96"/>
      <c r="U32" s="197"/>
      <c r="V32" s="212">
        <v>12</v>
      </c>
      <c r="W32" s="213">
        <v>52</v>
      </c>
      <c r="X32" s="198"/>
    </row>
    <row r="33" spans="1:24" x14ac:dyDescent="0.35">
      <c r="A33" s="180" t="s">
        <v>284</v>
      </c>
      <c r="B33" s="180" t="s">
        <v>285</v>
      </c>
      <c r="C33" s="181">
        <v>14.879999999999999</v>
      </c>
      <c r="L33" s="96"/>
      <c r="M33" s="96"/>
      <c r="U33" s="197"/>
      <c r="V33" s="212"/>
      <c r="W33" s="213"/>
      <c r="X33" s="198"/>
    </row>
    <row r="34" spans="1:24" x14ac:dyDescent="0.35">
      <c r="A34" s="180" t="s">
        <v>206</v>
      </c>
      <c r="B34" s="180" t="s">
        <v>207</v>
      </c>
      <c r="C34" s="181">
        <v>38.879999999999995</v>
      </c>
      <c r="L34" s="96"/>
      <c r="M34" s="96"/>
      <c r="U34" s="197" t="s">
        <v>204</v>
      </c>
      <c r="W34" s="213">
        <v>4.33</v>
      </c>
      <c r="X34" s="198"/>
    </row>
    <row r="35" spans="1:24" x14ac:dyDescent="0.35">
      <c r="A35" s="180" t="s">
        <v>209</v>
      </c>
      <c r="B35" s="180" t="s">
        <v>210</v>
      </c>
      <c r="C35" s="181">
        <v>78.489999999999995</v>
      </c>
      <c r="L35" s="96"/>
      <c r="M35" s="96"/>
      <c r="U35" s="197" t="s">
        <v>205</v>
      </c>
      <c r="W35" s="213">
        <v>2.165</v>
      </c>
      <c r="X35" s="198"/>
    </row>
    <row r="36" spans="1:24" x14ac:dyDescent="0.35">
      <c r="A36" s="180" t="s">
        <v>214</v>
      </c>
      <c r="B36" s="180" t="s">
        <v>215</v>
      </c>
      <c r="C36" s="181">
        <v>6.15</v>
      </c>
      <c r="L36" s="96"/>
      <c r="M36" s="96"/>
      <c r="U36" s="197" t="s">
        <v>208</v>
      </c>
      <c r="W36" s="213">
        <v>1</v>
      </c>
      <c r="X36" s="198"/>
    </row>
    <row r="37" spans="1:24" x14ac:dyDescent="0.35">
      <c r="A37" s="180" t="s">
        <v>217</v>
      </c>
      <c r="B37" s="180" t="s">
        <v>218</v>
      </c>
      <c r="C37" s="181">
        <v>357.70000000000005</v>
      </c>
      <c r="L37" s="96"/>
      <c r="M37" s="96"/>
      <c r="U37" s="197" t="s">
        <v>211</v>
      </c>
      <c r="W37" s="213">
        <v>1</v>
      </c>
      <c r="X37" s="198"/>
    </row>
    <row r="38" spans="1:24" ht="15" thickBot="1" x14ac:dyDescent="0.4">
      <c r="C38" s="187">
        <v>589622.15999999992</v>
      </c>
      <c r="D38" s="188"/>
      <c r="E38" s="188"/>
      <c r="F38" s="188"/>
      <c r="G38" s="188"/>
      <c r="H38" s="188"/>
      <c r="I38" s="188"/>
      <c r="J38" s="187">
        <v>4023044.7582704858</v>
      </c>
      <c r="K38" s="187">
        <v>3323610.3463353217</v>
      </c>
      <c r="L38" s="105">
        <f>SUM(L8:L23)</f>
        <v>5916.0264164768887</v>
      </c>
      <c r="M38" s="105">
        <f>SUM(M8:M23)</f>
        <v>6032.298979302951</v>
      </c>
      <c r="P38" s="214">
        <f>SUM(P8:P23)</f>
        <v>6032.298979302951</v>
      </c>
      <c r="U38" s="197"/>
      <c r="W38" s="213"/>
      <c r="X38" s="198"/>
    </row>
    <row r="39" spans="1:24" x14ac:dyDescent="0.35">
      <c r="L39" s="96"/>
      <c r="M39" s="96"/>
      <c r="U39" s="197" t="s">
        <v>212</v>
      </c>
      <c r="V39" s="203">
        <v>2</v>
      </c>
      <c r="W39" s="215">
        <v>8.66</v>
      </c>
      <c r="X39" s="198"/>
    </row>
    <row r="40" spans="1:24" x14ac:dyDescent="0.35">
      <c r="D40" s="178" t="s">
        <v>286</v>
      </c>
      <c r="L40" s="96"/>
      <c r="M40" s="96"/>
      <c r="U40" s="197" t="s">
        <v>213</v>
      </c>
      <c r="V40" s="203">
        <v>3</v>
      </c>
      <c r="W40" s="215">
        <v>12.99</v>
      </c>
      <c r="X40" s="198"/>
    </row>
    <row r="41" spans="1:24" x14ac:dyDescent="0.35">
      <c r="A41" s="180" t="s">
        <v>220</v>
      </c>
      <c r="B41" s="180" t="s">
        <v>129</v>
      </c>
      <c r="C41" s="181">
        <v>98533.77</v>
      </c>
      <c r="D41" s="182">
        <v>84.564900000000009</v>
      </c>
      <c r="E41" s="183">
        <v>1165.1852009521681</v>
      </c>
      <c r="F41" s="183">
        <v>97.098766746014007</v>
      </c>
      <c r="G41" s="185">
        <v>4.33</v>
      </c>
      <c r="H41" s="186">
        <v>5045.2519201228879</v>
      </c>
      <c r="I41" s="182">
        <v>175</v>
      </c>
      <c r="J41" s="186">
        <v>882919.08602150541</v>
      </c>
      <c r="K41" s="186">
        <v>729417.44017273595</v>
      </c>
      <c r="L41" s="100">
        <f t="shared" ref="L41:L63" si="4">K41*$L$7</f>
        <v>1298.3630435074729</v>
      </c>
      <c r="M41" s="98">
        <f t="shared" ref="M41:M63" si="5">L41/$M$7</f>
        <v>1323.8808468301236</v>
      </c>
      <c r="N41" s="204"/>
      <c r="O41" s="204">
        <f>M41/E41/G41</f>
        <v>0.26240133650211811</v>
      </c>
      <c r="P41" s="204">
        <f>O41*H41</f>
        <v>1323.8808468301233</v>
      </c>
      <c r="U41" s="197" t="s">
        <v>216</v>
      </c>
      <c r="V41" s="203">
        <v>4</v>
      </c>
      <c r="W41" s="215">
        <v>17.32</v>
      </c>
      <c r="X41" s="198"/>
    </row>
    <row r="42" spans="1:24" x14ac:dyDescent="0.35">
      <c r="A42" s="180" t="s">
        <v>287</v>
      </c>
      <c r="B42" s="180" t="s">
        <v>288</v>
      </c>
      <c r="C42" s="181">
        <v>4862.2</v>
      </c>
      <c r="D42" s="182">
        <v>169.12980000000002</v>
      </c>
      <c r="E42" s="183">
        <v>28.7483341197116</v>
      </c>
      <c r="F42" s="183">
        <v>2.3956945099759666</v>
      </c>
      <c r="G42" s="185">
        <v>8.66</v>
      </c>
      <c r="H42" s="186">
        <v>248.96057347670245</v>
      </c>
      <c r="I42" s="182">
        <v>175</v>
      </c>
      <c r="J42" s="186">
        <v>43568.100358422926</v>
      </c>
      <c r="K42" s="186">
        <v>35993.482007314604</v>
      </c>
      <c r="L42" s="100">
        <f t="shared" si="4"/>
        <v>64.068397973020126</v>
      </c>
      <c r="M42" s="98">
        <f t="shared" si="5"/>
        <v>65.327587216620486</v>
      </c>
      <c r="N42" s="204"/>
      <c r="O42" s="204">
        <f t="shared" ref="O42:O63" si="6">M42/E42/G42</f>
        <v>0.262401336502118</v>
      </c>
      <c r="P42" s="204">
        <f t="shared" ref="P42:P57" si="7">O42*H42</f>
        <v>65.327587216620472</v>
      </c>
      <c r="S42" s="216"/>
      <c r="U42" s="197" t="s">
        <v>219</v>
      </c>
      <c r="V42" s="203">
        <v>5</v>
      </c>
      <c r="W42" s="215">
        <v>21.65</v>
      </c>
      <c r="X42" s="198"/>
    </row>
    <row r="43" spans="1:24" ht="15" thickBot="1" x14ac:dyDescent="0.4">
      <c r="A43" s="180" t="s">
        <v>289</v>
      </c>
      <c r="B43" s="180" t="s">
        <v>290</v>
      </c>
      <c r="C43" s="181">
        <v>3044.1600000000003</v>
      </c>
      <c r="D43" s="182">
        <v>253.69470000000001</v>
      </c>
      <c r="E43" s="183">
        <v>11.999304676053541</v>
      </c>
      <c r="F43" s="183">
        <v>0.99994205633779509</v>
      </c>
      <c r="G43" s="185">
        <v>12.99</v>
      </c>
      <c r="H43" s="186">
        <v>155.87096774193549</v>
      </c>
      <c r="I43" s="182">
        <v>175</v>
      </c>
      <c r="J43" s="186">
        <v>27277.419354838712</v>
      </c>
      <c r="K43" s="186">
        <v>22535.049604579588</v>
      </c>
      <c r="L43" s="100">
        <f t="shared" si="4"/>
        <v>40.11238829615175</v>
      </c>
      <c r="M43" s="98">
        <f t="shared" si="5"/>
        <v>40.900750257362411</v>
      </c>
      <c r="N43" s="204"/>
      <c r="O43" s="204">
        <f t="shared" si="6"/>
        <v>0.26240133650211811</v>
      </c>
      <c r="P43" s="204">
        <f t="shared" si="7"/>
        <v>40.900750257362411</v>
      </c>
      <c r="S43" s="216"/>
      <c r="U43" s="217"/>
      <c r="V43" s="206"/>
      <c r="W43" s="206"/>
      <c r="X43" s="207"/>
    </row>
    <row r="44" spans="1:24" x14ac:dyDescent="0.35">
      <c r="A44" s="180" t="s">
        <v>224</v>
      </c>
      <c r="B44" s="180" t="s">
        <v>133</v>
      </c>
      <c r="C44" s="181">
        <v>88213.98</v>
      </c>
      <c r="D44" s="182">
        <v>42.282450000000004</v>
      </c>
      <c r="E44" s="183">
        <v>2086.3024730118523</v>
      </c>
      <c r="F44" s="183">
        <v>173.85853941765436</v>
      </c>
      <c r="G44" s="185">
        <v>2.165</v>
      </c>
      <c r="H44" s="186">
        <v>4516.8448540706595</v>
      </c>
      <c r="I44" s="182">
        <v>175</v>
      </c>
      <c r="J44" s="186">
        <v>790447.84946236538</v>
      </c>
      <c r="K44" s="186">
        <v>653022.97353535658</v>
      </c>
      <c r="L44" s="100">
        <f t="shared" si="4"/>
        <v>1162.3808928929373</v>
      </c>
      <c r="M44" s="98">
        <f t="shared" si="5"/>
        <v>1185.2261264808558</v>
      </c>
      <c r="N44" s="204"/>
      <c r="O44" s="204">
        <f t="shared" si="6"/>
        <v>0.26240133650211805</v>
      </c>
      <c r="P44" s="204">
        <f t="shared" si="7"/>
        <v>1185.2261264808553</v>
      </c>
    </row>
    <row r="45" spans="1:24" x14ac:dyDescent="0.35">
      <c r="A45" s="180" t="s">
        <v>227</v>
      </c>
      <c r="B45" s="180" t="s">
        <v>136</v>
      </c>
      <c r="C45" s="181">
        <v>929.41000000000008</v>
      </c>
      <c r="D45" s="182">
        <v>22.62</v>
      </c>
      <c r="E45" s="183">
        <v>41.08797524314766</v>
      </c>
      <c r="F45" s="183">
        <v>3.4239979369289717</v>
      </c>
      <c r="G45" s="185">
        <v>1</v>
      </c>
      <c r="H45" s="186">
        <v>41.08797524314766</v>
      </c>
      <c r="I45" s="182">
        <v>175</v>
      </c>
      <c r="J45" s="186">
        <v>7190.3956675508407</v>
      </c>
      <c r="K45" s="186">
        <v>5940.2951920401874</v>
      </c>
      <c r="L45" s="100">
        <f t="shared" si="4"/>
        <v>10.573725441831556</v>
      </c>
      <c r="M45" s="98">
        <f t="shared" si="5"/>
        <v>10.781539617967887</v>
      </c>
      <c r="N45" s="204"/>
      <c r="O45" s="204">
        <f t="shared" si="6"/>
        <v>0.26240133650211811</v>
      </c>
      <c r="P45" s="204">
        <f t="shared" si="7"/>
        <v>10.781539617967887</v>
      </c>
    </row>
    <row r="46" spans="1:24" x14ac:dyDescent="0.35">
      <c r="A46" s="180" t="s">
        <v>221</v>
      </c>
      <c r="B46" s="180" t="s">
        <v>130</v>
      </c>
      <c r="C46" s="181">
        <v>49458.069999999992</v>
      </c>
      <c r="D46" s="182">
        <v>118.25229999999999</v>
      </c>
      <c r="E46" s="183">
        <v>418.2419284868032</v>
      </c>
      <c r="F46" s="183">
        <v>34.853494040566936</v>
      </c>
      <c r="G46" s="185">
        <v>4.33</v>
      </c>
      <c r="H46" s="186">
        <v>1810.9875503478581</v>
      </c>
      <c r="I46" s="182">
        <v>250</v>
      </c>
      <c r="J46" s="186">
        <v>452746.88758696453</v>
      </c>
      <c r="K46" s="186">
        <v>374033.68102274026</v>
      </c>
      <c r="L46" s="100">
        <f t="shared" si="4"/>
        <v>665.77995222047912</v>
      </c>
      <c r="M46" s="98">
        <f t="shared" si="5"/>
        <v>678.86507657139271</v>
      </c>
      <c r="N46" s="204"/>
      <c r="O46" s="204">
        <f t="shared" si="6"/>
        <v>0.37485905214588305</v>
      </c>
      <c r="P46" s="204">
        <f t="shared" si="7"/>
        <v>678.86507657139282</v>
      </c>
    </row>
    <row r="47" spans="1:24" x14ac:dyDescent="0.35">
      <c r="A47" s="180" t="s">
        <v>291</v>
      </c>
      <c r="B47" s="180" t="s">
        <v>292</v>
      </c>
      <c r="C47" s="181">
        <v>2838</v>
      </c>
      <c r="D47" s="182">
        <v>236.50459999999998</v>
      </c>
      <c r="E47" s="183">
        <v>11.999766600734194</v>
      </c>
      <c r="F47" s="183">
        <v>0.9999805500611828</v>
      </c>
      <c r="G47" s="185">
        <v>8.66</v>
      </c>
      <c r="H47" s="186">
        <v>103.91797876235813</v>
      </c>
      <c r="I47" s="182">
        <v>250</v>
      </c>
      <c r="J47" s="186">
        <v>25979.494690589534</v>
      </c>
      <c r="K47" s="186">
        <v>21462.778202678288</v>
      </c>
      <c r="L47" s="100">
        <f t="shared" si="4"/>
        <v>38.203745200767436</v>
      </c>
      <c r="M47" s="98">
        <f t="shared" si="5"/>
        <v>38.954595019773571</v>
      </c>
      <c r="N47" s="204"/>
      <c r="O47" s="204">
        <f t="shared" si="6"/>
        <v>0.37485905214588305</v>
      </c>
      <c r="P47" s="204">
        <f t="shared" si="7"/>
        <v>38.954595019773578</v>
      </c>
    </row>
    <row r="48" spans="1:24" x14ac:dyDescent="0.35">
      <c r="A48" s="180" t="s">
        <v>225</v>
      </c>
      <c r="B48" s="180" t="s">
        <v>134</v>
      </c>
      <c r="C48" s="181">
        <v>15618.96</v>
      </c>
      <c r="D48" s="182">
        <v>59.126149999999996</v>
      </c>
      <c r="E48" s="183">
        <v>264.1633185993</v>
      </c>
      <c r="F48" s="183">
        <v>22.013609883274999</v>
      </c>
      <c r="G48" s="185">
        <v>2.165</v>
      </c>
      <c r="H48" s="186">
        <v>571.91358476748451</v>
      </c>
      <c r="I48" s="182">
        <v>250</v>
      </c>
      <c r="J48" s="186">
        <v>142978.39619187111</v>
      </c>
      <c r="K48" s="186">
        <v>118120.6040297759</v>
      </c>
      <c r="L48" s="100">
        <f t="shared" si="4"/>
        <v>210.25467517300154</v>
      </c>
      <c r="M48" s="98">
        <f t="shared" si="5"/>
        <v>214.38698429529333</v>
      </c>
      <c r="N48" s="204"/>
      <c r="O48" s="204">
        <f t="shared" si="6"/>
        <v>0.37485905214588294</v>
      </c>
      <c r="P48" s="204">
        <f t="shared" si="7"/>
        <v>214.38698429529333</v>
      </c>
    </row>
    <row r="49" spans="1:16" x14ac:dyDescent="0.35">
      <c r="A49" s="180" t="s">
        <v>228</v>
      </c>
      <c r="B49" s="180" t="s">
        <v>137</v>
      </c>
      <c r="C49" s="181">
        <v>30.31</v>
      </c>
      <c r="D49" s="182">
        <v>30.31</v>
      </c>
      <c r="E49" s="183">
        <v>1</v>
      </c>
      <c r="F49" s="183">
        <v>8.3333333333333329E-2</v>
      </c>
      <c r="G49" s="185">
        <v>1</v>
      </c>
      <c r="H49" s="186">
        <v>1</v>
      </c>
      <c r="I49" s="182">
        <v>250</v>
      </c>
      <c r="J49" s="186">
        <v>250</v>
      </c>
      <c r="K49" s="186">
        <v>206.53575500885972</v>
      </c>
      <c r="L49" s="100">
        <f t="shared" si="4"/>
        <v>0.36763364391577108</v>
      </c>
      <c r="M49" s="98">
        <f t="shared" si="5"/>
        <v>0.374859052145883</v>
      </c>
      <c r="N49" s="204"/>
      <c r="O49" s="204">
        <f t="shared" si="6"/>
        <v>0.374859052145883</v>
      </c>
      <c r="P49" s="204">
        <f t="shared" si="7"/>
        <v>0.374859052145883</v>
      </c>
    </row>
    <row r="50" spans="1:16" x14ac:dyDescent="0.35">
      <c r="A50" s="180" t="s">
        <v>229</v>
      </c>
      <c r="B50" s="180" t="s">
        <v>138</v>
      </c>
      <c r="C50" s="181">
        <v>568.08000000000004</v>
      </c>
      <c r="D50" s="182">
        <v>31.56</v>
      </c>
      <c r="E50" s="183">
        <v>18.000000000000004</v>
      </c>
      <c r="F50" s="183">
        <v>1.5000000000000002</v>
      </c>
      <c r="G50" s="185">
        <v>1</v>
      </c>
      <c r="H50" s="186">
        <v>18.000000000000004</v>
      </c>
      <c r="I50" s="182">
        <v>250</v>
      </c>
      <c r="J50" s="186">
        <v>4500.0000000000009</v>
      </c>
      <c r="K50" s="186">
        <v>3717.6435901594759</v>
      </c>
      <c r="L50" s="100">
        <f t="shared" si="4"/>
        <v>6.6174055904838811</v>
      </c>
      <c r="M50" s="98">
        <f t="shared" si="5"/>
        <v>6.7474629386258957</v>
      </c>
      <c r="N50" s="204"/>
      <c r="O50" s="204">
        <f t="shared" si="6"/>
        <v>0.374859052145883</v>
      </c>
      <c r="P50" s="204">
        <f t="shared" si="7"/>
        <v>6.7474629386258949</v>
      </c>
    </row>
    <row r="51" spans="1:16" x14ac:dyDescent="0.35">
      <c r="A51" s="180" t="s">
        <v>222</v>
      </c>
      <c r="B51" s="180" t="s">
        <v>131</v>
      </c>
      <c r="C51" s="181">
        <v>180513</v>
      </c>
      <c r="D51" s="182">
        <v>167.39779999999999</v>
      </c>
      <c r="E51" s="183">
        <v>1078.3475051643452</v>
      </c>
      <c r="F51" s="183">
        <v>89.862292097028771</v>
      </c>
      <c r="G51" s="185">
        <v>4.33</v>
      </c>
      <c r="H51" s="186">
        <v>4669.2446973616152</v>
      </c>
      <c r="I51" s="182">
        <v>324</v>
      </c>
      <c r="J51" s="186">
        <v>1512835.2819451634</v>
      </c>
      <c r="K51" s="186">
        <v>1249818.308642342</v>
      </c>
      <c r="L51" s="100">
        <f t="shared" si="4"/>
        <v>2224.6765893833735</v>
      </c>
      <c r="M51" s="98">
        <f t="shared" si="5"/>
        <v>2268.3999993712546</v>
      </c>
      <c r="N51" s="204"/>
      <c r="O51" s="204">
        <f t="shared" si="6"/>
        <v>0.48581733158106444</v>
      </c>
      <c r="P51" s="204">
        <f t="shared" si="7"/>
        <v>2268.3999993712546</v>
      </c>
    </row>
    <row r="52" spans="1:16" x14ac:dyDescent="0.35">
      <c r="A52" s="180" t="s">
        <v>223</v>
      </c>
      <c r="B52" s="180" t="s">
        <v>132</v>
      </c>
      <c r="C52" s="181">
        <v>112325.40000000002</v>
      </c>
      <c r="D52" s="182">
        <v>334.79559999999998</v>
      </c>
      <c r="E52" s="183">
        <v>335.50440925746943</v>
      </c>
      <c r="F52" s="183">
        <v>27.958700771455785</v>
      </c>
      <c r="G52" s="185">
        <v>8.66</v>
      </c>
      <c r="H52" s="186">
        <v>2905.4681841696852</v>
      </c>
      <c r="I52" s="182">
        <v>324</v>
      </c>
      <c r="J52" s="186">
        <v>941371.69167097798</v>
      </c>
      <c r="K52" s="186">
        <v>777707.65233293176</v>
      </c>
      <c r="L52" s="100">
        <f t="shared" si="4"/>
        <v>1384.3196211526215</v>
      </c>
      <c r="M52" s="98">
        <f t="shared" si="5"/>
        <v>1411.526800226997</v>
      </c>
      <c r="N52" s="204"/>
      <c r="O52" s="204">
        <f t="shared" si="6"/>
        <v>0.48581733158106438</v>
      </c>
      <c r="P52" s="204">
        <f t="shared" si="7"/>
        <v>1411.526800226997</v>
      </c>
    </row>
    <row r="53" spans="1:16" x14ac:dyDescent="0.35">
      <c r="A53" s="180" t="s">
        <v>293</v>
      </c>
      <c r="B53" s="180" t="s">
        <v>294</v>
      </c>
      <c r="C53" s="181">
        <v>8160.75</v>
      </c>
      <c r="D53" s="182">
        <v>502.19339999999994</v>
      </c>
      <c r="E53" s="183">
        <v>16.250213563141212</v>
      </c>
      <c r="F53" s="183">
        <v>1.354184463595101</v>
      </c>
      <c r="G53" s="185">
        <v>12.99</v>
      </c>
      <c r="H53" s="186">
        <v>211.09027418520435</v>
      </c>
      <c r="I53" s="182">
        <v>324</v>
      </c>
      <c r="J53" s="186">
        <v>68393.248836006213</v>
      </c>
      <c r="K53" s="186">
        <v>56502.605143413442</v>
      </c>
      <c r="L53" s="100">
        <f t="shared" si="4"/>
        <v>100.57463715527614</v>
      </c>
      <c r="M53" s="98">
        <f t="shared" si="5"/>
        <v>102.55131372737122</v>
      </c>
      <c r="N53" s="204"/>
      <c r="O53" s="204">
        <f t="shared" si="6"/>
        <v>0.48581733158106438</v>
      </c>
      <c r="P53" s="204">
        <f t="shared" si="7"/>
        <v>102.55131372737122</v>
      </c>
    </row>
    <row r="54" spans="1:16" x14ac:dyDescent="0.35">
      <c r="A54" s="180" t="s">
        <v>226</v>
      </c>
      <c r="B54" s="180" t="s">
        <v>135</v>
      </c>
      <c r="C54" s="181">
        <v>30997.39</v>
      </c>
      <c r="D54" s="182">
        <v>83.698899999999995</v>
      </c>
      <c r="E54" s="183">
        <v>370.3440547008384</v>
      </c>
      <c r="F54" s="183">
        <v>30.8620045584032</v>
      </c>
      <c r="G54" s="185">
        <v>2.165</v>
      </c>
      <c r="H54" s="186">
        <v>801.7948784273151</v>
      </c>
      <c r="I54" s="182">
        <v>324</v>
      </c>
      <c r="J54" s="186">
        <v>259781.54061045009</v>
      </c>
      <c r="K54" s="186">
        <v>214616.70650937626</v>
      </c>
      <c r="L54" s="100">
        <f t="shared" si="4"/>
        <v>382.01773758669054</v>
      </c>
      <c r="M54" s="98">
        <f t="shared" si="5"/>
        <v>389.52584831292211</v>
      </c>
      <c r="N54" s="204"/>
      <c r="O54" s="204">
        <f t="shared" si="6"/>
        <v>0.48581733158106438</v>
      </c>
      <c r="P54" s="204">
        <f t="shared" si="7"/>
        <v>389.52584831292216</v>
      </c>
    </row>
    <row r="55" spans="1:16" x14ac:dyDescent="0.35">
      <c r="A55" s="180" t="s">
        <v>230</v>
      </c>
      <c r="B55" s="180" t="s">
        <v>139</v>
      </c>
      <c r="C55" s="181">
        <v>43.66</v>
      </c>
      <c r="D55" s="182">
        <v>43.66</v>
      </c>
      <c r="E55" s="183">
        <v>1</v>
      </c>
      <c r="F55" s="183">
        <v>8.3333333333333329E-2</v>
      </c>
      <c r="G55" s="185">
        <v>1</v>
      </c>
      <c r="H55" s="186">
        <v>1</v>
      </c>
      <c r="I55" s="182">
        <v>324</v>
      </c>
      <c r="J55" s="186">
        <v>324</v>
      </c>
      <c r="K55" s="186">
        <v>267.6703384914822</v>
      </c>
      <c r="L55" s="100">
        <f t="shared" si="4"/>
        <v>0.47645320251483936</v>
      </c>
      <c r="M55" s="98">
        <f t="shared" si="5"/>
        <v>0.48581733158106438</v>
      </c>
      <c r="N55" s="204"/>
      <c r="O55" s="204">
        <f t="shared" si="6"/>
        <v>0.48581733158106438</v>
      </c>
      <c r="P55" s="204">
        <f t="shared" si="7"/>
        <v>0.48581733158106438</v>
      </c>
    </row>
    <row r="56" spans="1:16" x14ac:dyDescent="0.35">
      <c r="A56" s="180" t="s">
        <v>231</v>
      </c>
      <c r="B56" s="180" t="s">
        <v>140</v>
      </c>
      <c r="C56" s="181">
        <v>12408.46</v>
      </c>
      <c r="D56" s="182">
        <v>44.97</v>
      </c>
      <c r="E56" s="183">
        <v>275.92750722704022</v>
      </c>
      <c r="F56" s="183">
        <v>22.993958935586686</v>
      </c>
      <c r="G56" s="185">
        <v>1</v>
      </c>
      <c r="H56" s="186">
        <v>275.92750722704022</v>
      </c>
      <c r="I56" s="182">
        <v>324</v>
      </c>
      <c r="J56" s="186">
        <v>89400.512341561029</v>
      </c>
      <c r="K56" s="186">
        <v>73857.60925857276</v>
      </c>
      <c r="L56" s="100">
        <f t="shared" si="4"/>
        <v>131.46654448025978</v>
      </c>
      <c r="M56" s="98">
        <f t="shared" si="5"/>
        <v>134.05036527085554</v>
      </c>
      <c r="N56" s="204"/>
      <c r="O56" s="204">
        <f t="shared" si="6"/>
        <v>0.48581733158106438</v>
      </c>
      <c r="P56" s="204">
        <f t="shared" si="7"/>
        <v>134.05036527085554</v>
      </c>
    </row>
    <row r="57" spans="1:16" x14ac:dyDescent="0.35">
      <c r="A57" s="180" t="s">
        <v>236</v>
      </c>
      <c r="B57" s="180" t="s">
        <v>237</v>
      </c>
      <c r="C57" s="181">
        <v>2988.9900000000002</v>
      </c>
      <c r="D57" s="182">
        <v>25.3</v>
      </c>
      <c r="E57" s="183">
        <v>118.14189723320159</v>
      </c>
      <c r="F57" s="183">
        <v>9.8451581027667991</v>
      </c>
      <c r="G57" s="185">
        <v>1</v>
      </c>
      <c r="H57" s="186">
        <v>118.14189723320159</v>
      </c>
      <c r="I57" s="182">
        <v>125</v>
      </c>
      <c r="J57" s="186">
        <v>14767.737154150198</v>
      </c>
      <c r="K57" s="186">
        <v>12200.262971619202</v>
      </c>
      <c r="L57" s="100">
        <f t="shared" si="4"/>
        <v>21.716468089482227</v>
      </c>
      <c r="M57" s="98">
        <f t="shared" si="5"/>
        <v>22.14327980777713</v>
      </c>
      <c r="N57" s="204"/>
      <c r="O57" s="204">
        <f t="shared" si="6"/>
        <v>0.18742952607294147</v>
      </c>
      <c r="P57" s="204">
        <f t="shared" si="7"/>
        <v>22.14327980777713</v>
      </c>
    </row>
    <row r="58" spans="1:16" x14ac:dyDescent="0.35">
      <c r="A58" s="180" t="s">
        <v>232</v>
      </c>
      <c r="B58" s="180" t="s">
        <v>141</v>
      </c>
      <c r="C58" s="181">
        <v>5329.2</v>
      </c>
      <c r="D58" s="182">
        <v>22.08</v>
      </c>
      <c r="E58" s="183">
        <v>241.35869565217394</v>
      </c>
      <c r="F58" s="183">
        <v>20.11322463768116</v>
      </c>
      <c r="G58" s="185">
        <v>4.33</v>
      </c>
      <c r="H58" s="186">
        <v>1045.0831521739133</v>
      </c>
      <c r="I58" s="182">
        <v>29</v>
      </c>
      <c r="J58" s="186">
        <v>30307.411413043486</v>
      </c>
      <c r="K58" s="186">
        <v>25038.256394228276</v>
      </c>
      <c r="L58" s="100">
        <f t="shared" si="4"/>
        <v>44.568096381726427</v>
      </c>
      <c r="M58" s="98">
        <f t="shared" si="5"/>
        <v>45.444030061155196</v>
      </c>
      <c r="N58" s="204">
        <f>M58/E58</f>
        <v>0.18828420471183416</v>
      </c>
      <c r="O58" s="204">
        <f t="shared" si="6"/>
        <v>4.3483650048922434E-2</v>
      </c>
      <c r="P58" s="204">
        <f t="shared" ref="P58:P63" si="8">N58*E58</f>
        <v>45.444030061155196</v>
      </c>
    </row>
    <row r="59" spans="1:16" x14ac:dyDescent="0.35">
      <c r="A59" s="180" t="s">
        <v>295</v>
      </c>
      <c r="B59" s="180" t="s">
        <v>296</v>
      </c>
      <c r="C59" s="181">
        <v>2080.25</v>
      </c>
      <c r="D59" s="182">
        <v>43.906200000000005</v>
      </c>
      <c r="E59" s="183">
        <v>47.379413385808832</v>
      </c>
      <c r="F59" s="183">
        <v>3.9482844488174025</v>
      </c>
      <c r="G59" s="185">
        <v>4.33</v>
      </c>
      <c r="H59" s="186">
        <v>205.15285996055223</v>
      </c>
      <c r="I59" s="182">
        <v>58</v>
      </c>
      <c r="J59" s="186">
        <v>11898.865877712029</v>
      </c>
      <c r="K59" s="186">
        <v>9830.1649912096491</v>
      </c>
      <c r="L59" s="100">
        <f t="shared" si="4"/>
        <v>17.497693684353212</v>
      </c>
      <c r="M59" s="98">
        <f t="shared" si="5"/>
        <v>17.841590338120486</v>
      </c>
      <c r="N59" s="204">
        <f t="shared" ref="N59:N63" si="9">M59/E59</f>
        <v>0.3765684094236682</v>
      </c>
      <c r="O59" s="204">
        <f t="shared" si="6"/>
        <v>8.6967300097844855E-2</v>
      </c>
      <c r="P59" s="204">
        <f t="shared" si="8"/>
        <v>17.841590338120486</v>
      </c>
    </row>
    <row r="60" spans="1:16" x14ac:dyDescent="0.35">
      <c r="A60" s="180" t="s">
        <v>233</v>
      </c>
      <c r="B60" s="180" t="s">
        <v>142</v>
      </c>
      <c r="C60" s="181">
        <v>66.239999999999995</v>
      </c>
      <c r="D60" s="182">
        <v>65.859300000000005</v>
      </c>
      <c r="E60" s="183">
        <v>1.0057805048034216</v>
      </c>
      <c r="F60" s="183">
        <v>8.3815042066951798E-2</v>
      </c>
      <c r="G60" s="185">
        <v>4.33</v>
      </c>
      <c r="H60" s="186">
        <v>4.3550295857988157</v>
      </c>
      <c r="I60" s="182">
        <v>87</v>
      </c>
      <c r="J60" s="186">
        <v>378.88757396449699</v>
      </c>
      <c r="K60" s="186">
        <v>313.01532460893031</v>
      </c>
      <c r="L60" s="100">
        <f t="shared" si="4"/>
        <v>0.55716727780389719</v>
      </c>
      <c r="M60" s="98">
        <f t="shared" si="5"/>
        <v>0.56811774738473808</v>
      </c>
      <c r="N60" s="204">
        <f t="shared" si="9"/>
        <v>0.56485261413550258</v>
      </c>
      <c r="O60" s="204">
        <f t="shared" si="6"/>
        <v>0.13045095014676733</v>
      </c>
      <c r="P60" s="204">
        <f t="shared" si="8"/>
        <v>0.56811774738473808</v>
      </c>
    </row>
    <row r="61" spans="1:16" x14ac:dyDescent="0.35">
      <c r="A61" s="180" t="s">
        <v>297</v>
      </c>
      <c r="B61" s="180" t="s">
        <v>298</v>
      </c>
      <c r="C61" s="181">
        <v>485.82000000000005</v>
      </c>
      <c r="D61" s="182">
        <v>87.812400000000011</v>
      </c>
      <c r="E61" s="183">
        <v>5.5324760512182785</v>
      </c>
      <c r="F61" s="183">
        <v>0.46103967093485654</v>
      </c>
      <c r="G61" s="185">
        <v>4.33</v>
      </c>
      <c r="H61" s="186">
        <v>23.955621301775146</v>
      </c>
      <c r="I61" s="182">
        <v>116</v>
      </c>
      <c r="J61" s="186">
        <v>2778.852071005917</v>
      </c>
      <c r="K61" s="186">
        <v>2295.7292421725624</v>
      </c>
      <c r="L61" s="100">
        <f t="shared" si="4"/>
        <v>4.08639805106717</v>
      </c>
      <c r="M61" s="98">
        <f t="shared" si="5"/>
        <v>4.1667114135636085</v>
      </c>
      <c r="N61" s="204">
        <f t="shared" si="9"/>
        <v>0.75313681884733652</v>
      </c>
      <c r="O61" s="204">
        <f t="shared" si="6"/>
        <v>0.17393460019568974</v>
      </c>
      <c r="P61" s="204">
        <f t="shared" si="8"/>
        <v>4.1667114135636085</v>
      </c>
    </row>
    <row r="62" spans="1:16" x14ac:dyDescent="0.35">
      <c r="A62" s="180" t="s">
        <v>234</v>
      </c>
      <c r="B62" s="180" t="s">
        <v>143</v>
      </c>
      <c r="C62" s="181">
        <v>362.04000000000008</v>
      </c>
      <c r="D62" s="182">
        <v>30.17</v>
      </c>
      <c r="E62" s="183">
        <v>12.000000000000002</v>
      </c>
      <c r="F62" s="183">
        <v>1.0000000000000002</v>
      </c>
      <c r="G62" s="185">
        <v>4.33</v>
      </c>
      <c r="H62" s="186">
        <v>51.960000000000008</v>
      </c>
      <c r="I62" s="182">
        <v>47</v>
      </c>
      <c r="J62" s="186">
        <v>2442.1200000000003</v>
      </c>
      <c r="K62" s="186">
        <v>2017.5403920889464</v>
      </c>
      <c r="L62" s="100">
        <f t="shared" si="4"/>
        <v>3.5912218979183321</v>
      </c>
      <c r="M62" s="98">
        <f t="shared" si="5"/>
        <v>3.6618031537060158</v>
      </c>
      <c r="N62" s="204">
        <f t="shared" si="9"/>
        <v>0.30515026280883462</v>
      </c>
      <c r="O62" s="204">
        <f t="shared" si="6"/>
        <v>7.0473501803426E-2</v>
      </c>
      <c r="P62" s="204">
        <f t="shared" si="8"/>
        <v>3.6618031537060158</v>
      </c>
    </row>
    <row r="63" spans="1:16" x14ac:dyDescent="0.35">
      <c r="A63" s="180" t="s">
        <v>299</v>
      </c>
      <c r="B63" s="180" t="s">
        <v>300</v>
      </c>
      <c r="C63" s="181">
        <v>63.54</v>
      </c>
      <c r="D63" s="182">
        <v>7.06</v>
      </c>
      <c r="E63" s="183">
        <v>9</v>
      </c>
      <c r="F63" s="183">
        <v>0.75</v>
      </c>
      <c r="G63" s="185">
        <v>4.33</v>
      </c>
      <c r="H63" s="186">
        <v>38.97</v>
      </c>
      <c r="I63" s="182">
        <v>29</v>
      </c>
      <c r="J63" s="186">
        <v>1130.1299999999999</v>
      </c>
      <c r="K63" s="186">
        <v>933.64901123265054</v>
      </c>
      <c r="L63" s="100">
        <f t="shared" si="4"/>
        <v>1.6618952399941216</v>
      </c>
      <c r="M63" s="98">
        <f t="shared" si="5"/>
        <v>1.6945578424065071</v>
      </c>
      <c r="N63" s="204">
        <f t="shared" si="9"/>
        <v>0.18828420471183413</v>
      </c>
      <c r="O63" s="204">
        <f t="shared" si="6"/>
        <v>4.3483650048922434E-2</v>
      </c>
      <c r="P63" s="204">
        <f t="shared" si="8"/>
        <v>1.6945578424065071</v>
      </c>
    </row>
    <row r="64" spans="1:16" x14ac:dyDescent="0.35">
      <c r="A64" s="180" t="s">
        <v>301</v>
      </c>
      <c r="B64" s="180" t="s">
        <v>302</v>
      </c>
      <c r="C64" s="181">
        <v>14</v>
      </c>
      <c r="L64" s="96"/>
      <c r="M64" s="96"/>
    </row>
    <row r="65" spans="1:3" x14ac:dyDescent="0.35">
      <c r="A65" s="180" t="s">
        <v>303</v>
      </c>
      <c r="B65" s="180" t="s">
        <v>304</v>
      </c>
      <c r="C65" s="181">
        <v>19.8</v>
      </c>
    </row>
    <row r="66" spans="1:3" x14ac:dyDescent="0.35">
      <c r="A66" s="180" t="s">
        <v>240</v>
      </c>
      <c r="B66" s="180" t="s">
        <v>241</v>
      </c>
      <c r="C66" s="181">
        <v>9.24</v>
      </c>
    </row>
    <row r="67" spans="1:3" x14ac:dyDescent="0.35">
      <c r="A67" s="180" t="s">
        <v>242</v>
      </c>
      <c r="B67" s="180" t="s">
        <v>243</v>
      </c>
      <c r="C67" s="181">
        <v>70.7</v>
      </c>
    </row>
    <row r="68" spans="1:3" x14ac:dyDescent="0.35">
      <c r="A68" s="180" t="s">
        <v>238</v>
      </c>
      <c r="B68" s="180" t="s">
        <v>239</v>
      </c>
      <c r="C68" s="181">
        <v>229.60000000000002</v>
      </c>
    </row>
    <row r="69" spans="1:3" x14ac:dyDescent="0.35">
      <c r="A69" s="180" t="s">
        <v>244</v>
      </c>
      <c r="B69" s="180" t="s">
        <v>245</v>
      </c>
      <c r="C69" s="181">
        <v>6.56</v>
      </c>
    </row>
    <row r="70" spans="1:3" x14ac:dyDescent="0.35">
      <c r="A70" s="180" t="s">
        <v>248</v>
      </c>
      <c r="B70" s="180" t="s">
        <v>249</v>
      </c>
      <c r="C70" s="181">
        <v>8.7999999999999972</v>
      </c>
    </row>
    <row r="71" spans="1:3" x14ac:dyDescent="0.35">
      <c r="A71" s="180" t="s">
        <v>305</v>
      </c>
      <c r="B71" s="180" t="s">
        <v>306</v>
      </c>
      <c r="C71" s="181">
        <v>93.6</v>
      </c>
    </row>
    <row r="72" spans="1:3" x14ac:dyDescent="0.35">
      <c r="A72" s="180" t="s">
        <v>246</v>
      </c>
      <c r="B72" s="180" t="s">
        <v>247</v>
      </c>
      <c r="C72" s="181">
        <v>1327.85</v>
      </c>
    </row>
    <row r="73" spans="1:3" x14ac:dyDescent="0.35">
      <c r="A73" s="180" t="s">
        <v>235</v>
      </c>
      <c r="B73" s="180" t="s">
        <v>185</v>
      </c>
      <c r="C73" s="181">
        <v>1.72</v>
      </c>
    </row>
    <row r="74" spans="1:3" x14ac:dyDescent="0.35">
      <c r="A74" s="180" t="s">
        <v>250</v>
      </c>
      <c r="B74" s="180" t="s">
        <v>251</v>
      </c>
      <c r="C74" s="181">
        <v>111.77999999999999</v>
      </c>
    </row>
    <row r="75" spans="1:3" x14ac:dyDescent="0.35">
      <c r="A75" s="180" t="s">
        <v>307</v>
      </c>
      <c r="B75" s="180" t="s">
        <v>308</v>
      </c>
      <c r="C75" s="181">
        <v>11.05</v>
      </c>
    </row>
    <row r="76" spans="1:3" x14ac:dyDescent="0.35">
      <c r="A76" s="180" t="s">
        <v>252</v>
      </c>
      <c r="B76" s="180" t="s">
        <v>253</v>
      </c>
      <c r="C76" s="181">
        <v>58.8</v>
      </c>
    </row>
    <row r="77" spans="1:3" x14ac:dyDescent="0.35">
      <c r="A77" s="180" t="s">
        <v>254</v>
      </c>
      <c r="B77" s="180" t="s">
        <v>255</v>
      </c>
      <c r="C77" s="181">
        <v>127.8</v>
      </c>
    </row>
    <row r="78" spans="1:3" x14ac:dyDescent="0.35">
      <c r="A78" s="180" t="s">
        <v>256</v>
      </c>
      <c r="B78" s="180" t="s">
        <v>257</v>
      </c>
      <c r="C78" s="181">
        <v>581.99999999999989</v>
      </c>
    </row>
    <row r="79" spans="1:3" x14ac:dyDescent="0.35">
      <c r="A79" s="180" t="s">
        <v>258</v>
      </c>
      <c r="B79" s="180" t="s">
        <v>259</v>
      </c>
      <c r="C79" s="181">
        <v>153.80000000000001</v>
      </c>
    </row>
    <row r="80" spans="1:3" x14ac:dyDescent="0.35">
      <c r="A80" s="180" t="s">
        <v>309</v>
      </c>
      <c r="B80" s="180" t="s">
        <v>310</v>
      </c>
      <c r="C80" s="181">
        <v>29.64</v>
      </c>
    </row>
    <row r="81" spans="1:16" x14ac:dyDescent="0.35">
      <c r="A81" s="180" t="s">
        <v>260</v>
      </c>
      <c r="B81" s="180" t="s">
        <v>261</v>
      </c>
      <c r="C81" s="181">
        <v>6.15</v>
      </c>
      <c r="L81" s="96"/>
      <c r="M81" s="96"/>
    </row>
    <row r="82" spans="1:16" x14ac:dyDescent="0.35">
      <c r="A82" s="180" t="s">
        <v>262</v>
      </c>
      <c r="B82" s="180" t="s">
        <v>263</v>
      </c>
      <c r="C82" s="181">
        <v>2286.4</v>
      </c>
      <c r="L82" s="96"/>
      <c r="M82" s="96"/>
    </row>
    <row r="83" spans="1:16" ht="15" thickBot="1" x14ac:dyDescent="0.4">
      <c r="C83" s="187">
        <v>625070.97000000032</v>
      </c>
      <c r="J83" s="187">
        <v>5313667.908828144</v>
      </c>
      <c r="K83" s="187">
        <v>4389849.6536646783</v>
      </c>
      <c r="L83" s="105">
        <f>SUM(L41:L63)</f>
        <v>7813.9323835231426</v>
      </c>
      <c r="M83" s="105">
        <f>SUM(M41:M63)</f>
        <v>7967.5060628852552</v>
      </c>
      <c r="P83" s="214">
        <f>SUM(P41:P63)</f>
        <v>7967.5060628852543</v>
      </c>
    </row>
    <row r="84" spans="1:16" x14ac:dyDescent="0.35">
      <c r="C84" s="188"/>
      <c r="J84" s="188"/>
      <c r="K84" s="188"/>
      <c r="L84" s="102"/>
      <c r="M84" s="102"/>
      <c r="P84" s="218"/>
    </row>
    <row r="85" spans="1:16" ht="15" thickBot="1" x14ac:dyDescent="0.4">
      <c r="C85" s="189">
        <v>1214693.1300000004</v>
      </c>
      <c r="J85" s="189">
        <v>9336712.6670986302</v>
      </c>
      <c r="K85" s="189">
        <v>7713460</v>
      </c>
      <c r="L85" s="106">
        <f>L83+L38</f>
        <v>13729.958800000031</v>
      </c>
      <c r="M85" s="106">
        <f>M83+M38</f>
        <v>13999.805042188207</v>
      </c>
      <c r="P85" s="219">
        <f>P83+P38</f>
        <v>13999.805042188205</v>
      </c>
    </row>
    <row r="86" spans="1:16" ht="15" thickTop="1" x14ac:dyDescent="0.35">
      <c r="L86" s="96"/>
      <c r="M86" s="98">
        <v>0</v>
      </c>
      <c r="P86" s="218">
        <v>0</v>
      </c>
    </row>
    <row r="87" spans="1:16" x14ac:dyDescent="0.35">
      <c r="I87" s="190" t="s">
        <v>311</v>
      </c>
      <c r="J87" s="191">
        <v>7713460</v>
      </c>
      <c r="L87" s="96"/>
      <c r="M87" s="96"/>
    </row>
    <row r="88" spans="1:16" x14ac:dyDescent="0.35">
      <c r="G88" s="176"/>
      <c r="J88" s="192">
        <v>0.82614302003543894</v>
      </c>
      <c r="L88" s="96"/>
      <c r="M88" s="96"/>
    </row>
    <row r="89" spans="1:16" x14ac:dyDescent="0.35">
      <c r="J89" s="180">
        <v>0.82609999999999995</v>
      </c>
      <c r="L89" s="96"/>
      <c r="M89" s="96"/>
    </row>
  </sheetData>
  <mergeCells count="2">
    <mergeCell ref="B1:D1"/>
    <mergeCell ref="A4:B4"/>
  </mergeCells>
  <pageMargins left="0.7" right="0.7" top="0.75" bottom="0.75" header="0.3" footer="0.3"/>
  <pageSetup scale="38" fitToHeight="0" orientation="landscape" r:id="rId1"/>
  <headerFooter>
    <oddHeader>&amp;C&amp;"-,Bold"Murrey's Disposal Co, Inc
dba Olympic Disposal&amp;"-,Regular"
Company Provided Priceout</oddHeader>
    <oddFooter>&amp;L&amp;F - &amp;A&amp;C&amp;D&amp;R&amp;P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8CAF38FA060CB46BDD29BC415CD9640" ma:contentTypeVersion="119" ma:contentTypeDescription="" ma:contentTypeScope="" ma:versionID="126ed718f30e76fe443a5725656895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2015-11-04T08:00:00+00:00</OpenedDate>
    <Date1 xmlns="dc463f71-b30c-4ab2-9473-d307f9d35888">2015-11-04T08:00:00+00:00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152094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2719F6-FB23-4372-8A4F-CB314A372F4B}"/>
</file>

<file path=customXml/itemProps2.xml><?xml version="1.0" encoding="utf-8"?>
<ds:datastoreItem xmlns:ds="http://schemas.openxmlformats.org/officeDocument/2006/customXml" ds:itemID="{EA287BCD-804C-454D-B617-4F4314B0C403}"/>
</file>

<file path=customXml/itemProps3.xml><?xml version="1.0" encoding="utf-8"?>
<ds:datastoreItem xmlns:ds="http://schemas.openxmlformats.org/officeDocument/2006/customXml" ds:itemID="{D2E4EE45-DBC9-430C-83F5-8424E18F7909}"/>
</file>

<file path=customXml/itemProps4.xml><?xml version="1.0" encoding="utf-8"?>
<ds:datastoreItem xmlns:ds="http://schemas.openxmlformats.org/officeDocument/2006/customXml" ds:itemID="{1ACBB9A2-C101-4339-A857-4CDCA601A7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References</vt:lpstr>
      <vt:lpstr>Staff Calcs </vt:lpstr>
      <vt:lpstr>Proposed Rates</vt:lpstr>
      <vt:lpstr>Co Provided Priceout</vt:lpstr>
      <vt:lpstr>'Staff Calcs '!Print_Area</vt:lpstr>
      <vt:lpstr>'Staff Calcs '!Print_Titles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Wyse, Lisa (UTC)</cp:lastModifiedBy>
  <cp:lastPrinted>2015-11-03T23:03:09Z</cp:lastPrinted>
  <dcterms:created xsi:type="dcterms:W3CDTF">2013-10-29T22:33:54Z</dcterms:created>
  <dcterms:modified xsi:type="dcterms:W3CDTF">2015-11-04T23:04:00Z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0x0101006E56B4D1795A2E4DB2F0B01679ED314A0058CAF38FA060CB46BDD29BC415CD9640</vt:lpwstr>
  </property>
  <property fmtid="{D5CDD505-2E9C-101B-9397-08002B2CF9AE}" pid="3" name="_docset_NoMedatataSyncRequired">
    <vt:lpwstr>False</vt:lpwstr>
  </property>
</Properties>
</file>