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3" activeTab="6"/>
  </bookViews>
  <sheets>
    <sheet name="jul02-dec02" sheetId="1" r:id="rId1"/>
    <sheet name="jan03-dec03" sheetId="2" r:id="rId2"/>
    <sheet name="jan04-dec04" sheetId="3" r:id="rId3"/>
    <sheet name="jan05-dec05" sheetId="4" r:id="rId4"/>
    <sheet name="jan06-dec06" sheetId="5" r:id="rId5"/>
    <sheet name="jan07-dec07" sheetId="6" r:id="rId6"/>
    <sheet name="WA jan08-dec08 " sheetId="7" r:id="rId7"/>
    <sheet name="ID jan08-dec08 )" sheetId="8" r:id="rId8"/>
  </sheets>
  <definedNames>
    <definedName name="_xlnm.Print_Area" localSheetId="7">'ID jan08-dec08 )'!$A$1:$R$32</definedName>
    <definedName name="_xlnm.Print_Area" localSheetId="1">'jan03-dec03'!$A$1:$L$33</definedName>
    <definedName name="_xlnm.Print_Area" localSheetId="3">'jan05-dec05'!$A$1:$K$34</definedName>
    <definedName name="_xlnm.Print_Area" localSheetId="0">'jul02-dec02'!$A$1:$K$28</definedName>
    <definedName name="_xlnm.Print_Area" localSheetId="6">'WA jan08-dec08 '!$A$1:$R$32</definedName>
  </definedNames>
  <calcPr fullCalcOnLoad="1" fullPrecision="0"/>
</workbook>
</file>

<file path=xl/comments3.xml><?xml version="1.0" encoding="utf-8"?>
<comments xmlns="http://schemas.openxmlformats.org/spreadsheetml/2006/main">
  <authors>
    <author>tzj0fg</author>
  </authors>
  <commentList>
    <comment ref="C25" authorId="0">
      <text>
        <r>
          <rPr>
            <b/>
            <sz val="8"/>
            <rFont val="Tahoma"/>
            <family val="0"/>
          </rPr>
          <t>correct 11/04 DJ042 had a cell error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tzj0fg</author>
    <author>fz7bgt</author>
  </authors>
  <commentList>
    <comment ref="L20" authorId="0">
      <text>
        <r>
          <rPr>
            <b/>
            <sz val="8"/>
            <rFont val="Tahoma"/>
            <family val="0"/>
          </rPr>
          <t>tzj0fg:</t>
        </r>
        <r>
          <rPr>
            <sz val="8"/>
            <rFont val="Tahoma"/>
            <family val="0"/>
          </rPr>
          <t xml:space="preserve">
Retail Curtailment</t>
        </r>
      </text>
    </comment>
    <comment ref="L24" authorId="0">
      <text>
        <r>
          <rPr>
            <b/>
            <sz val="8"/>
            <rFont val="Tahoma"/>
            <family val="0"/>
          </rPr>
          <t>tzj0fg:</t>
        </r>
        <r>
          <rPr>
            <sz val="8"/>
            <rFont val="Tahoma"/>
            <family val="0"/>
          </rPr>
          <t xml:space="preserve">
Sale of tank - old Bi-Fuels at KFGS - give $ back to customers</t>
        </r>
      </text>
    </comment>
    <comment ref="L22" authorId="0">
      <text>
        <r>
          <rPr>
            <b/>
            <sz val="8"/>
            <rFont val="Tahoma"/>
            <family val="0"/>
          </rPr>
          <t>tzj0fg:</t>
        </r>
        <r>
          <rPr>
            <sz val="8"/>
            <rFont val="Tahoma"/>
            <family val="0"/>
          </rPr>
          <t xml:space="preserve">
bankruptcy write offs</t>
        </r>
      </text>
    </comment>
    <comment ref="M25" authorId="1">
      <text>
        <r>
          <rPr>
            <b/>
            <sz val="8"/>
            <rFont val="Tahoma"/>
            <family val="0"/>
          </rPr>
          <t>fz7bgt:</t>
        </r>
        <r>
          <rPr>
            <sz val="8"/>
            <rFont val="Tahoma"/>
            <family val="0"/>
          </rPr>
          <t xml:space="preserve">
Renewable Energy credits</t>
        </r>
      </text>
    </comment>
  </commentList>
</comments>
</file>

<file path=xl/comments6.xml><?xml version="1.0" encoding="utf-8"?>
<comments xmlns="http://schemas.openxmlformats.org/spreadsheetml/2006/main">
  <authors>
    <author>fz7bgt</author>
  </authors>
  <commentList>
    <comment ref="L14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Potlatch RECs  $43,900 &amp; Mirant  2003 bankruptcy writeoff $22,683.74</t>
        </r>
      </text>
    </comment>
    <comment ref="M22" authorId="0">
      <text>
        <r>
          <rPr>
            <b/>
            <sz val="8"/>
            <rFont val="Tahoma"/>
            <family val="0"/>
          </rPr>
          <t>REC sale</t>
        </r>
        <r>
          <rPr>
            <sz val="8"/>
            <rFont val="Tahoma"/>
            <family val="0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1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fz7bgt</author>
    <author>bj4046</author>
  </authors>
  <commentList>
    <comment ref="L14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1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GST exchange trueup was expensed directly to account 557150.  Effective 4/1/2008 the trueup is added to thermal purchases to calculate SAUP for turbine fuel expense.  L. Donley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0"/>
          </rPr>
          <t>REVREC sale</t>
        </r>
        <r>
          <rPr>
            <sz val="8"/>
            <rFont val="Tahoma"/>
            <family val="0"/>
          </rPr>
          <t xml:space="preserve">
</t>
        </r>
      </text>
    </comment>
    <comment ref="B22" authorId="1">
      <text>
        <r>
          <rPr>
            <b/>
            <sz val="8"/>
            <rFont val="Tahoma"/>
            <family val="0"/>
          </rPr>
          <t>bj4046:</t>
        </r>
        <r>
          <rPr>
            <sz val="8"/>
            <rFont val="Tahoma"/>
            <family val="0"/>
          </rPr>
          <t xml:space="preserve">
Write off Reserves for Lehman Brothers </t>
        </r>
      </text>
    </comment>
  </commentList>
</comments>
</file>

<file path=xl/comments8.xml><?xml version="1.0" encoding="utf-8"?>
<comments xmlns="http://schemas.openxmlformats.org/spreadsheetml/2006/main">
  <authors>
    <author>fz7bgt</author>
  </authors>
  <commentList>
    <comment ref="L14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1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Potlatch RECs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GST exchange trueup was expensed directly to account 557150.  Effective 4/1/2008 the trueup is added to thermal purchases to calculate SAUP for turbine fuel expense.  L. Donley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0"/>
          </rPr>
          <t>Accrue Thermal share of Cochrane Credit.  L Donley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<sst xmlns="http://schemas.openxmlformats.org/spreadsheetml/2006/main" count="437" uniqueCount="108">
  <si>
    <t>Account 557</t>
  </si>
  <si>
    <t>Other</t>
  </si>
  <si>
    <t>Expenses</t>
  </si>
  <si>
    <t>Revenues</t>
  </si>
  <si>
    <t>Account 456</t>
  </si>
  <si>
    <t>Net Fuel</t>
  </si>
  <si>
    <t>Expense Not</t>
  </si>
  <si>
    <t>Included in</t>
  </si>
  <si>
    <t>Avista Corp.</t>
  </si>
  <si>
    <t>Washington Energy Recovery Mechanism</t>
  </si>
  <si>
    <t>Net Fuel Expense Not Included in Account 547</t>
  </si>
  <si>
    <t>July 2002 - December 2002</t>
  </si>
  <si>
    <t>Adjustments</t>
  </si>
  <si>
    <t>Month</t>
  </si>
  <si>
    <t>Account 547 (1)</t>
  </si>
  <si>
    <t>1)  Account 557 expense less Account 456 revenue plus adjustments.</t>
  </si>
  <si>
    <t>Washington</t>
  </si>
  <si>
    <t>Allocated</t>
  </si>
  <si>
    <t>Amount</t>
  </si>
  <si>
    <t>(66.29%)</t>
  </si>
  <si>
    <t>Attachment B</t>
  </si>
  <si>
    <t>Exp Adj's</t>
  </si>
  <si>
    <t>Rev Adj's</t>
  </si>
  <si>
    <t>Current</t>
  </si>
  <si>
    <t>January 2003 - December 2003</t>
  </si>
  <si>
    <t>DJ042</t>
  </si>
  <si>
    <t>DJ219</t>
  </si>
  <si>
    <t>Gas Withdraw</t>
  </si>
  <si>
    <t>Sale of Withdrawn</t>
  </si>
  <si>
    <t>Gas-Revenues</t>
  </si>
  <si>
    <t>NOT IN BALANCE</t>
  </si>
  <si>
    <t>557/456</t>
  </si>
  <si>
    <t>Net</t>
  </si>
  <si>
    <t>January 2004 - December 2004</t>
  </si>
  <si>
    <t xml:space="preserve"> </t>
  </si>
  <si>
    <t>January 2005 - December 2005</t>
  </si>
  <si>
    <t>recorded ERM/PCA</t>
  </si>
  <si>
    <t>Account 456150</t>
  </si>
  <si>
    <t>Account 456720</t>
  </si>
  <si>
    <t>Gas</t>
  </si>
  <si>
    <t>Account 557150</t>
  </si>
  <si>
    <t>Account 557700</t>
  </si>
  <si>
    <t>REVFUEL</t>
  </si>
  <si>
    <t>DJ425</t>
  </si>
  <si>
    <t>TOTAL</t>
  </si>
  <si>
    <t>Purchases</t>
  </si>
  <si>
    <t xml:space="preserve">Gas </t>
  </si>
  <si>
    <t>Sales</t>
  </si>
  <si>
    <t>Month (1)</t>
  </si>
  <si>
    <t>Account 547 (3)</t>
  </si>
  <si>
    <t>Bookouts (2)</t>
  </si>
  <si>
    <t>2)  Gas bookouts recorded to distinct accounts for financial presentation only</t>
  </si>
  <si>
    <t xml:space="preserve">2)  Account 557 expense less Account 456 revenue </t>
  </si>
  <si>
    <t>rounding</t>
  </si>
  <si>
    <t>1)  Includes withdrawls from gas storage of $1,653,771.65</t>
  </si>
  <si>
    <t>January 2006 - December 2006</t>
  </si>
  <si>
    <t>ERM/PCA</t>
  </si>
  <si>
    <t>Turbine Gas</t>
  </si>
  <si>
    <t>Account 557160</t>
  </si>
  <si>
    <t>DJ437</t>
  </si>
  <si>
    <t>Calculation</t>
  </si>
  <si>
    <t>Difference</t>
  </si>
  <si>
    <t>to</t>
  </si>
  <si>
    <t>Reconcile</t>
  </si>
  <si>
    <t>Account 456160</t>
  </si>
  <si>
    <t>REVREC</t>
  </si>
  <si>
    <r>
      <t xml:space="preserve">Other </t>
    </r>
    <r>
      <rPr>
        <b/>
        <u val="single"/>
        <sz val="9"/>
        <rFont val="Arial"/>
        <family val="2"/>
      </rPr>
      <t>(1)</t>
    </r>
  </si>
  <si>
    <r>
      <t xml:space="preserve">Bookouts </t>
    </r>
    <r>
      <rPr>
        <b/>
        <u val="single"/>
        <sz val="9"/>
        <rFont val="Arial"/>
        <family val="2"/>
      </rPr>
      <t>(2)</t>
    </r>
  </si>
  <si>
    <t>Allocate GST exchange rate true up.</t>
  </si>
  <si>
    <t>Gas bookouts recorded to distinct accounts for financial presentation only</t>
  </si>
  <si>
    <t>65.16%</t>
  </si>
  <si>
    <t>Spreadsheet</t>
  </si>
  <si>
    <t>557150 - Other</t>
  </si>
  <si>
    <t>557700 - Bookouts</t>
  </si>
  <si>
    <t>557160 - Other</t>
  </si>
  <si>
    <t>See Cell Comments</t>
  </si>
  <si>
    <t>456720 - Bookouts</t>
  </si>
  <si>
    <t xml:space="preserve">Account 547 </t>
  </si>
  <si>
    <t>Miscellaneous</t>
  </si>
  <si>
    <r>
      <t xml:space="preserve">Resource Opt </t>
    </r>
    <r>
      <rPr>
        <b/>
        <u val="single"/>
        <sz val="9"/>
        <rFont val="Arial"/>
        <family val="2"/>
      </rPr>
      <t>(3)</t>
    </r>
  </si>
  <si>
    <t>456160 - Other</t>
  </si>
  <si>
    <t>January 2007 - December 2007</t>
  </si>
  <si>
    <t>Gas bookouts recorded in separate accounts for financial presentation only</t>
  </si>
  <si>
    <t>Account 456150 &amp; 456015</t>
  </si>
  <si>
    <t>Account 456160 &amp; 456016</t>
  </si>
  <si>
    <t>January 2008 - December 2008</t>
  </si>
  <si>
    <t>Account  456015</t>
  </si>
  <si>
    <t>Account  456016</t>
  </si>
  <si>
    <t>Potlatch REC</t>
  </si>
  <si>
    <t>Authorized</t>
  </si>
  <si>
    <t>to Reconcile</t>
  </si>
  <si>
    <t>to the GL</t>
  </si>
  <si>
    <t>Turbine/Other</t>
  </si>
  <si>
    <t>(no longer applicable)</t>
  </si>
  <si>
    <t>Account 557150/557160</t>
  </si>
  <si>
    <t>DJ437/DJ470</t>
  </si>
  <si>
    <t xml:space="preserve">Allocate GST (Goods and Services Tax) exchange rate true up. </t>
  </si>
  <si>
    <t>557160 -Write off Reserve for Lehman Bros</t>
  </si>
  <si>
    <t>ERM</t>
  </si>
  <si>
    <t>Idaho Power Cost Adjustment</t>
  </si>
  <si>
    <r>
      <t xml:space="preserve">Other </t>
    </r>
    <r>
      <rPr>
        <b/>
        <u val="single"/>
        <sz val="9"/>
        <rFont val="Arial"/>
        <family val="2"/>
      </rPr>
      <t>(1) &amp; (3)</t>
    </r>
  </si>
  <si>
    <r>
      <t xml:space="preserve">Resource Opt </t>
    </r>
    <r>
      <rPr>
        <b/>
        <u val="single"/>
        <sz val="9"/>
        <rFont val="Arial"/>
        <family val="2"/>
      </rPr>
      <t>(4)</t>
    </r>
  </si>
  <si>
    <t>From</t>
  </si>
  <si>
    <t>To</t>
  </si>
  <si>
    <t>PCA</t>
  </si>
  <si>
    <t>WA only</t>
  </si>
  <si>
    <t>456016- Other REC Sales</t>
  </si>
  <si>
    <t>456016 - Other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</si>
</sst>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_(&quot;$&quot;* #,##0.0000_);_(&quot;$&quot;* \(#,##0.0000\);_(&quot;$&quot;* &quot;-&quot;????_);_(@_)"/>
    <numFmt numFmtId="170" formatCode="0.0%"/>
  </numFmts>
  <fonts count="12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b/>
      <u val="single"/>
      <sz val="9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Alignment="1">
      <alignment horizontal="center"/>
    </xf>
    <xf numFmtId="10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0" fillId="2" borderId="0" xfId="0" applyNumberFormat="1" applyFill="1" applyAlignment="1">
      <alignment/>
    </xf>
    <xf numFmtId="167" fontId="0" fillId="0" borderId="0" xfId="0" applyNumberFormat="1" applyBorder="1" applyAlignment="1">
      <alignment/>
    </xf>
    <xf numFmtId="167" fontId="0" fillId="0" borderId="0" xfId="17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17" applyNumberFormat="1" applyFont="1" applyBorder="1" applyAlignment="1">
      <alignment/>
    </xf>
    <xf numFmtId="8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8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0" fontId="1" fillId="0" borderId="0" xfId="0" applyNumberFormat="1" applyFont="1" applyAlignment="1">
      <alignment horizontal="center"/>
    </xf>
    <xf numFmtId="8" fontId="0" fillId="2" borderId="0" xfId="0" applyNumberFormat="1" applyFill="1" applyAlignment="1">
      <alignment/>
    </xf>
    <xf numFmtId="44" fontId="0" fillId="0" borderId="0" xfId="0" applyNumberFormat="1" applyBorder="1" applyAlignment="1">
      <alignment/>
    </xf>
    <xf numFmtId="44" fontId="0" fillId="0" borderId="0" xfId="17" applyNumberFormat="1" applyBorder="1" applyAlignment="1">
      <alignment/>
    </xf>
    <xf numFmtId="44" fontId="0" fillId="0" borderId="0" xfId="17" applyNumberFormat="1" applyFont="1" applyBorder="1" applyAlignment="1">
      <alignment/>
    </xf>
    <xf numFmtId="4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8" fontId="0" fillId="0" borderId="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164" fontId="0" fillId="0" borderId="1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8" fontId="0" fillId="0" borderId="5" xfId="0" applyNumberFormat="1" applyBorder="1" applyAlignment="1">
      <alignment/>
    </xf>
    <xf numFmtId="8" fontId="0" fillId="0" borderId="6" xfId="0" applyNumberFormat="1" applyBorder="1" applyAlignment="1">
      <alignment/>
    </xf>
    <xf numFmtId="8" fontId="0" fillId="0" borderId="7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8" fontId="0" fillId="0" borderId="12" xfId="0" applyNumberForma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8" fontId="0" fillId="0" borderId="15" xfId="0" applyNumberFormat="1" applyFill="1" applyBorder="1" applyAlignment="1">
      <alignment/>
    </xf>
    <xf numFmtId="8" fontId="0" fillId="0" borderId="1" xfId="0" applyNumberFormat="1" applyFill="1" applyBorder="1" applyAlignment="1">
      <alignment/>
    </xf>
    <xf numFmtId="7" fontId="0" fillId="0" borderId="0" xfId="0" applyNumberFormat="1" applyBorder="1" applyAlignment="1">
      <alignment/>
    </xf>
    <xf numFmtId="39" fontId="6" fillId="0" borderId="12" xfId="0" applyNumberFormat="1" applyFont="1" applyFill="1" applyBorder="1" applyAlignment="1">
      <alignment/>
    </xf>
    <xf numFmtId="39" fontId="6" fillId="0" borderId="13" xfId="0" applyNumberFormat="1" applyFont="1" applyFill="1" applyBorder="1" applyAlignment="1">
      <alignment/>
    </xf>
    <xf numFmtId="39" fontId="0" fillId="0" borderId="0" xfId="0" applyNumberFormat="1" applyAlignment="1">
      <alignment/>
    </xf>
    <xf numFmtId="39" fontId="6" fillId="0" borderId="0" xfId="0" applyNumberFormat="1" applyFont="1" applyFill="1" applyBorder="1" applyAlignment="1">
      <alignment/>
    </xf>
    <xf numFmtId="39" fontId="0" fillId="0" borderId="0" xfId="0" applyNumberFormat="1" applyBorder="1" applyAlignment="1">
      <alignment/>
    </xf>
    <xf numFmtId="39" fontId="0" fillId="0" borderId="8" xfId="0" applyNumberFormat="1" applyFill="1" applyBorder="1" applyAlignment="1">
      <alignment/>
    </xf>
    <xf numFmtId="39" fontId="0" fillId="0" borderId="8" xfId="0" applyNumberFormat="1" applyBorder="1" applyAlignment="1">
      <alignment/>
    </xf>
    <xf numFmtId="39" fontId="6" fillId="0" borderId="14" xfId="0" applyNumberFormat="1" applyFont="1" applyFill="1" applyBorder="1" applyAlignment="1">
      <alignment/>
    </xf>
    <xf numFmtId="39" fontId="0" fillId="0" borderId="9" xfId="0" applyNumberFormat="1" applyFill="1" applyBorder="1" applyAlignment="1">
      <alignment/>
    </xf>
    <xf numFmtId="39" fontId="0" fillId="0" borderId="9" xfId="0" applyNumberFormat="1" applyBorder="1" applyAlignment="1">
      <alignment/>
    </xf>
    <xf numFmtId="39" fontId="6" fillId="0" borderId="15" xfId="0" applyNumberFormat="1" applyFont="1" applyFill="1" applyBorder="1" applyAlignment="1">
      <alignment/>
    </xf>
    <xf numFmtId="39" fontId="6" fillId="0" borderId="1" xfId="0" applyNumberFormat="1" applyFont="1" applyFill="1" applyBorder="1" applyAlignment="1">
      <alignment/>
    </xf>
    <xf numFmtId="39" fontId="0" fillId="0" borderId="10" xfId="0" applyNumberFormat="1" applyFill="1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17" fontId="0" fillId="0" borderId="16" xfId="0" applyNumberFormat="1" applyBorder="1" applyAlignment="1">
      <alignment horizontal="center"/>
    </xf>
    <xf numFmtId="39" fontId="0" fillId="0" borderId="16" xfId="0" applyNumberFormat="1" applyBorder="1" applyAlignment="1">
      <alignment/>
    </xf>
    <xf numFmtId="39" fontId="0" fillId="0" borderId="16" xfId="0" applyNumberFormat="1" applyFill="1" applyBorder="1" applyAlignment="1">
      <alignment/>
    </xf>
    <xf numFmtId="39" fontId="0" fillId="0" borderId="16" xfId="0" applyNumberFormat="1" applyFont="1" applyFill="1" applyBorder="1" applyAlignment="1">
      <alignment/>
    </xf>
    <xf numFmtId="39" fontId="0" fillId="0" borderId="6" xfId="0" applyNumberFormat="1" applyFill="1" applyBorder="1" applyAlignment="1">
      <alignment/>
    </xf>
    <xf numFmtId="37" fontId="2" fillId="0" borderId="0" xfId="0" applyNumberFormat="1" applyFont="1" applyAlignment="1">
      <alignment horizontal="center"/>
    </xf>
    <xf numFmtId="39" fontId="6" fillId="0" borderId="13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39" fontId="6" fillId="0" borderId="1" xfId="0" applyNumberFormat="1" applyFont="1" applyBorder="1" applyAlignment="1">
      <alignment/>
    </xf>
    <xf numFmtId="39" fontId="0" fillId="3" borderId="16" xfId="0" applyNumberFormat="1" applyFill="1" applyBorder="1" applyAlignment="1">
      <alignment/>
    </xf>
    <xf numFmtId="39" fontId="6" fillId="3" borderId="0" xfId="0" applyNumberFormat="1" applyFont="1" applyFill="1" applyBorder="1" applyAlignment="1">
      <alignment/>
    </xf>
    <xf numFmtId="37" fontId="6" fillId="0" borderId="12" xfId="0" applyNumberFormat="1" applyFont="1" applyFill="1" applyBorder="1" applyAlignment="1">
      <alignment/>
    </xf>
    <xf numFmtId="37" fontId="6" fillId="0" borderId="13" xfId="0" applyNumberFormat="1" applyFont="1" applyFill="1" applyBorder="1" applyAlignment="1">
      <alignment/>
    </xf>
    <xf numFmtId="37" fontId="0" fillId="0" borderId="8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0" fillId="0" borderId="8" xfId="0" applyNumberFormat="1" applyFill="1" applyBorder="1" applyAlignment="1">
      <alignment/>
    </xf>
    <xf numFmtId="37" fontId="6" fillId="0" borderId="13" xfId="0" applyNumberFormat="1" applyFont="1" applyBorder="1" applyAlignment="1">
      <alignment/>
    </xf>
    <xf numFmtId="37" fontId="6" fillId="0" borderId="14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37" fontId="0" fillId="0" borderId="9" xfId="0" applyNumberFormat="1" applyBorder="1" applyAlignment="1">
      <alignment/>
    </xf>
    <xf numFmtId="37" fontId="0" fillId="0" borderId="9" xfId="0" applyNumberFormat="1" applyFill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15" xfId="0" applyNumberFormat="1" applyFont="1" applyFill="1" applyBorder="1" applyAlignment="1">
      <alignment/>
    </xf>
    <xf numFmtId="37" fontId="6" fillId="0" borderId="1" xfId="0" applyNumberFormat="1" applyFont="1" applyFill="1" applyBorder="1" applyAlignment="1">
      <alignment/>
    </xf>
    <xf numFmtId="37" fontId="0" fillId="0" borderId="10" xfId="0" applyNumberFormat="1" applyBorder="1" applyAlignment="1">
      <alignment/>
    </xf>
    <xf numFmtId="37" fontId="0" fillId="0" borderId="10" xfId="0" applyNumberFormat="1" applyFill="1" applyBorder="1" applyAlignment="1">
      <alignment/>
    </xf>
    <xf numFmtId="37" fontId="6" fillId="0" borderId="1" xfId="0" applyNumberFormat="1" applyFont="1" applyBorder="1" applyAlignment="1">
      <alignment/>
    </xf>
    <xf numFmtId="37" fontId="0" fillId="0" borderId="6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3" borderId="16" xfId="0" applyNumberFormat="1" applyFill="1" applyBorder="1" applyAlignment="1">
      <alignment/>
    </xf>
    <xf numFmtId="37" fontId="0" fillId="0" borderId="16" xfId="0" applyNumberFormat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16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166" fontId="7" fillId="0" borderId="0" xfId="0" applyNumberFormat="1" applyFont="1" applyAlignment="1">
      <alignment horizontal="center" vertical="top" wrapText="1"/>
    </xf>
    <xf numFmtId="37" fontId="0" fillId="0" borderId="12" xfId="0" applyNumberFormat="1" applyFill="1" applyBorder="1" applyAlignment="1">
      <alignment/>
    </xf>
    <xf numFmtId="0" fontId="0" fillId="0" borderId="1" xfId="0" applyBorder="1" applyAlignment="1">
      <alignment/>
    </xf>
    <xf numFmtId="37" fontId="6" fillId="0" borderId="8" xfId="0" applyNumberFormat="1" applyFont="1" applyFill="1" applyBorder="1" applyAlignment="1">
      <alignment/>
    </xf>
    <xf numFmtId="37" fontId="6" fillId="0" borderId="9" xfId="0" applyNumberFormat="1" applyFont="1" applyFill="1" applyBorder="1" applyAlignment="1">
      <alignment/>
    </xf>
    <xf numFmtId="37" fontId="6" fillId="0" borderId="10" xfId="0" applyNumberFormat="1" applyFont="1" applyFill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166" fontId="7" fillId="0" borderId="0" xfId="0" applyNumberFormat="1" applyFont="1" applyAlignment="1">
      <alignment horizontal="center" vertical="top"/>
    </xf>
    <xf numFmtId="0" fontId="0" fillId="0" borderId="0" xfId="0" applyBorder="1" applyAlignment="1">
      <alignment/>
    </xf>
    <xf numFmtId="37" fontId="6" fillId="0" borderId="8" xfId="0" applyNumberFormat="1" applyFont="1" applyBorder="1" applyAlignment="1">
      <alignment/>
    </xf>
    <xf numFmtId="37" fontId="6" fillId="0" borderId="9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0" fillId="3" borderId="16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10" fontId="8" fillId="0" borderId="0" xfId="0" applyNumberFormat="1" applyFont="1" applyBorder="1" applyAlignment="1" quotePrefix="1">
      <alignment horizontal="center"/>
    </xf>
    <xf numFmtId="37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37" fontId="6" fillId="0" borderId="7" xfId="0" applyNumberFormat="1" applyFont="1" applyFill="1" applyBorder="1" applyAlignment="1">
      <alignment/>
    </xf>
    <xf numFmtId="10" fontId="2" fillId="0" borderId="0" xfId="19" applyNumberFormat="1" applyFont="1" applyAlignment="1">
      <alignment/>
    </xf>
    <xf numFmtId="0" fontId="0" fillId="0" borderId="0" xfId="0" applyAlignment="1">
      <alignment vertical="top" wrapText="1"/>
    </xf>
    <xf numFmtId="37" fontId="2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167" fontId="0" fillId="0" borderId="0" xfId="17" applyNumberFormat="1" applyBorder="1" applyAlignment="1">
      <alignment vertical="top"/>
    </xf>
    <xf numFmtId="0" fontId="0" fillId="0" borderId="0" xfId="0" applyBorder="1" applyAlignment="1">
      <alignment vertical="top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C1">
      <selection activeCell="C35" sqref="C35"/>
    </sheetView>
  </sheetViews>
  <sheetFormatPr defaultColWidth="9.140625" defaultRowHeight="12.75"/>
  <cols>
    <col min="2" max="4" width="14.57421875" style="0" customWidth="1"/>
    <col min="5" max="7" width="14.7109375" style="0" customWidth="1"/>
    <col min="8" max="9" width="13.7109375" style="0" customWidth="1"/>
    <col min="10" max="10" width="14.00390625" style="0" customWidth="1"/>
    <col min="11" max="12" width="15.00390625" style="0" customWidth="1"/>
    <col min="13" max="13" width="13.28125" style="0" bestFit="1" customWidth="1"/>
    <col min="14" max="14" width="16.421875" style="0" customWidth="1"/>
  </cols>
  <sheetData>
    <row r="1" ht="12.75">
      <c r="A1" s="6" t="s">
        <v>20</v>
      </c>
    </row>
    <row r="2" ht="11.25" customHeight="1"/>
    <row r="3" ht="12.75">
      <c r="A3" s="6" t="s">
        <v>8</v>
      </c>
    </row>
    <row r="4" ht="12.75">
      <c r="A4" s="6" t="s">
        <v>9</v>
      </c>
    </row>
    <row r="5" ht="12.75">
      <c r="A5" s="6" t="s">
        <v>10</v>
      </c>
    </row>
    <row r="6" ht="12.75">
      <c r="A6" s="6" t="s">
        <v>11</v>
      </c>
    </row>
    <row r="10" spans="10:12" ht="12.75">
      <c r="J10" s="1" t="s">
        <v>5</v>
      </c>
      <c r="K10" s="1" t="s">
        <v>16</v>
      </c>
      <c r="L10" s="1"/>
    </row>
    <row r="11" spans="2:12" ht="12.75">
      <c r="B11" s="1" t="s">
        <v>0</v>
      </c>
      <c r="C11" s="1" t="s">
        <v>0</v>
      </c>
      <c r="D11" s="1" t="s">
        <v>0</v>
      </c>
      <c r="E11" s="9" t="s">
        <v>4</v>
      </c>
      <c r="F11" s="1" t="s">
        <v>4</v>
      </c>
      <c r="G11" s="1" t="s">
        <v>4</v>
      </c>
      <c r="H11" s="1"/>
      <c r="I11" s="1"/>
      <c r="J11" s="1" t="s">
        <v>6</v>
      </c>
      <c r="K11" s="1" t="s">
        <v>17</v>
      </c>
      <c r="L11" s="1"/>
    </row>
    <row r="12" spans="2:12" ht="12.75">
      <c r="B12" s="1" t="s">
        <v>23</v>
      </c>
      <c r="C12" s="1" t="s">
        <v>1</v>
      </c>
      <c r="D12" s="1" t="s">
        <v>1</v>
      </c>
      <c r="E12" s="1" t="s">
        <v>23</v>
      </c>
      <c r="F12" s="1" t="s">
        <v>1</v>
      </c>
      <c r="G12" s="1" t="s">
        <v>1</v>
      </c>
      <c r="H12" s="1"/>
      <c r="I12" s="1"/>
      <c r="J12" s="1" t="s">
        <v>7</v>
      </c>
      <c r="K12" s="9" t="s">
        <v>18</v>
      </c>
      <c r="L12" s="9"/>
    </row>
    <row r="13" spans="1:12" ht="12.75">
      <c r="A13" s="5" t="s">
        <v>13</v>
      </c>
      <c r="B13" s="5" t="s">
        <v>13</v>
      </c>
      <c r="C13" s="5" t="s">
        <v>21</v>
      </c>
      <c r="D13" s="5" t="s">
        <v>2</v>
      </c>
      <c r="E13" s="5" t="s">
        <v>13</v>
      </c>
      <c r="F13" s="5" t="s">
        <v>22</v>
      </c>
      <c r="G13" s="5" t="s">
        <v>3</v>
      </c>
      <c r="H13" s="5" t="s">
        <v>12</v>
      </c>
      <c r="I13" s="5"/>
      <c r="J13" s="5" t="s">
        <v>14</v>
      </c>
      <c r="K13" s="8" t="s">
        <v>19</v>
      </c>
      <c r="L13" s="8"/>
    </row>
    <row r="14" ht="12.75">
      <c r="A14" s="1"/>
    </row>
    <row r="15" spans="1:14" ht="12.75">
      <c r="A15" s="7">
        <v>37439</v>
      </c>
      <c r="B15" s="11">
        <v>8329426.11</v>
      </c>
      <c r="C15" s="11">
        <v>-277420.84</v>
      </c>
      <c r="D15" s="2">
        <f aca="true" t="shared" si="0" ref="D15:D20">SUM(B15:C15)</f>
        <v>8052005.27</v>
      </c>
      <c r="E15" s="11">
        <v>-4184782.25</v>
      </c>
      <c r="F15" s="11">
        <v>2308.15</v>
      </c>
      <c r="G15" s="2">
        <f aca="true" t="shared" si="1" ref="G15:G20">SUM(E15:F15)</f>
        <v>-4182474.1</v>
      </c>
      <c r="H15" s="2">
        <v>-177158.1</v>
      </c>
      <c r="I15" s="4">
        <f aca="true" t="shared" si="2" ref="I15:I20">D15+G15+H15</f>
        <v>3692373</v>
      </c>
      <c r="J15" s="4">
        <v>3692373</v>
      </c>
      <c r="K15" s="4">
        <f aca="true" t="shared" si="3" ref="K15:K20">J15*0.6629</f>
        <v>2447674</v>
      </c>
      <c r="L15" s="4"/>
      <c r="M15" s="2">
        <f aca="true" t="shared" si="4" ref="M15:M20">J15-N15</f>
        <v>4459894.87</v>
      </c>
      <c r="N15" s="2">
        <f aca="true" t="shared" si="5" ref="N15:N20">SUM(C15:H15)</f>
        <v>-767521.87</v>
      </c>
    </row>
    <row r="16" spans="1:14" ht="12.75">
      <c r="A16" s="7">
        <v>37470</v>
      </c>
      <c r="B16" s="11">
        <v>8254518.11</v>
      </c>
      <c r="C16" s="11">
        <v>-8926.59</v>
      </c>
      <c r="D16" s="2">
        <f t="shared" si="0"/>
        <v>8245591.52</v>
      </c>
      <c r="E16" s="11">
        <v>-3620547.04</v>
      </c>
      <c r="F16" s="11">
        <v>6854.1</v>
      </c>
      <c r="G16" s="2">
        <f t="shared" si="1"/>
        <v>-3613692.94</v>
      </c>
      <c r="H16" s="2">
        <v>0</v>
      </c>
      <c r="I16" s="4">
        <f t="shared" si="2"/>
        <v>4631899</v>
      </c>
      <c r="J16" s="4">
        <v>4631899</v>
      </c>
      <c r="K16" s="4">
        <f t="shared" si="3"/>
        <v>3070486</v>
      </c>
      <c r="L16" s="4"/>
      <c r="M16" s="2">
        <f t="shared" si="4"/>
        <v>3622619.95</v>
      </c>
      <c r="N16" s="2">
        <f t="shared" si="5"/>
        <v>1009279.05</v>
      </c>
    </row>
    <row r="17" spans="1:14" ht="12.75">
      <c r="A17" s="7">
        <v>37501</v>
      </c>
      <c r="B17" s="11">
        <v>8012585.02</v>
      </c>
      <c r="C17" s="11">
        <v>-8493</v>
      </c>
      <c r="D17" s="2">
        <f t="shared" si="0"/>
        <v>8004092.02</v>
      </c>
      <c r="E17" s="11">
        <v>-3834240.8</v>
      </c>
      <c r="F17" s="11">
        <v>69.21</v>
      </c>
      <c r="G17" s="2">
        <f t="shared" si="1"/>
        <v>-3834171.59</v>
      </c>
      <c r="H17" s="2">
        <f>-55653+31800</f>
        <v>-23853</v>
      </c>
      <c r="I17" s="4">
        <f t="shared" si="2"/>
        <v>4146067</v>
      </c>
      <c r="J17" s="4">
        <v>4146067</v>
      </c>
      <c r="K17" s="4">
        <f t="shared" si="3"/>
        <v>2748428</v>
      </c>
      <c r="L17" s="4"/>
      <c r="M17" s="2">
        <f t="shared" si="4"/>
        <v>3842664.16</v>
      </c>
      <c r="N17" s="2">
        <f t="shared" si="5"/>
        <v>303402.84</v>
      </c>
    </row>
    <row r="18" spans="1:14" ht="12.75">
      <c r="A18" s="7">
        <v>37531</v>
      </c>
      <c r="B18" s="11">
        <v>8455590.75</v>
      </c>
      <c r="C18" s="11">
        <v>-24.3</v>
      </c>
      <c r="D18" s="2">
        <f t="shared" si="0"/>
        <v>8455566.45</v>
      </c>
      <c r="E18" s="11">
        <v>-4717710.63</v>
      </c>
      <c r="F18" s="11">
        <v>-69.21</v>
      </c>
      <c r="G18" s="2">
        <f t="shared" si="1"/>
        <v>-4717779.84</v>
      </c>
      <c r="H18" s="2">
        <v>0</v>
      </c>
      <c r="I18" s="4">
        <f t="shared" si="2"/>
        <v>3737787</v>
      </c>
      <c r="J18" s="4">
        <v>3737787</v>
      </c>
      <c r="K18" s="4">
        <f t="shared" si="3"/>
        <v>2477779</v>
      </c>
      <c r="L18" s="4"/>
      <c r="M18" s="2">
        <f t="shared" si="4"/>
        <v>4717804.53</v>
      </c>
      <c r="N18" s="2">
        <f t="shared" si="5"/>
        <v>-980017.53</v>
      </c>
    </row>
    <row r="19" spans="1:14" ht="12.75">
      <c r="A19" s="7">
        <v>37562</v>
      </c>
      <c r="B19" s="11">
        <v>8137528.9</v>
      </c>
      <c r="C19" s="11">
        <f>-75.2+15850.01</f>
        <v>15774.81</v>
      </c>
      <c r="D19" s="10">
        <f t="shared" si="0"/>
        <v>8153303.71</v>
      </c>
      <c r="E19" s="11">
        <v>-5195663.88</v>
      </c>
      <c r="F19" s="11">
        <v>2257.12</v>
      </c>
      <c r="G19" s="2">
        <f t="shared" si="1"/>
        <v>-5193406.76</v>
      </c>
      <c r="H19" s="2">
        <v>0</v>
      </c>
      <c r="I19" s="4">
        <f t="shared" si="2"/>
        <v>2959897</v>
      </c>
      <c r="J19" s="4">
        <v>2959897</v>
      </c>
      <c r="K19" s="4">
        <f t="shared" si="3"/>
        <v>1962116</v>
      </c>
      <c r="L19" s="4"/>
      <c r="M19" s="2">
        <f t="shared" si="4"/>
        <v>5177632</v>
      </c>
      <c r="N19" s="2">
        <f t="shared" si="5"/>
        <v>-2217735</v>
      </c>
    </row>
    <row r="20" spans="1:14" ht="12.75">
      <c r="A20" s="7">
        <v>37592</v>
      </c>
      <c r="B20" s="11">
        <v>8839643.46</v>
      </c>
      <c r="C20" s="11">
        <v>-6252</v>
      </c>
      <c r="D20" s="2">
        <f t="shared" si="0"/>
        <v>8833391.46</v>
      </c>
      <c r="E20" s="11">
        <v>-5857859.26</v>
      </c>
      <c r="F20" s="11">
        <v>0</v>
      </c>
      <c r="G20" s="10">
        <f t="shared" si="1"/>
        <v>-5857859.26</v>
      </c>
      <c r="H20" s="2">
        <f>50771.8+49866.25</f>
        <v>100638.05</v>
      </c>
      <c r="I20" s="4">
        <f t="shared" si="2"/>
        <v>3076170</v>
      </c>
      <c r="J20" s="4">
        <v>3076170</v>
      </c>
      <c r="K20" s="4">
        <f t="shared" si="3"/>
        <v>2039193</v>
      </c>
      <c r="L20" s="4"/>
      <c r="M20" s="2">
        <f t="shared" si="4"/>
        <v>5864111.01</v>
      </c>
      <c r="N20" s="2">
        <f t="shared" si="5"/>
        <v>-2787941.01</v>
      </c>
    </row>
    <row r="21" spans="1:14" ht="12.75">
      <c r="A21" s="7"/>
      <c r="B21" s="2"/>
      <c r="C21" s="2"/>
      <c r="I21" s="2"/>
      <c r="J21" s="2">
        <f>SUM(J15:J20)</f>
        <v>22244193</v>
      </c>
      <c r="K21" s="4"/>
      <c r="L21" s="4"/>
      <c r="M21" s="2"/>
      <c r="N21" s="2"/>
    </row>
    <row r="22" spans="1:14" ht="12.75">
      <c r="A22" s="7"/>
      <c r="B22" s="2"/>
      <c r="C22" s="2"/>
      <c r="D22" s="11">
        <f>SUM(D15:D20)</f>
        <v>49743950.43</v>
      </c>
      <c r="E22" s="2"/>
      <c r="F22" s="2"/>
      <c r="G22" s="11">
        <f>SUM(G15:G20)</f>
        <v>-27399384.49</v>
      </c>
      <c r="H22" s="2">
        <f>SUM(H15:H20)</f>
        <v>-100373.05</v>
      </c>
      <c r="I22" s="2"/>
      <c r="J22" s="11">
        <f>D22+G22</f>
        <v>22344565.94</v>
      </c>
      <c r="K22" s="4"/>
      <c r="L22" s="4"/>
      <c r="M22" s="2"/>
      <c r="N22" s="2"/>
    </row>
    <row r="23" spans="1:14" ht="12.75">
      <c r="A23" s="7"/>
      <c r="B23" s="2"/>
      <c r="C23" s="2"/>
      <c r="D23" s="2"/>
      <c r="E23" s="2"/>
      <c r="F23" s="2"/>
      <c r="G23" s="2"/>
      <c r="H23" s="2"/>
      <c r="I23" s="2"/>
      <c r="J23" s="2">
        <f>J21-J22</f>
        <v>-100372.94</v>
      </c>
      <c r="K23" s="4"/>
      <c r="L23" s="4"/>
      <c r="M23" s="2"/>
      <c r="N23" s="2"/>
    </row>
    <row r="24" spans="8:12" ht="12.75">
      <c r="H24" s="3"/>
      <c r="I24" s="3"/>
      <c r="J24" s="3"/>
      <c r="K24" s="3"/>
      <c r="L24" s="3"/>
    </row>
    <row r="25" ht="12.75">
      <c r="A25" t="s">
        <v>15</v>
      </c>
    </row>
  </sheetData>
  <printOptions/>
  <pageMargins left="0.75" right="0.75" top="1" bottom="1" header="0.5" footer="0.5"/>
  <pageSetup fitToHeight="1" fitToWidth="1" horizontalDpi="600" verticalDpi="600" orientation="landscape" scale="80" r:id="rId1"/>
  <headerFooter alignWithMargins="0">
    <oddFooter>&amp;L&amp;"Arial,Bold Italic"&amp;F&amp;R&amp;"Arial,Bold Italic"&amp;D WGJ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selection activeCell="A1" sqref="A1:IV16384"/>
    </sheetView>
  </sheetViews>
  <sheetFormatPr defaultColWidth="9.140625" defaultRowHeight="12.75"/>
  <cols>
    <col min="2" max="5" width="14.57421875" style="0" customWidth="1"/>
    <col min="6" max="7" width="14.7109375" style="0" customWidth="1"/>
    <col min="8" max="8" width="16.7109375" style="0" customWidth="1"/>
    <col min="9" max="9" width="14.7109375" style="0" customWidth="1"/>
    <col min="10" max="10" width="0.2890625" style="0" customWidth="1"/>
    <col min="11" max="11" width="14.00390625" style="0" customWidth="1"/>
    <col min="12" max="14" width="15.00390625" style="0" customWidth="1"/>
    <col min="15" max="15" width="13.28125" style="0" bestFit="1" customWidth="1"/>
    <col min="16" max="16" width="16.421875" style="0" customWidth="1"/>
  </cols>
  <sheetData>
    <row r="1" ht="12.75">
      <c r="A1" s="6" t="s">
        <v>20</v>
      </c>
    </row>
    <row r="2" ht="11.25" customHeight="1"/>
    <row r="3" ht="12.75">
      <c r="A3" s="6" t="s">
        <v>8</v>
      </c>
    </row>
    <row r="4" ht="12.75">
      <c r="A4" s="6" t="s">
        <v>9</v>
      </c>
    </row>
    <row r="5" ht="12.75">
      <c r="A5" s="6" t="s">
        <v>10</v>
      </c>
    </row>
    <row r="6" ht="12.75">
      <c r="A6" s="6" t="s">
        <v>24</v>
      </c>
    </row>
    <row r="10" spans="2:14" ht="12.75">
      <c r="B10" s="1" t="s">
        <v>25</v>
      </c>
      <c r="C10" s="1" t="s">
        <v>25</v>
      </c>
      <c r="D10" s="1" t="s">
        <v>26</v>
      </c>
      <c r="E10" s="1"/>
      <c r="F10" s="1" t="s">
        <v>25</v>
      </c>
      <c r="G10" s="1" t="s">
        <v>25</v>
      </c>
      <c r="H10" s="1" t="s">
        <v>26</v>
      </c>
      <c r="I10" s="1"/>
      <c r="J10" s="1"/>
      <c r="K10" s="1" t="s">
        <v>5</v>
      </c>
      <c r="L10" s="1" t="s">
        <v>16</v>
      </c>
      <c r="M10" s="1"/>
      <c r="N10" s="1"/>
    </row>
    <row r="11" spans="2:14" ht="12.75">
      <c r="B11" s="1" t="s">
        <v>0</v>
      </c>
      <c r="C11" s="1" t="s">
        <v>0</v>
      </c>
      <c r="D11" s="1" t="s">
        <v>0</v>
      </c>
      <c r="E11" s="1" t="s">
        <v>0</v>
      </c>
      <c r="F11" s="9" t="s">
        <v>4</v>
      </c>
      <c r="G11" s="1" t="s">
        <v>4</v>
      </c>
      <c r="H11" s="1" t="s">
        <v>4</v>
      </c>
      <c r="I11" s="1" t="s">
        <v>4</v>
      </c>
      <c r="J11" s="1" t="s">
        <v>31</v>
      </c>
      <c r="K11" s="1" t="s">
        <v>6</v>
      </c>
      <c r="L11" s="1" t="s">
        <v>17</v>
      </c>
      <c r="M11" s="1"/>
      <c r="N11" s="1"/>
    </row>
    <row r="12" spans="2:14" ht="12.75">
      <c r="B12" s="1" t="s">
        <v>23</v>
      </c>
      <c r="C12" s="1" t="s">
        <v>1</v>
      </c>
      <c r="D12" s="1" t="s">
        <v>27</v>
      </c>
      <c r="E12" s="1" t="s">
        <v>1</v>
      </c>
      <c r="F12" s="1" t="s">
        <v>23</v>
      </c>
      <c r="G12" s="1" t="s">
        <v>1</v>
      </c>
      <c r="H12" s="1" t="s">
        <v>28</v>
      </c>
      <c r="I12" s="1" t="s">
        <v>1</v>
      </c>
      <c r="K12" s="1" t="s">
        <v>7</v>
      </c>
      <c r="L12" s="9" t="s">
        <v>18</v>
      </c>
      <c r="M12" s="9"/>
      <c r="N12" s="9"/>
    </row>
    <row r="13" spans="1:14" ht="12.75">
      <c r="A13" s="5" t="s">
        <v>13</v>
      </c>
      <c r="B13" s="5" t="s">
        <v>13</v>
      </c>
      <c r="C13" s="5" t="s">
        <v>21</v>
      </c>
      <c r="D13" s="5" t="s">
        <v>2</v>
      </c>
      <c r="E13" s="5" t="s">
        <v>2</v>
      </c>
      <c r="F13" s="5" t="s">
        <v>13</v>
      </c>
      <c r="G13" s="5" t="s">
        <v>22</v>
      </c>
      <c r="H13" s="5" t="s">
        <v>29</v>
      </c>
      <c r="I13" s="5" t="s">
        <v>3</v>
      </c>
      <c r="J13" s="5" t="s">
        <v>32</v>
      </c>
      <c r="K13" s="5" t="s">
        <v>14</v>
      </c>
      <c r="L13" s="8" t="s">
        <v>19</v>
      </c>
      <c r="M13" s="8"/>
      <c r="N13" s="20" t="s">
        <v>30</v>
      </c>
    </row>
    <row r="14" ht="12.75">
      <c r="A14" s="1"/>
    </row>
    <row r="15" spans="1:14" ht="12.75">
      <c r="A15" s="7">
        <v>37624</v>
      </c>
      <c r="B15" s="11">
        <v>8883470.19</v>
      </c>
      <c r="C15" s="11">
        <v>-5.99</v>
      </c>
      <c r="D15" s="11"/>
      <c r="E15" s="2">
        <f>SUM(B15:D15)</f>
        <v>8883464.2</v>
      </c>
      <c r="F15" s="21">
        <v>-6028062.94</v>
      </c>
      <c r="G15" s="21"/>
      <c r="H15" s="21"/>
      <c r="I15" s="16">
        <f>SUM(F15:H15)</f>
        <v>-6028062.94</v>
      </c>
      <c r="J15" s="2">
        <f>E15+I15</f>
        <v>2855401.26</v>
      </c>
      <c r="K15" s="22">
        <v>2855401.26</v>
      </c>
      <c r="L15" s="4">
        <f aca="true" t="shared" si="0" ref="L15:L20">K15*0.6629</f>
        <v>1892845</v>
      </c>
      <c r="M15" s="4"/>
      <c r="N15" s="4">
        <f>J15-K15</f>
        <v>0</v>
      </c>
    </row>
    <row r="16" spans="1:14" ht="12.75">
      <c r="A16" s="7">
        <v>37655</v>
      </c>
      <c r="B16" s="11">
        <v>8056757.12</v>
      </c>
      <c r="C16" s="11"/>
      <c r="D16" s="11">
        <v>263860</v>
      </c>
      <c r="E16" s="2">
        <f aca="true" t="shared" si="1" ref="E16:E26">SUM(B16:D16)</f>
        <v>8320617.12</v>
      </c>
      <c r="F16" s="21">
        <v>-5593077.68</v>
      </c>
      <c r="G16" s="21">
        <v>47479.6</v>
      </c>
      <c r="H16" s="21">
        <v>-450545</v>
      </c>
      <c r="I16" s="16">
        <f aca="true" t="shared" si="2" ref="I16:I26">SUM(F16:H16)</f>
        <v>-5996143.08</v>
      </c>
      <c r="J16" s="2">
        <f aca="true" t="shared" si="3" ref="J16:J26">E16+I16</f>
        <v>2324474.04</v>
      </c>
      <c r="K16" s="22">
        <v>2324474.04</v>
      </c>
      <c r="L16" s="4">
        <f t="shared" si="0"/>
        <v>1540894</v>
      </c>
      <c r="M16" s="4"/>
      <c r="N16" s="4">
        <f aca="true" t="shared" si="4" ref="N16:N26">J16-K16</f>
        <v>0</v>
      </c>
    </row>
    <row r="17" spans="1:14" ht="12.75">
      <c r="A17" s="7">
        <v>37683</v>
      </c>
      <c r="B17" s="11">
        <v>9540445.33</v>
      </c>
      <c r="C17" s="11"/>
      <c r="D17" s="11"/>
      <c r="E17" s="2">
        <f t="shared" si="1"/>
        <v>9540445.33</v>
      </c>
      <c r="F17" s="21">
        <v>-6522821.6</v>
      </c>
      <c r="G17" s="21">
        <v>38.96</v>
      </c>
      <c r="H17" s="21"/>
      <c r="I17" s="16">
        <f t="shared" si="2"/>
        <v>-6522782.64</v>
      </c>
      <c r="J17" s="2">
        <f t="shared" si="3"/>
        <v>3017662.69</v>
      </c>
      <c r="K17" s="23">
        <v>3017662.69</v>
      </c>
      <c r="L17" s="4">
        <f t="shared" si="0"/>
        <v>2000409</v>
      </c>
      <c r="M17" s="4"/>
      <c r="N17" s="4">
        <f t="shared" si="4"/>
        <v>0</v>
      </c>
    </row>
    <row r="18" spans="1:14" ht="12.75">
      <c r="A18" s="7">
        <v>37714</v>
      </c>
      <c r="B18" s="11">
        <v>8537469.69</v>
      </c>
      <c r="C18" s="11"/>
      <c r="D18" s="11"/>
      <c r="E18" s="2">
        <f t="shared" si="1"/>
        <v>8537469.69</v>
      </c>
      <c r="F18" s="21">
        <v>-5851127.55</v>
      </c>
      <c r="G18" s="21"/>
      <c r="H18" s="21"/>
      <c r="I18" s="16">
        <f t="shared" si="2"/>
        <v>-5851127.55</v>
      </c>
      <c r="J18" s="2">
        <f t="shared" si="3"/>
        <v>2686342.14</v>
      </c>
      <c r="K18" s="23">
        <v>2686342.14</v>
      </c>
      <c r="L18" s="4">
        <f t="shared" si="0"/>
        <v>1780776</v>
      </c>
      <c r="M18" s="4"/>
      <c r="N18" s="4">
        <f t="shared" si="4"/>
        <v>0</v>
      </c>
    </row>
    <row r="19" spans="1:14" ht="12.75">
      <c r="A19" s="7">
        <v>37744</v>
      </c>
      <c r="B19" s="11">
        <v>8873991.09</v>
      </c>
      <c r="C19" s="11"/>
      <c r="D19" s="11"/>
      <c r="E19" s="2">
        <f t="shared" si="1"/>
        <v>8873991.09</v>
      </c>
      <c r="F19" s="21">
        <v>-5481227.49</v>
      </c>
      <c r="G19" s="21"/>
      <c r="H19" s="21"/>
      <c r="I19" s="16">
        <f t="shared" si="2"/>
        <v>-5481227.49</v>
      </c>
      <c r="J19" s="2">
        <f t="shared" si="3"/>
        <v>3392763.6</v>
      </c>
      <c r="K19" s="23">
        <v>3392763.6</v>
      </c>
      <c r="L19" s="4">
        <f t="shared" si="0"/>
        <v>2249063</v>
      </c>
      <c r="M19" s="4"/>
      <c r="N19" s="4">
        <f t="shared" si="4"/>
        <v>0</v>
      </c>
    </row>
    <row r="20" spans="1:14" ht="12.75">
      <c r="A20" s="7">
        <v>37775</v>
      </c>
      <c r="B20" s="11">
        <v>8660967.49</v>
      </c>
      <c r="C20" s="11">
        <v>15</v>
      </c>
      <c r="D20" s="11"/>
      <c r="E20" s="2">
        <f t="shared" si="1"/>
        <v>8660982.49</v>
      </c>
      <c r="F20" s="21">
        <v>-5607613.37</v>
      </c>
      <c r="G20" s="21"/>
      <c r="H20" s="21"/>
      <c r="I20" s="16">
        <f t="shared" si="2"/>
        <v>-5607613.37</v>
      </c>
      <c r="J20" s="2">
        <f t="shared" si="3"/>
        <v>3053369.12</v>
      </c>
      <c r="K20" s="23">
        <v>3053369.12</v>
      </c>
      <c r="L20" s="4">
        <f t="shared" si="0"/>
        <v>2024078</v>
      </c>
      <c r="M20" s="4"/>
      <c r="N20" s="4">
        <f t="shared" si="4"/>
        <v>0</v>
      </c>
    </row>
    <row r="21" spans="1:16" ht="12.75">
      <c r="A21" s="7">
        <v>37805</v>
      </c>
      <c r="B21" s="11">
        <v>8254375.37</v>
      </c>
      <c r="C21" s="11"/>
      <c r="D21" s="11"/>
      <c r="E21" s="2">
        <f t="shared" si="1"/>
        <v>8254375.37</v>
      </c>
      <c r="F21" s="21">
        <v>-6699140.3</v>
      </c>
      <c r="G21" s="21">
        <v>235.57</v>
      </c>
      <c r="H21" s="21"/>
      <c r="I21" s="16">
        <f t="shared" si="2"/>
        <v>-6698904.73</v>
      </c>
      <c r="J21" s="2">
        <f t="shared" si="3"/>
        <v>1555470.64</v>
      </c>
      <c r="K21" s="22">
        <v>1555470.64</v>
      </c>
      <c r="L21" s="4">
        <f aca="true" t="shared" si="5" ref="L21:L26">K21*0.6629</f>
        <v>1031121</v>
      </c>
      <c r="M21" s="4"/>
      <c r="N21" s="4">
        <f t="shared" si="4"/>
        <v>0</v>
      </c>
      <c r="O21" s="19"/>
      <c r="P21" s="2"/>
    </row>
    <row r="22" spans="1:16" ht="12.75">
      <c r="A22" s="7">
        <v>37836</v>
      </c>
      <c r="B22" s="11">
        <v>8264853.07</v>
      </c>
      <c r="C22" s="11"/>
      <c r="D22" s="11"/>
      <c r="E22" s="2">
        <f t="shared" si="1"/>
        <v>8264853.07</v>
      </c>
      <c r="F22" s="21">
        <v>-6766681.07</v>
      </c>
      <c r="G22" s="21"/>
      <c r="H22" s="21"/>
      <c r="I22" s="16">
        <f t="shared" si="2"/>
        <v>-6766681.07</v>
      </c>
      <c r="J22" s="2">
        <f t="shared" si="3"/>
        <v>1498172</v>
      </c>
      <c r="K22" s="22">
        <v>1498172</v>
      </c>
      <c r="L22" s="4">
        <f t="shared" si="5"/>
        <v>993138</v>
      </c>
      <c r="M22" s="4"/>
      <c r="N22" s="4">
        <f t="shared" si="4"/>
        <v>0</v>
      </c>
      <c r="O22" s="19"/>
      <c r="P22" s="2"/>
    </row>
    <row r="23" spans="1:16" ht="12.75">
      <c r="A23" s="7">
        <v>37867</v>
      </c>
      <c r="B23" s="11">
        <v>8353771.85</v>
      </c>
      <c r="C23" s="11">
        <v>-5062.27</v>
      </c>
      <c r="D23" s="11"/>
      <c r="E23" s="2">
        <f t="shared" si="1"/>
        <v>8348709.58</v>
      </c>
      <c r="F23" s="21">
        <v>-6742759.51</v>
      </c>
      <c r="G23" s="21">
        <v>10683.07</v>
      </c>
      <c r="H23" s="21"/>
      <c r="I23" s="16">
        <f t="shared" si="2"/>
        <v>-6732076.44</v>
      </c>
      <c r="J23" s="2">
        <f t="shared" si="3"/>
        <v>1616633.14</v>
      </c>
      <c r="K23" s="23">
        <v>1616633.14</v>
      </c>
      <c r="L23" s="4">
        <f t="shared" si="5"/>
        <v>1071666</v>
      </c>
      <c r="M23" s="4"/>
      <c r="N23" s="4">
        <f t="shared" si="4"/>
        <v>0</v>
      </c>
      <c r="O23" s="19"/>
      <c r="P23" s="2"/>
    </row>
    <row r="24" spans="1:16" ht="12.75">
      <c r="A24" s="7">
        <v>37897</v>
      </c>
      <c r="B24" s="11">
        <v>5979728.77</v>
      </c>
      <c r="C24" s="11"/>
      <c r="D24" s="11"/>
      <c r="E24" s="2">
        <f t="shared" si="1"/>
        <v>5979728.77</v>
      </c>
      <c r="F24" s="21">
        <v>-4298809.91</v>
      </c>
      <c r="G24" s="21">
        <v>20159.83</v>
      </c>
      <c r="H24" s="21"/>
      <c r="I24" s="16">
        <f t="shared" si="2"/>
        <v>-4278650.08</v>
      </c>
      <c r="J24" s="2">
        <f t="shared" si="3"/>
        <v>1701078.69</v>
      </c>
      <c r="K24" s="24">
        <v>1701078.69</v>
      </c>
      <c r="L24" s="4">
        <f t="shared" si="5"/>
        <v>1127645</v>
      </c>
      <c r="M24" s="4"/>
      <c r="N24" s="4">
        <f t="shared" si="4"/>
        <v>0</v>
      </c>
      <c r="O24" s="19"/>
      <c r="P24" s="2"/>
    </row>
    <row r="25" spans="1:16" ht="12.75">
      <c r="A25" s="7">
        <v>37928</v>
      </c>
      <c r="B25" s="11">
        <v>5920922.7</v>
      </c>
      <c r="C25" s="11"/>
      <c r="D25" s="11"/>
      <c r="E25" s="2">
        <f t="shared" si="1"/>
        <v>5920922.7</v>
      </c>
      <c r="F25" s="21">
        <v>-4786704.5</v>
      </c>
      <c r="G25" s="21"/>
      <c r="H25" s="21"/>
      <c r="I25" s="16">
        <f t="shared" si="2"/>
        <v>-4786704.5</v>
      </c>
      <c r="J25" s="2">
        <f t="shared" si="3"/>
        <v>1134218.2</v>
      </c>
      <c r="K25" s="23">
        <v>1134218.2</v>
      </c>
      <c r="L25" s="4">
        <f t="shared" si="5"/>
        <v>751873</v>
      </c>
      <c r="M25" s="4"/>
      <c r="N25" s="4">
        <f t="shared" si="4"/>
        <v>0</v>
      </c>
      <c r="O25" s="19"/>
      <c r="P25" s="2"/>
    </row>
    <row r="26" spans="1:16" ht="12.75">
      <c r="A26" s="7">
        <v>37958</v>
      </c>
      <c r="B26" s="11">
        <v>7010125.87</v>
      </c>
      <c r="C26" s="11">
        <v>-4.4</v>
      </c>
      <c r="D26" s="11">
        <v>169600</v>
      </c>
      <c r="E26" s="17">
        <f t="shared" si="1"/>
        <v>7179721.47</v>
      </c>
      <c r="F26" s="21">
        <v>-6469000.12</v>
      </c>
      <c r="G26" s="21">
        <v>39</v>
      </c>
      <c r="H26" s="21">
        <v>-237050</v>
      </c>
      <c r="I26" s="18">
        <f t="shared" si="2"/>
        <v>-6706011.12</v>
      </c>
      <c r="J26" s="2">
        <f t="shared" si="3"/>
        <v>473710.35</v>
      </c>
      <c r="K26" s="25">
        <v>473710.35</v>
      </c>
      <c r="L26" s="4">
        <f t="shared" si="5"/>
        <v>314023</v>
      </c>
      <c r="M26" s="4"/>
      <c r="N26" s="4">
        <f t="shared" si="4"/>
        <v>0</v>
      </c>
      <c r="O26" s="19"/>
      <c r="P26" s="2"/>
    </row>
    <row r="27" spans="1:16" ht="12.75">
      <c r="A27" s="7"/>
      <c r="B27" s="2"/>
      <c r="C27" s="2"/>
      <c r="D27" s="2"/>
      <c r="J27" s="2">
        <f>SUM(J15:J26)</f>
        <v>25309295.87</v>
      </c>
      <c r="K27" s="2">
        <f>SUM(K15:K26)</f>
        <v>25309295.87</v>
      </c>
      <c r="L27" s="4"/>
      <c r="M27" s="4"/>
      <c r="N27" s="4"/>
      <c r="O27" s="19"/>
      <c r="P27" s="2"/>
    </row>
    <row r="28" spans="1:16" ht="12.75">
      <c r="A28" s="7"/>
      <c r="B28" s="2"/>
      <c r="C28" s="2"/>
      <c r="D28" s="2"/>
      <c r="E28" s="11">
        <f>SUM(E15:E26)</f>
        <v>96765280.88</v>
      </c>
      <c r="F28" s="2"/>
      <c r="G28" s="2"/>
      <c r="H28" s="2"/>
      <c r="I28" s="21">
        <f>SUM(I15:I26)</f>
        <v>-71455985.01</v>
      </c>
      <c r="J28" s="2"/>
      <c r="K28" s="11">
        <f>E28+I28</f>
        <v>25309295.87</v>
      </c>
      <c r="L28" s="4"/>
      <c r="M28" s="4"/>
      <c r="N28" s="4"/>
      <c r="O28" s="19"/>
      <c r="P28" s="2"/>
    </row>
    <row r="29" spans="1:16" ht="12.75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4"/>
      <c r="M29" s="4"/>
      <c r="N29" s="4"/>
      <c r="O29" s="12"/>
      <c r="P29" s="2"/>
    </row>
    <row r="30" spans="10:15" ht="12.75">
      <c r="J30" s="3"/>
      <c r="K30" s="3"/>
      <c r="L30" s="3"/>
      <c r="M30" s="3"/>
      <c r="N30" s="3"/>
      <c r="O30" s="12"/>
    </row>
    <row r="31" spans="1:15" ht="12.75">
      <c r="A31" t="s">
        <v>15</v>
      </c>
      <c r="O31" s="13"/>
    </row>
    <row r="32" ht="12.75">
      <c r="O32" s="13"/>
    </row>
    <row r="33" ht="12.75">
      <c r="O33" s="13"/>
    </row>
    <row r="34" ht="12.75">
      <c r="O34" s="13"/>
    </row>
    <row r="35" ht="12.75">
      <c r="O35" s="14"/>
    </row>
    <row r="36" ht="12.75">
      <c r="O36" s="14"/>
    </row>
    <row r="37" ht="12.75">
      <c r="O37" s="13"/>
    </row>
    <row r="38" ht="12.75">
      <c r="O38" s="15"/>
    </row>
    <row r="39" ht="12.75">
      <c r="O39" s="13"/>
    </row>
    <row r="40" ht="12.75">
      <c r="O40" s="14"/>
    </row>
    <row r="41" ht="12.75">
      <c r="O41" s="12"/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C8">
      <selection activeCell="A8" sqref="A1:IV16384"/>
    </sheetView>
  </sheetViews>
  <sheetFormatPr defaultColWidth="9.140625" defaultRowHeight="12.75"/>
  <cols>
    <col min="2" max="5" width="14.57421875" style="0" customWidth="1"/>
    <col min="6" max="7" width="14.7109375" style="0" customWidth="1"/>
    <col min="8" max="8" width="16.7109375" style="0" customWidth="1"/>
    <col min="9" max="9" width="14.7109375" style="0" customWidth="1"/>
    <col min="10" max="10" width="0.2890625" style="0" customWidth="1"/>
    <col min="11" max="11" width="14.00390625" style="0" customWidth="1"/>
    <col min="12" max="14" width="15.00390625" style="0" customWidth="1"/>
    <col min="15" max="15" width="13.28125" style="0" bestFit="1" customWidth="1"/>
    <col min="16" max="16" width="16.421875" style="0" customWidth="1"/>
  </cols>
  <sheetData>
    <row r="1" ht="12.75">
      <c r="A1" s="6" t="s">
        <v>20</v>
      </c>
    </row>
    <row r="2" ht="11.25" customHeight="1"/>
    <row r="3" ht="12.75">
      <c r="A3" s="6" t="s">
        <v>8</v>
      </c>
    </row>
    <row r="4" ht="12.75">
      <c r="A4" s="6" t="s">
        <v>9</v>
      </c>
    </row>
    <row r="5" ht="12.75">
      <c r="A5" s="6" t="s">
        <v>10</v>
      </c>
    </row>
    <row r="6" ht="12.75">
      <c r="A6" s="6" t="s">
        <v>33</v>
      </c>
    </row>
    <row r="10" spans="2:14" ht="12.75">
      <c r="B10" s="1" t="s">
        <v>25</v>
      </c>
      <c r="C10" s="1" t="s">
        <v>25</v>
      </c>
      <c r="D10" s="1" t="s">
        <v>26</v>
      </c>
      <c r="E10" s="1"/>
      <c r="F10" s="1" t="s">
        <v>25</v>
      </c>
      <c r="G10" s="1" t="s">
        <v>25</v>
      </c>
      <c r="H10" s="1" t="s">
        <v>26</v>
      </c>
      <c r="I10" s="1"/>
      <c r="J10" s="1"/>
      <c r="K10" s="1" t="s">
        <v>5</v>
      </c>
      <c r="L10" s="1" t="s">
        <v>16</v>
      </c>
      <c r="M10" s="1"/>
      <c r="N10" s="1"/>
    </row>
    <row r="11" spans="2:14" ht="12.75">
      <c r="B11" s="1" t="s">
        <v>0</v>
      </c>
      <c r="C11" s="1" t="s">
        <v>0</v>
      </c>
      <c r="D11" s="1" t="s">
        <v>0</v>
      </c>
      <c r="E11" s="1" t="s">
        <v>0</v>
      </c>
      <c r="F11" s="9" t="s">
        <v>4</v>
      </c>
      <c r="G11" s="1" t="s">
        <v>4</v>
      </c>
      <c r="H11" s="1" t="s">
        <v>4</v>
      </c>
      <c r="I11" s="1" t="s">
        <v>4</v>
      </c>
      <c r="J11" s="1" t="s">
        <v>31</v>
      </c>
      <c r="K11" s="1" t="s">
        <v>6</v>
      </c>
      <c r="L11" s="1" t="s">
        <v>17</v>
      </c>
      <c r="M11" s="1"/>
      <c r="N11" s="1"/>
    </row>
    <row r="12" spans="2:14" ht="12.75">
      <c r="B12" s="1" t="s">
        <v>23</v>
      </c>
      <c r="C12" s="1" t="s">
        <v>1</v>
      </c>
      <c r="D12" s="1" t="s">
        <v>27</v>
      </c>
      <c r="E12" s="1" t="s">
        <v>1</v>
      </c>
      <c r="F12" s="1" t="s">
        <v>23</v>
      </c>
      <c r="G12" s="1" t="s">
        <v>1</v>
      </c>
      <c r="H12" s="1" t="s">
        <v>28</v>
      </c>
      <c r="I12" s="1" t="s">
        <v>1</v>
      </c>
      <c r="K12" s="1" t="s">
        <v>7</v>
      </c>
      <c r="L12" s="9" t="s">
        <v>18</v>
      </c>
      <c r="M12" s="9"/>
      <c r="N12" s="9"/>
    </row>
    <row r="13" spans="1:14" ht="12.75">
      <c r="A13" s="5" t="s">
        <v>13</v>
      </c>
      <c r="B13" s="5" t="s">
        <v>13</v>
      </c>
      <c r="C13" s="5" t="s">
        <v>21</v>
      </c>
      <c r="D13" s="5" t="s">
        <v>2</v>
      </c>
      <c r="E13" s="5" t="s">
        <v>2</v>
      </c>
      <c r="F13" s="5" t="s">
        <v>13</v>
      </c>
      <c r="G13" s="5" t="s">
        <v>22</v>
      </c>
      <c r="H13" s="5" t="s">
        <v>29</v>
      </c>
      <c r="I13" s="5" t="s">
        <v>3</v>
      </c>
      <c r="J13" s="5" t="s">
        <v>32</v>
      </c>
      <c r="K13" s="5" t="s">
        <v>14</v>
      </c>
      <c r="L13" s="8" t="s">
        <v>19</v>
      </c>
      <c r="M13" s="8"/>
      <c r="N13" s="20" t="s">
        <v>30</v>
      </c>
    </row>
    <row r="14" ht="12.75">
      <c r="A14" s="1"/>
    </row>
    <row r="15" spans="1:14" ht="12.75">
      <c r="A15" s="7">
        <v>37989</v>
      </c>
      <c r="B15" s="11">
        <v>9902167.55</v>
      </c>
      <c r="C15" s="11"/>
      <c r="D15" s="11"/>
      <c r="E15" s="2">
        <f>SUM(B15:D15)</f>
        <v>9902167.55</v>
      </c>
      <c r="F15" s="21">
        <v>-9720151.08</v>
      </c>
      <c r="G15" s="21"/>
      <c r="H15" s="21"/>
      <c r="I15" s="16">
        <f>SUM(F15:H15)</f>
        <v>-9720151.08</v>
      </c>
      <c r="J15" s="2">
        <f>E15+I15</f>
        <v>182016.47</v>
      </c>
      <c r="K15" s="19">
        <f>E15+I15</f>
        <v>182016.47</v>
      </c>
      <c r="L15" s="4">
        <f aca="true" t="shared" si="0" ref="L15:L26">K15*0.6629</f>
        <v>120659</v>
      </c>
      <c r="M15" s="4"/>
      <c r="N15" s="4">
        <f>J15-K15</f>
        <v>0</v>
      </c>
    </row>
    <row r="16" spans="1:14" ht="12.75">
      <c r="A16" s="7">
        <v>38020</v>
      </c>
      <c r="B16" s="11">
        <v>6831780.05</v>
      </c>
      <c r="C16" s="11"/>
      <c r="D16" s="11">
        <v>381600</v>
      </c>
      <c r="E16" s="2">
        <f aca="true" t="shared" si="1" ref="E16:E26">SUM(B16:D16)</f>
        <v>7213380.05</v>
      </c>
      <c r="F16" s="21">
        <v>-6632054.8</v>
      </c>
      <c r="G16" s="21"/>
      <c r="H16" s="21">
        <v>-479325</v>
      </c>
      <c r="I16" s="16">
        <f aca="true" t="shared" si="2" ref="I16:I26">SUM(F16:H16)</f>
        <v>-7111379.8</v>
      </c>
      <c r="J16" s="2">
        <f aca="true" t="shared" si="3" ref="J16:J26">E16+I16</f>
        <v>102000.25</v>
      </c>
      <c r="K16" s="19">
        <f aca="true" t="shared" si="4" ref="K16:K26">E16+I16</f>
        <v>102000.25</v>
      </c>
      <c r="L16" s="4">
        <f t="shared" si="0"/>
        <v>67616</v>
      </c>
      <c r="M16" s="4"/>
      <c r="N16" s="4">
        <f aca="true" t="shared" si="5" ref="N16:N26">J16-K16</f>
        <v>0</v>
      </c>
    </row>
    <row r="17" spans="1:14" ht="12.75">
      <c r="A17" s="7">
        <v>38049</v>
      </c>
      <c r="B17" s="11">
        <v>7199237.36</v>
      </c>
      <c r="C17" s="11"/>
      <c r="D17" s="11"/>
      <c r="E17" s="2">
        <f t="shared" si="1"/>
        <v>7199237.36</v>
      </c>
      <c r="F17" s="21">
        <v>-6197395.07</v>
      </c>
      <c r="G17" s="21"/>
      <c r="H17" s="21"/>
      <c r="I17" s="16">
        <f t="shared" si="2"/>
        <v>-6197395.07</v>
      </c>
      <c r="J17" s="2">
        <f t="shared" si="3"/>
        <v>1001842.29</v>
      </c>
      <c r="K17" s="19">
        <f t="shared" si="4"/>
        <v>1001842.29</v>
      </c>
      <c r="L17" s="4">
        <f t="shared" si="0"/>
        <v>664121</v>
      </c>
      <c r="M17" s="4"/>
      <c r="N17" s="4">
        <f t="shared" si="5"/>
        <v>0</v>
      </c>
    </row>
    <row r="18" spans="1:14" ht="12.75">
      <c r="A18" s="7">
        <v>38080</v>
      </c>
      <c r="B18" s="11">
        <v>6454280.66</v>
      </c>
      <c r="C18" s="11"/>
      <c r="D18" s="11"/>
      <c r="E18" s="2">
        <f t="shared" si="1"/>
        <v>6454280.66</v>
      </c>
      <c r="F18" s="21">
        <v>-5076507.4</v>
      </c>
      <c r="G18" s="21"/>
      <c r="H18" s="21"/>
      <c r="I18" s="16">
        <f t="shared" si="2"/>
        <v>-5076507.4</v>
      </c>
      <c r="J18" s="2">
        <f t="shared" si="3"/>
        <v>1377773.26</v>
      </c>
      <c r="K18" s="19">
        <f t="shared" si="4"/>
        <v>1377773.26</v>
      </c>
      <c r="L18" s="4">
        <f t="shared" si="0"/>
        <v>913326</v>
      </c>
      <c r="M18" s="4"/>
      <c r="N18" s="4">
        <f t="shared" si="5"/>
        <v>0</v>
      </c>
    </row>
    <row r="19" spans="1:14" ht="12.75">
      <c r="A19" s="7">
        <v>38110</v>
      </c>
      <c r="B19" s="11">
        <v>6741873.26</v>
      </c>
      <c r="C19" s="11"/>
      <c r="D19" s="11">
        <v>129268.52</v>
      </c>
      <c r="E19" s="2">
        <f t="shared" si="1"/>
        <v>6871141.78</v>
      </c>
      <c r="F19" s="21">
        <v>-5501108.2</v>
      </c>
      <c r="G19" s="21"/>
      <c r="H19" s="21"/>
      <c r="I19" s="16">
        <f t="shared" si="2"/>
        <v>-5501108.2</v>
      </c>
      <c r="J19" s="2">
        <f t="shared" si="3"/>
        <v>1370033.58</v>
      </c>
      <c r="K19" s="19">
        <f t="shared" si="4"/>
        <v>1370033.58</v>
      </c>
      <c r="L19" s="4">
        <f t="shared" si="0"/>
        <v>908195</v>
      </c>
      <c r="M19" s="4"/>
      <c r="N19" s="4">
        <f t="shared" si="5"/>
        <v>0</v>
      </c>
    </row>
    <row r="20" spans="1:14" ht="12.75">
      <c r="A20" s="7">
        <v>38141</v>
      </c>
      <c r="B20" s="11">
        <v>7354716.36</v>
      </c>
      <c r="C20" s="11"/>
      <c r="D20" s="11"/>
      <c r="E20" s="2">
        <f t="shared" si="1"/>
        <v>7354716.36</v>
      </c>
      <c r="F20" s="21">
        <v>-5750391.19</v>
      </c>
      <c r="G20" s="21"/>
      <c r="H20" s="21"/>
      <c r="I20" s="16">
        <f t="shared" si="2"/>
        <v>-5750391.19</v>
      </c>
      <c r="J20" s="2">
        <f t="shared" si="3"/>
        <v>1604325.17</v>
      </c>
      <c r="K20" s="19">
        <f t="shared" si="4"/>
        <v>1604325.17</v>
      </c>
      <c r="L20" s="4">
        <f t="shared" si="0"/>
        <v>1063507</v>
      </c>
      <c r="M20" s="4"/>
      <c r="N20" s="4">
        <f t="shared" si="5"/>
        <v>0</v>
      </c>
    </row>
    <row r="21" spans="1:16" ht="12.75">
      <c r="A21" s="7">
        <v>38171</v>
      </c>
      <c r="B21" s="11">
        <v>8324157.59</v>
      </c>
      <c r="C21" s="11"/>
      <c r="D21" s="11"/>
      <c r="E21" s="2">
        <f t="shared" si="1"/>
        <v>8324157.59</v>
      </c>
      <c r="F21" s="21">
        <v>-7297900.43</v>
      </c>
      <c r="G21" s="21"/>
      <c r="H21" s="21"/>
      <c r="I21" s="16">
        <f t="shared" si="2"/>
        <v>-7297900.43</v>
      </c>
      <c r="J21" s="2">
        <f t="shared" si="3"/>
        <v>1026257.16</v>
      </c>
      <c r="K21" s="19">
        <f t="shared" si="4"/>
        <v>1026257.16</v>
      </c>
      <c r="L21" s="4">
        <f t="shared" si="0"/>
        <v>680306</v>
      </c>
      <c r="M21" s="4"/>
      <c r="N21" s="4">
        <f t="shared" si="5"/>
        <v>0</v>
      </c>
      <c r="O21" s="19"/>
      <c r="P21" s="2"/>
    </row>
    <row r="22" spans="1:16" ht="12.75">
      <c r="A22" s="7">
        <v>38202</v>
      </c>
      <c r="B22" s="11">
        <v>8172592.62</v>
      </c>
      <c r="C22" s="11"/>
      <c r="D22" s="11"/>
      <c r="E22" s="2">
        <f t="shared" si="1"/>
        <v>8172592.62</v>
      </c>
      <c r="F22" s="21">
        <v>-7254833.36</v>
      </c>
      <c r="G22" s="21"/>
      <c r="H22" s="21"/>
      <c r="I22" s="16">
        <f t="shared" si="2"/>
        <v>-7254833.36</v>
      </c>
      <c r="J22" s="2">
        <f t="shared" si="3"/>
        <v>917759.26</v>
      </c>
      <c r="K22" s="19">
        <f t="shared" si="4"/>
        <v>917759.26</v>
      </c>
      <c r="L22" s="4">
        <f t="shared" si="0"/>
        <v>608383</v>
      </c>
      <c r="M22" s="4"/>
      <c r="N22" s="4">
        <f t="shared" si="5"/>
        <v>0</v>
      </c>
      <c r="O22" s="19"/>
      <c r="P22" s="2"/>
    </row>
    <row r="23" spans="1:16" ht="12.75">
      <c r="A23" s="7">
        <v>38233</v>
      </c>
      <c r="B23" s="11">
        <v>5791942.4</v>
      </c>
      <c r="C23" s="11"/>
      <c r="D23" s="11"/>
      <c r="E23" s="2">
        <f t="shared" si="1"/>
        <v>5791942.4</v>
      </c>
      <c r="F23" s="21">
        <v>-5016366.11</v>
      </c>
      <c r="G23" s="21"/>
      <c r="H23" s="21"/>
      <c r="I23" s="16">
        <f t="shared" si="2"/>
        <v>-5016366.11</v>
      </c>
      <c r="J23" s="2">
        <f t="shared" si="3"/>
        <v>775576.29</v>
      </c>
      <c r="K23" s="19">
        <f t="shared" si="4"/>
        <v>775576.29</v>
      </c>
      <c r="L23" s="4">
        <f t="shared" si="0"/>
        <v>514130</v>
      </c>
      <c r="M23" s="4"/>
      <c r="N23" s="4">
        <f t="shared" si="5"/>
        <v>0</v>
      </c>
      <c r="O23" s="19"/>
      <c r="P23" s="2"/>
    </row>
    <row r="24" spans="1:16" ht="12.75">
      <c r="A24" s="7">
        <v>38263</v>
      </c>
      <c r="B24" s="11">
        <v>3776728.9</v>
      </c>
      <c r="C24" s="11"/>
      <c r="D24" s="11"/>
      <c r="E24" s="2">
        <f t="shared" si="1"/>
        <v>3776728.9</v>
      </c>
      <c r="F24" s="21">
        <v>-3248539.14</v>
      </c>
      <c r="G24" s="21"/>
      <c r="H24" s="21"/>
      <c r="I24" s="16">
        <f t="shared" si="2"/>
        <v>-3248539.14</v>
      </c>
      <c r="J24" s="2">
        <f t="shared" si="3"/>
        <v>528189.76</v>
      </c>
      <c r="K24" s="19">
        <f t="shared" si="4"/>
        <v>528189.76</v>
      </c>
      <c r="L24" s="4">
        <f t="shared" si="0"/>
        <v>350137</v>
      </c>
      <c r="M24" s="4"/>
      <c r="N24" s="4">
        <f t="shared" si="5"/>
        <v>0</v>
      </c>
      <c r="O24" s="19"/>
      <c r="P24" s="2"/>
    </row>
    <row r="25" spans="1:16" ht="12.75">
      <c r="A25" s="7">
        <v>38294</v>
      </c>
      <c r="B25" s="11">
        <v>208675.96</v>
      </c>
      <c r="C25" s="11">
        <v>-25452</v>
      </c>
      <c r="D25" s="11"/>
      <c r="E25" s="2">
        <f t="shared" si="1"/>
        <v>183223.96</v>
      </c>
      <c r="F25" s="21">
        <v>-219188.6</v>
      </c>
      <c r="G25" s="21"/>
      <c r="H25" s="21"/>
      <c r="I25" s="16">
        <f t="shared" si="2"/>
        <v>-219188.6</v>
      </c>
      <c r="J25" s="2">
        <f t="shared" si="3"/>
        <v>-35964.64</v>
      </c>
      <c r="K25" s="19">
        <f t="shared" si="4"/>
        <v>-35964.64</v>
      </c>
      <c r="L25" s="4">
        <f t="shared" si="0"/>
        <v>-23841</v>
      </c>
      <c r="M25" s="4"/>
      <c r="N25" s="4">
        <f t="shared" si="5"/>
        <v>0</v>
      </c>
      <c r="O25" s="19"/>
      <c r="P25" s="2"/>
    </row>
    <row r="26" spans="1:16" ht="12.75">
      <c r="A26" s="7">
        <v>38324</v>
      </c>
      <c r="B26" s="11">
        <v>1358189.99</v>
      </c>
      <c r="C26" s="11"/>
      <c r="D26" s="11"/>
      <c r="E26" s="17">
        <f t="shared" si="1"/>
        <v>1358189.99</v>
      </c>
      <c r="F26" s="21">
        <v>-1595996</v>
      </c>
      <c r="G26" s="21"/>
      <c r="H26" s="21"/>
      <c r="I26" s="18">
        <f t="shared" si="2"/>
        <v>-1595996</v>
      </c>
      <c r="J26" s="2">
        <f t="shared" si="3"/>
        <v>-237806.01</v>
      </c>
      <c r="K26" s="19">
        <f t="shared" si="4"/>
        <v>-237806.01</v>
      </c>
      <c r="L26" s="4">
        <f t="shared" si="0"/>
        <v>-157642</v>
      </c>
      <c r="M26" s="4"/>
      <c r="N26" s="4">
        <f t="shared" si="5"/>
        <v>0</v>
      </c>
      <c r="O26" s="19"/>
      <c r="P26" s="2"/>
    </row>
    <row r="27" spans="1:16" ht="12.75">
      <c r="A27" s="7"/>
      <c r="B27" s="2"/>
      <c r="C27" s="2"/>
      <c r="D27" s="2"/>
      <c r="J27" s="2">
        <f>SUM(J15:J26)</f>
        <v>8612002.84</v>
      </c>
      <c r="K27" s="2" t="s">
        <v>34</v>
      </c>
      <c r="L27" s="4"/>
      <c r="M27" s="4"/>
      <c r="N27" s="4"/>
      <c r="O27" s="19"/>
      <c r="P27" s="2"/>
    </row>
    <row r="28" spans="1:16" ht="12.75">
      <c r="A28" s="7"/>
      <c r="B28" s="2"/>
      <c r="C28" s="2"/>
      <c r="D28" s="2"/>
      <c r="E28" s="11">
        <f>SUM(E15:E26)</f>
        <v>72601759.22</v>
      </c>
      <c r="F28" s="2"/>
      <c r="G28" s="2"/>
      <c r="H28" s="2"/>
      <c r="I28" s="21">
        <f>SUM(I15:I26)</f>
        <v>-63989756.38</v>
      </c>
      <c r="J28" s="2"/>
      <c r="K28" s="11">
        <f>E28+I28</f>
        <v>8612002.84</v>
      </c>
      <c r="L28" s="4"/>
      <c r="M28" s="4"/>
      <c r="N28" s="4"/>
      <c r="O28" s="19"/>
      <c r="P28" s="2"/>
    </row>
    <row r="29" spans="1:16" ht="12.75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4"/>
      <c r="M29" s="4"/>
      <c r="N29" s="4"/>
      <c r="O29" s="12"/>
      <c r="P29" s="2"/>
    </row>
    <row r="30" spans="10:15" ht="12.75">
      <c r="J30" s="3"/>
      <c r="K30" s="3"/>
      <c r="L30" s="3"/>
      <c r="M30" s="3"/>
      <c r="N30" s="3"/>
      <c r="O30" s="12"/>
    </row>
    <row r="31" spans="1:15" ht="12.75">
      <c r="A31" t="s">
        <v>15</v>
      </c>
      <c r="O31" s="13"/>
    </row>
    <row r="32" ht="12.75">
      <c r="O32" s="13"/>
    </row>
    <row r="33" ht="12.75">
      <c r="O33" s="13"/>
    </row>
    <row r="34" ht="12.75">
      <c r="O34" s="13"/>
    </row>
    <row r="35" ht="12.75">
      <c r="O35" s="14"/>
    </row>
    <row r="36" ht="12.75">
      <c r="O36" s="14"/>
    </row>
    <row r="37" ht="12.75">
      <c r="O37" s="13"/>
    </row>
    <row r="38" ht="12.75">
      <c r="O38" s="15"/>
    </row>
    <row r="39" ht="12.75">
      <c r="O39" s="13"/>
    </row>
    <row r="40" ht="12.75">
      <c r="O40" s="14"/>
    </row>
    <row r="41" ht="12.75">
      <c r="O41" s="12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4">
      <selection activeCell="A31" sqref="A31:IV33"/>
    </sheetView>
  </sheetViews>
  <sheetFormatPr defaultColWidth="9.140625" defaultRowHeight="12.75"/>
  <cols>
    <col min="2" max="2" width="14.57421875" style="0" customWidth="1"/>
    <col min="3" max="3" width="14.57421875" style="0" bestFit="1" customWidth="1"/>
    <col min="4" max="4" width="14.57421875" style="0" customWidth="1"/>
    <col min="5" max="5" width="4.421875" style="0" customWidth="1"/>
    <col min="6" max="6" width="14.7109375" style="0" customWidth="1"/>
    <col min="7" max="7" width="14.57421875" style="0" bestFit="1" customWidth="1"/>
    <col min="8" max="8" width="14.7109375" style="0" customWidth="1"/>
    <col min="9" max="9" width="2.7109375" style="0" customWidth="1"/>
    <col min="10" max="10" width="14.00390625" style="0" customWidth="1"/>
    <col min="11" max="11" width="18.140625" style="0" customWidth="1"/>
    <col min="12" max="12" width="2.8515625" style="0" customWidth="1"/>
    <col min="13" max="13" width="13.28125" style="0" bestFit="1" customWidth="1"/>
    <col min="14" max="14" width="16.421875" style="0" customWidth="1"/>
  </cols>
  <sheetData>
    <row r="1" ht="12.75">
      <c r="A1" s="6" t="s">
        <v>20</v>
      </c>
    </row>
    <row r="2" ht="11.25" customHeight="1"/>
    <row r="3" ht="12.75">
      <c r="A3" s="6" t="s">
        <v>8</v>
      </c>
    </row>
    <row r="4" ht="12.75">
      <c r="A4" s="6" t="s">
        <v>9</v>
      </c>
    </row>
    <row r="5" ht="12.75">
      <c r="A5" s="6" t="s">
        <v>10</v>
      </c>
    </row>
    <row r="6" ht="12.75">
      <c r="A6" s="6" t="s">
        <v>35</v>
      </c>
    </row>
    <row r="10" spans="2:12" ht="12.75">
      <c r="B10" s="1" t="s">
        <v>43</v>
      </c>
      <c r="C10" s="1" t="s">
        <v>43</v>
      </c>
      <c r="D10" s="1" t="s">
        <v>44</v>
      </c>
      <c r="E10" s="1"/>
      <c r="F10" s="1" t="s">
        <v>42</v>
      </c>
      <c r="G10" s="1" t="s">
        <v>42</v>
      </c>
      <c r="H10" s="1" t="s">
        <v>44</v>
      </c>
      <c r="I10" s="1"/>
      <c r="J10" s="1" t="s">
        <v>5</v>
      </c>
      <c r="K10" s="1" t="s">
        <v>16</v>
      </c>
      <c r="L10" s="1"/>
    </row>
    <row r="11" spans="2:12" ht="12.75">
      <c r="B11" s="1" t="s">
        <v>40</v>
      </c>
      <c r="C11" s="1" t="s">
        <v>41</v>
      </c>
      <c r="D11" s="1" t="s">
        <v>0</v>
      </c>
      <c r="E11" s="1"/>
      <c r="F11" s="9" t="s">
        <v>37</v>
      </c>
      <c r="G11" s="1" t="s">
        <v>38</v>
      </c>
      <c r="H11" s="1" t="s">
        <v>4</v>
      </c>
      <c r="I11" s="1"/>
      <c r="J11" s="1" t="s">
        <v>6</v>
      </c>
      <c r="K11" s="1" t="s">
        <v>17</v>
      </c>
      <c r="L11" s="1"/>
    </row>
    <row r="12" spans="2:12" ht="12.75">
      <c r="B12" s="1" t="s">
        <v>23</v>
      </c>
      <c r="C12" s="1" t="s">
        <v>39</v>
      </c>
      <c r="D12" s="1" t="s">
        <v>39</v>
      </c>
      <c r="E12" s="1"/>
      <c r="F12" s="1" t="s">
        <v>23</v>
      </c>
      <c r="G12" s="1" t="s">
        <v>39</v>
      </c>
      <c r="H12" s="1" t="s">
        <v>46</v>
      </c>
      <c r="I12" s="1"/>
      <c r="J12" s="1" t="s">
        <v>7</v>
      </c>
      <c r="K12" s="9" t="s">
        <v>18</v>
      </c>
      <c r="L12" s="9"/>
    </row>
    <row r="13" spans="1:12" ht="12.75">
      <c r="A13" s="5" t="s">
        <v>13</v>
      </c>
      <c r="B13" s="5" t="s">
        <v>48</v>
      </c>
      <c r="C13" s="5" t="s">
        <v>50</v>
      </c>
      <c r="D13" s="5" t="s">
        <v>45</v>
      </c>
      <c r="E13" s="5"/>
      <c r="F13" s="5" t="s">
        <v>13</v>
      </c>
      <c r="G13" s="5" t="s">
        <v>50</v>
      </c>
      <c r="H13" s="5" t="s">
        <v>47</v>
      </c>
      <c r="I13" s="5"/>
      <c r="J13" s="5" t="s">
        <v>49</v>
      </c>
      <c r="K13" s="8" t="s">
        <v>19</v>
      </c>
      <c r="L13" s="8"/>
    </row>
    <row r="14" ht="12.75">
      <c r="A14" s="1"/>
    </row>
    <row r="15" spans="1:12" ht="12.75">
      <c r="A15" s="7">
        <v>38353</v>
      </c>
      <c r="B15" s="45">
        <v>3002895.88</v>
      </c>
      <c r="C15" s="46"/>
      <c r="D15" s="33">
        <f aca="true" t="shared" si="0" ref="D15:D26">SUM(B15:C15)</f>
        <v>3002895.88</v>
      </c>
      <c r="E15" s="2"/>
      <c r="F15" s="51">
        <f>-3459130.93</f>
        <v>-3459130.93</v>
      </c>
      <c r="G15" s="52"/>
      <c r="H15" s="36">
        <f aca="true" t="shared" si="1" ref="H15:H26">SUM(F15:G15)</f>
        <v>-3459130.93</v>
      </c>
      <c r="I15" s="39"/>
      <c r="J15" s="41">
        <f aca="true" t="shared" si="2" ref="J15:J26">D15+H15</f>
        <v>-456235.05</v>
      </c>
      <c r="K15" s="4">
        <f aca="true" t="shared" si="3" ref="K15:K26">J15*0.6629</f>
        <v>-302438</v>
      </c>
      <c r="L15" s="4"/>
    </row>
    <row r="16" spans="1:12" ht="12.75">
      <c r="A16" s="7">
        <v>38384</v>
      </c>
      <c r="B16" s="47">
        <v>299001.34</v>
      </c>
      <c r="C16" s="48"/>
      <c r="D16" s="34">
        <f t="shared" si="0"/>
        <v>299001.34</v>
      </c>
      <c r="E16" s="2"/>
      <c r="F16" s="53">
        <v>-390866.74</v>
      </c>
      <c r="G16" s="40"/>
      <c r="H16" s="37">
        <f t="shared" si="1"/>
        <v>-390866.74</v>
      </c>
      <c r="I16" s="39"/>
      <c r="J16" s="42">
        <f t="shared" si="2"/>
        <v>-91865.4</v>
      </c>
      <c r="K16" s="4">
        <f t="shared" si="3"/>
        <v>-60898</v>
      </c>
      <c r="L16" s="4"/>
    </row>
    <row r="17" spans="1:12" ht="12.75">
      <c r="A17" s="7">
        <v>38412</v>
      </c>
      <c r="B17" s="47">
        <v>5283016.09</v>
      </c>
      <c r="C17" s="48"/>
      <c r="D17" s="34">
        <f t="shared" si="0"/>
        <v>5283016.09</v>
      </c>
      <c r="E17" s="2"/>
      <c r="F17" s="53">
        <v>-5797262.82</v>
      </c>
      <c r="G17" s="40"/>
      <c r="H17" s="37">
        <f t="shared" si="1"/>
        <v>-5797262.82</v>
      </c>
      <c r="I17" s="39"/>
      <c r="J17" s="42">
        <f t="shared" si="2"/>
        <v>-514246.73</v>
      </c>
      <c r="K17" s="4">
        <f t="shared" si="3"/>
        <v>-340894</v>
      </c>
      <c r="L17" s="4"/>
    </row>
    <row r="18" spans="1:12" ht="12.75">
      <c r="A18" s="7">
        <v>38443</v>
      </c>
      <c r="B18" s="47">
        <v>1272570.39</v>
      </c>
      <c r="C18" s="48"/>
      <c r="D18" s="34">
        <f t="shared" si="0"/>
        <v>1272570.39</v>
      </c>
      <c r="E18" s="2"/>
      <c r="F18" s="53">
        <v>-1474520.28</v>
      </c>
      <c r="G18" s="40"/>
      <c r="H18" s="37">
        <f t="shared" si="1"/>
        <v>-1474520.28</v>
      </c>
      <c r="I18" s="39"/>
      <c r="J18" s="42">
        <f t="shared" si="2"/>
        <v>-201949.89</v>
      </c>
      <c r="K18" s="4">
        <f t="shared" si="3"/>
        <v>-133873</v>
      </c>
      <c r="L18" s="4"/>
    </row>
    <row r="19" spans="1:12" ht="12.75">
      <c r="A19" s="7">
        <v>38473</v>
      </c>
      <c r="B19" s="47">
        <v>7189592.54</v>
      </c>
      <c r="C19" s="48"/>
      <c r="D19" s="34">
        <f t="shared" si="0"/>
        <v>7189592.54</v>
      </c>
      <c r="E19" s="2"/>
      <c r="F19" s="53">
        <v>-7796484.28</v>
      </c>
      <c r="G19" s="40"/>
      <c r="H19" s="37">
        <f t="shared" si="1"/>
        <v>-7796484.28</v>
      </c>
      <c r="I19" s="39"/>
      <c r="J19" s="42">
        <f t="shared" si="2"/>
        <v>-606891.74</v>
      </c>
      <c r="K19" s="4">
        <f t="shared" si="3"/>
        <v>-402309</v>
      </c>
      <c r="L19" s="4"/>
    </row>
    <row r="20" spans="1:12" ht="12.75">
      <c r="A20" s="7">
        <v>38504</v>
      </c>
      <c r="B20" s="47">
        <v>7931259.66</v>
      </c>
      <c r="C20" s="48"/>
      <c r="D20" s="34">
        <f t="shared" si="0"/>
        <v>7931259.66</v>
      </c>
      <c r="E20" s="2"/>
      <c r="F20" s="53">
        <v>-7334908</v>
      </c>
      <c r="G20" s="40"/>
      <c r="H20" s="37">
        <f t="shared" si="1"/>
        <v>-7334908</v>
      </c>
      <c r="I20" s="39"/>
      <c r="J20" s="42">
        <f t="shared" si="2"/>
        <v>596351.66</v>
      </c>
      <c r="K20" s="4">
        <f t="shared" si="3"/>
        <v>395322</v>
      </c>
      <c r="L20" s="4"/>
    </row>
    <row r="21" spans="1:14" ht="12.75">
      <c r="A21" s="7">
        <v>38534</v>
      </c>
      <c r="B21" s="47">
        <v>3433108.32</v>
      </c>
      <c r="C21" s="48"/>
      <c r="D21" s="34">
        <f t="shared" si="0"/>
        <v>3433108.32</v>
      </c>
      <c r="E21" s="2"/>
      <c r="F21" s="53">
        <v>-3955451</v>
      </c>
      <c r="G21" s="40"/>
      <c r="H21" s="37">
        <f t="shared" si="1"/>
        <v>-3955451</v>
      </c>
      <c r="I21" s="39"/>
      <c r="J21" s="42">
        <f t="shared" si="2"/>
        <v>-522342.68</v>
      </c>
      <c r="K21" s="4">
        <f t="shared" si="3"/>
        <v>-346261</v>
      </c>
      <c r="L21" s="4"/>
      <c r="M21" s="19"/>
      <c r="N21" s="2"/>
    </row>
    <row r="22" spans="1:14" ht="12.75">
      <c r="A22" s="7">
        <v>38565</v>
      </c>
      <c r="B22" s="47">
        <v>1056710.65</v>
      </c>
      <c r="C22" s="48" t="s">
        <v>34</v>
      </c>
      <c r="D22" s="34">
        <f t="shared" si="0"/>
        <v>1056710.65</v>
      </c>
      <c r="E22" s="2"/>
      <c r="F22" s="53">
        <v>-1553068.37</v>
      </c>
      <c r="G22" s="40"/>
      <c r="H22" s="37">
        <f t="shared" si="1"/>
        <v>-1553068.37</v>
      </c>
      <c r="I22" s="39"/>
      <c r="J22" s="42">
        <f t="shared" si="2"/>
        <v>-496357.72</v>
      </c>
      <c r="K22" s="4">
        <f t="shared" si="3"/>
        <v>-329036</v>
      </c>
      <c r="L22" s="4"/>
      <c r="M22" s="19"/>
      <c r="N22" s="2"/>
    </row>
    <row r="23" spans="1:14" ht="12.75">
      <c r="A23" s="7">
        <v>38596</v>
      </c>
      <c r="B23" s="47">
        <f>780688.78</f>
        <v>780688.78</v>
      </c>
      <c r="C23" s="48">
        <v>167710</v>
      </c>
      <c r="D23" s="34">
        <f t="shared" si="0"/>
        <v>948398.78</v>
      </c>
      <c r="E23" s="2"/>
      <c r="F23" s="53">
        <v>-1465873.22</v>
      </c>
      <c r="G23" s="40">
        <v>-61725</v>
      </c>
      <c r="H23" s="37">
        <f t="shared" si="1"/>
        <v>-1527598.22</v>
      </c>
      <c r="I23" s="39"/>
      <c r="J23" s="42">
        <f t="shared" si="2"/>
        <v>-579199.44</v>
      </c>
      <c r="K23" s="4">
        <f t="shared" si="3"/>
        <v>-383951</v>
      </c>
      <c r="L23" s="4"/>
      <c r="M23" s="19"/>
      <c r="N23" s="2"/>
    </row>
    <row r="24" spans="1:14" ht="12.75">
      <c r="A24" s="7">
        <v>38626</v>
      </c>
      <c r="B24" s="47">
        <v>689637</v>
      </c>
      <c r="C24" s="48"/>
      <c r="D24" s="34">
        <f t="shared" si="0"/>
        <v>689637</v>
      </c>
      <c r="E24" s="2"/>
      <c r="F24" s="53">
        <v>-1169281.94</v>
      </c>
      <c r="G24" s="40"/>
      <c r="H24" s="37">
        <f t="shared" si="1"/>
        <v>-1169281.94</v>
      </c>
      <c r="I24" s="39"/>
      <c r="J24" s="42">
        <f t="shared" si="2"/>
        <v>-479644.94</v>
      </c>
      <c r="K24" s="4">
        <f t="shared" si="3"/>
        <v>-317957</v>
      </c>
      <c r="L24" s="4"/>
      <c r="M24" s="19"/>
      <c r="N24" s="2"/>
    </row>
    <row r="25" spans="1:14" ht="12.75">
      <c r="A25" s="7">
        <v>38657</v>
      </c>
      <c r="B25" s="47">
        <v>4149818.29</v>
      </c>
      <c r="C25" s="48"/>
      <c r="D25" s="34">
        <f t="shared" si="0"/>
        <v>4149818.29</v>
      </c>
      <c r="E25" s="2"/>
      <c r="F25" s="53">
        <v>-5235093.8</v>
      </c>
      <c r="G25" s="40"/>
      <c r="H25" s="37">
        <f t="shared" si="1"/>
        <v>-5235093.8</v>
      </c>
      <c r="I25" s="39"/>
      <c r="J25" s="42">
        <f t="shared" si="2"/>
        <v>-1085275.51</v>
      </c>
      <c r="K25" s="4">
        <f t="shared" si="3"/>
        <v>-719429</v>
      </c>
      <c r="L25" s="4"/>
      <c r="M25" s="19"/>
      <c r="N25" s="2"/>
    </row>
    <row r="26" spans="1:14" ht="12.75">
      <c r="A26" s="7">
        <v>38687</v>
      </c>
      <c r="B26" s="49">
        <v>1547903.72</v>
      </c>
      <c r="C26" s="50">
        <v>897365</v>
      </c>
      <c r="D26" s="35">
        <f t="shared" si="0"/>
        <v>2445268.72</v>
      </c>
      <c r="E26" s="2"/>
      <c r="F26" s="54">
        <v>-2332725.91</v>
      </c>
      <c r="G26" s="55">
        <v>-869390</v>
      </c>
      <c r="H26" s="38">
        <f t="shared" si="1"/>
        <v>-3202115.91</v>
      </c>
      <c r="I26" s="39"/>
      <c r="J26" s="43">
        <f t="shared" si="2"/>
        <v>-756847.19</v>
      </c>
      <c r="K26" s="4">
        <f t="shared" si="3"/>
        <v>-501714</v>
      </c>
      <c r="L26" s="4"/>
      <c r="M26" s="19"/>
      <c r="N26" s="2"/>
    </row>
    <row r="27" spans="1:14" ht="12.75">
      <c r="A27" s="7"/>
      <c r="B27" s="2"/>
      <c r="C27" s="2"/>
      <c r="E27" s="2"/>
      <c r="J27" s="2" t="s">
        <v>34</v>
      </c>
      <c r="K27" s="4"/>
      <c r="L27" s="4"/>
      <c r="M27" s="19"/>
      <c r="N27" s="2"/>
    </row>
    <row r="28" spans="1:14" ht="12.75">
      <c r="A28" s="7"/>
      <c r="B28" s="26">
        <f>SUM(B15:B26)</f>
        <v>36636202.66</v>
      </c>
      <c r="C28" s="27">
        <f>SUM(C15:C26)</f>
        <v>1065075</v>
      </c>
      <c r="D28" s="28">
        <f>SUM(D15:D26)</f>
        <v>37701277.66</v>
      </c>
      <c r="E28" s="2"/>
      <c r="F28" s="26">
        <f>SUM(F15:F26)</f>
        <v>-41964667.29</v>
      </c>
      <c r="G28" s="27">
        <f>SUM(G15:G26)</f>
        <v>-931115</v>
      </c>
      <c r="H28" s="29">
        <f>SUM(H15:H26)</f>
        <v>-42895782.29</v>
      </c>
      <c r="I28" s="40"/>
      <c r="J28" s="44">
        <f>D28+H28</f>
        <v>-5194504.63</v>
      </c>
      <c r="K28" s="4"/>
      <c r="L28" s="4"/>
      <c r="M28" s="19"/>
      <c r="N28" s="2"/>
    </row>
    <row r="29" spans="1:14" ht="12.75">
      <c r="A29" s="7"/>
      <c r="B29" s="2"/>
      <c r="C29" s="2"/>
      <c r="D29" s="2"/>
      <c r="E29" s="2"/>
      <c r="F29" s="2"/>
      <c r="G29" s="2"/>
      <c r="H29" s="2"/>
      <c r="I29" s="2"/>
      <c r="J29" s="31">
        <v>5194505</v>
      </c>
      <c r="K29" s="32" t="s">
        <v>36</v>
      </c>
      <c r="L29" s="4"/>
      <c r="M29" s="12"/>
      <c r="N29" s="2"/>
    </row>
    <row r="30" spans="5:13" ht="12.75">
      <c r="E30" s="2"/>
      <c r="J30" s="30">
        <f>SUM(J28:J29)</f>
        <v>0.37</v>
      </c>
      <c r="K30" s="3" t="s">
        <v>53</v>
      </c>
      <c r="L30" s="3"/>
      <c r="M30" s="12"/>
    </row>
    <row r="31" spans="1:13" ht="12.75">
      <c r="A31" t="s">
        <v>54</v>
      </c>
      <c r="E31" s="2"/>
      <c r="M31" s="13"/>
    </row>
    <row r="32" spans="1:13" ht="12.75">
      <c r="A32" t="s">
        <v>51</v>
      </c>
      <c r="M32" s="13"/>
    </row>
    <row r="33" spans="1:13" ht="12.75">
      <c r="A33" t="s">
        <v>52</v>
      </c>
      <c r="M33" s="13"/>
    </row>
    <row r="34" ht="12.75">
      <c r="M34" s="13"/>
    </row>
    <row r="35" ht="12.75">
      <c r="M35" s="14"/>
    </row>
    <row r="36" ht="12.75">
      <c r="M36" s="14"/>
    </row>
    <row r="37" ht="12.75">
      <c r="M37" s="13"/>
    </row>
    <row r="38" ht="12.75">
      <c r="M38" s="15"/>
    </row>
    <row r="39" ht="12.75">
      <c r="M39" s="13"/>
    </row>
    <row r="40" ht="12.75">
      <c r="M40" s="14"/>
    </row>
    <row r="41" ht="12.75">
      <c r="M41" s="12"/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G1">
      <selection activeCell="M17" sqref="M17"/>
    </sheetView>
  </sheetViews>
  <sheetFormatPr defaultColWidth="9.140625" defaultRowHeight="12.75"/>
  <cols>
    <col min="2" max="3" width="16.7109375" style="0" bestFit="1" customWidth="1"/>
    <col min="4" max="4" width="13.7109375" style="0" bestFit="1" customWidth="1"/>
    <col min="5" max="5" width="13.421875" style="0" bestFit="1" customWidth="1"/>
    <col min="6" max="6" width="1.7109375" style="0" customWidth="1"/>
    <col min="7" max="7" width="14.00390625" style="0" bestFit="1" customWidth="1"/>
    <col min="8" max="8" width="13.7109375" style="0" bestFit="1" customWidth="1"/>
    <col min="9" max="9" width="14.00390625" style="0" bestFit="1" customWidth="1"/>
    <col min="10" max="10" width="1.7109375" style="0" customWidth="1"/>
    <col min="11" max="11" width="13.28125" style="0" bestFit="1" customWidth="1"/>
    <col min="12" max="13" width="14.57421875" style="0" bestFit="1" customWidth="1"/>
    <col min="14" max="14" width="1.7109375" style="0" customWidth="1"/>
    <col min="15" max="16" width="12.8515625" style="0" bestFit="1" customWidth="1"/>
    <col min="17" max="17" width="1.7109375" style="0" customWidth="1"/>
    <col min="18" max="18" width="12.28125" style="0" bestFit="1" customWidth="1"/>
  </cols>
  <sheetData>
    <row r="1" spans="1:18" ht="12.7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2.75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2.75">
      <c r="A3" s="77" t="s">
        <v>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2.75">
      <c r="A4" s="77" t="s">
        <v>10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ht="12.75">
      <c r="A5" s="77" t="s">
        <v>55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8" s="72" customFormat="1" ht="12"/>
    <row r="9" spans="2:18" s="72" customFormat="1" ht="12">
      <c r="B9" s="73" t="s">
        <v>59</v>
      </c>
      <c r="C9" s="73" t="s">
        <v>43</v>
      </c>
      <c r="D9" s="73" t="s">
        <v>43</v>
      </c>
      <c r="E9" s="73" t="s">
        <v>44</v>
      </c>
      <c r="F9" s="73"/>
      <c r="G9" s="73" t="s">
        <v>42</v>
      </c>
      <c r="H9" s="73" t="s">
        <v>42</v>
      </c>
      <c r="I9" s="73" t="s">
        <v>44</v>
      </c>
      <c r="J9" s="73"/>
      <c r="K9" s="73" t="s">
        <v>5</v>
      </c>
      <c r="L9" s="73"/>
      <c r="M9" s="73" t="s">
        <v>65</v>
      </c>
      <c r="N9" s="73"/>
      <c r="Q9" s="73"/>
      <c r="R9" s="73" t="s">
        <v>16</v>
      </c>
    </row>
    <row r="10" spans="2:18" s="72" customFormat="1" ht="12">
      <c r="B10" s="73" t="s">
        <v>40</v>
      </c>
      <c r="C10" s="73" t="s">
        <v>40</v>
      </c>
      <c r="D10" s="73" t="s">
        <v>41</v>
      </c>
      <c r="E10" s="73" t="s">
        <v>0</v>
      </c>
      <c r="F10" s="73"/>
      <c r="G10" s="73" t="s">
        <v>37</v>
      </c>
      <c r="H10" s="73" t="s">
        <v>38</v>
      </c>
      <c r="I10" s="73" t="s">
        <v>4</v>
      </c>
      <c r="J10" s="73"/>
      <c r="K10" s="73" t="s">
        <v>6</v>
      </c>
      <c r="L10" s="73" t="s">
        <v>58</v>
      </c>
      <c r="M10" s="73" t="s">
        <v>64</v>
      </c>
      <c r="N10" s="73"/>
      <c r="O10" s="74" t="s">
        <v>56</v>
      </c>
      <c r="P10" s="73" t="s">
        <v>61</v>
      </c>
      <c r="Q10" s="73"/>
      <c r="R10" s="73" t="s">
        <v>17</v>
      </c>
    </row>
    <row r="11" spans="2:18" s="72" customFormat="1" ht="12">
      <c r="B11" s="73" t="s">
        <v>57</v>
      </c>
      <c r="C11" s="73" t="s">
        <v>57</v>
      </c>
      <c r="D11" s="73" t="s">
        <v>57</v>
      </c>
      <c r="E11" s="73" t="s">
        <v>57</v>
      </c>
      <c r="F11" s="73"/>
      <c r="G11" s="73" t="s">
        <v>57</v>
      </c>
      <c r="H11" s="73" t="s">
        <v>57</v>
      </c>
      <c r="I11" s="73" t="s">
        <v>57</v>
      </c>
      <c r="J11" s="73"/>
      <c r="K11" s="73" t="s">
        <v>7</v>
      </c>
      <c r="L11" s="73" t="s">
        <v>78</v>
      </c>
      <c r="M11" s="73" t="s">
        <v>78</v>
      </c>
      <c r="N11" s="73"/>
      <c r="O11" s="74" t="s">
        <v>60</v>
      </c>
      <c r="P11" s="73" t="s">
        <v>62</v>
      </c>
      <c r="Q11" s="73"/>
      <c r="R11" s="73" t="s">
        <v>18</v>
      </c>
    </row>
    <row r="12" spans="1:18" s="72" customFormat="1" ht="12">
      <c r="A12" s="75" t="s">
        <v>13</v>
      </c>
      <c r="B12" s="75" t="s">
        <v>66</v>
      </c>
      <c r="C12" s="75" t="s">
        <v>45</v>
      </c>
      <c r="D12" s="75" t="s">
        <v>67</v>
      </c>
      <c r="E12" s="75" t="s">
        <v>45</v>
      </c>
      <c r="F12" s="75"/>
      <c r="G12" s="75" t="s">
        <v>47</v>
      </c>
      <c r="H12" s="75" t="s">
        <v>67</v>
      </c>
      <c r="I12" s="75" t="s">
        <v>47</v>
      </c>
      <c r="J12" s="75"/>
      <c r="K12" s="75" t="s">
        <v>77</v>
      </c>
      <c r="L12" s="75" t="s">
        <v>79</v>
      </c>
      <c r="M12" s="75" t="s">
        <v>79</v>
      </c>
      <c r="N12" s="75"/>
      <c r="O12" s="75" t="s">
        <v>71</v>
      </c>
      <c r="P12" s="75" t="s">
        <v>63</v>
      </c>
      <c r="Q12" s="75"/>
      <c r="R12" s="76" t="s">
        <v>70</v>
      </c>
    </row>
    <row r="13" ht="12.75">
      <c r="A13" s="1"/>
    </row>
    <row r="14" spans="1:18" ht="12.75">
      <c r="A14" s="7">
        <v>38723</v>
      </c>
      <c r="B14" s="57">
        <v>0</v>
      </c>
      <c r="C14" s="58">
        <v>10365609.91</v>
      </c>
      <c r="D14" s="58">
        <v>0</v>
      </c>
      <c r="E14" s="63">
        <f aca="true" t="shared" si="0" ref="E14:E25">SUM(B14:D14)</f>
        <v>10365609.91</v>
      </c>
      <c r="F14" s="59"/>
      <c r="G14" s="57">
        <v>-8636524.42</v>
      </c>
      <c r="H14" s="58">
        <v>0</v>
      </c>
      <c r="I14" s="63">
        <f>SUM(G14:H14)</f>
        <v>-8636524.42</v>
      </c>
      <c r="J14" s="61"/>
      <c r="K14" s="62">
        <f aca="true" t="shared" si="1" ref="K14:K25">E14+I14</f>
        <v>1729085.49</v>
      </c>
      <c r="L14" s="57">
        <v>0</v>
      </c>
      <c r="M14" s="58">
        <v>0</v>
      </c>
      <c r="N14" s="61"/>
      <c r="O14" s="84">
        <v>1729085</v>
      </c>
      <c r="P14" s="63">
        <f>SUM(K14:M14)-O14</f>
        <v>0.49</v>
      </c>
      <c r="Q14" s="61"/>
      <c r="R14" s="62">
        <f>O14*$R$12</f>
        <v>1126671.79</v>
      </c>
    </row>
    <row r="15" spans="1:18" ht="12.75">
      <c r="A15" s="7">
        <v>38754</v>
      </c>
      <c r="B15" s="64">
        <v>0</v>
      </c>
      <c r="C15" s="60">
        <v>7385764.14</v>
      </c>
      <c r="D15" s="60">
        <v>523100</v>
      </c>
      <c r="E15" s="66">
        <f t="shared" si="0"/>
        <v>7908864.14</v>
      </c>
      <c r="F15" s="59"/>
      <c r="G15" s="64">
        <v>-6567962.63</v>
      </c>
      <c r="H15" s="60">
        <v>-574500</v>
      </c>
      <c r="I15" s="66">
        <f aca="true" t="shared" si="2" ref="I15:I25">SUM(G15:H15)</f>
        <v>-7142462.63</v>
      </c>
      <c r="J15" s="61"/>
      <c r="K15" s="65">
        <f t="shared" si="1"/>
        <v>766401.51</v>
      </c>
      <c r="L15" s="64">
        <v>0</v>
      </c>
      <c r="M15" s="60">
        <v>0</v>
      </c>
      <c r="N15" s="61"/>
      <c r="O15" s="85">
        <v>766402</v>
      </c>
      <c r="P15" s="66">
        <f aca="true" t="shared" si="3" ref="P15:P25">SUM(K15:M15)-O15</f>
        <v>-0.49</v>
      </c>
      <c r="Q15" s="61"/>
      <c r="R15" s="65">
        <f>O15*$R$12</f>
        <v>499387.54</v>
      </c>
    </row>
    <row r="16" spans="1:18" ht="12.75">
      <c r="A16" s="7">
        <v>38782</v>
      </c>
      <c r="B16" s="64">
        <v>74398.79</v>
      </c>
      <c r="C16" s="88">
        <v>16631185.05</v>
      </c>
      <c r="D16" s="60">
        <v>257550</v>
      </c>
      <c r="E16" s="66">
        <f t="shared" si="0"/>
        <v>16963133.84</v>
      </c>
      <c r="F16" s="59"/>
      <c r="G16" s="64">
        <v>-15683216</v>
      </c>
      <c r="H16" s="60">
        <v>-255900</v>
      </c>
      <c r="I16" s="66">
        <f t="shared" si="2"/>
        <v>-15939116</v>
      </c>
      <c r="J16" s="61"/>
      <c r="K16" s="65">
        <f t="shared" si="1"/>
        <v>1024017.84</v>
      </c>
      <c r="L16" s="64">
        <v>0</v>
      </c>
      <c r="M16" s="60">
        <v>0</v>
      </c>
      <c r="N16" s="61"/>
      <c r="O16" s="85">
        <v>1024018</v>
      </c>
      <c r="P16" s="66">
        <f t="shared" si="3"/>
        <v>-0.16</v>
      </c>
      <c r="Q16" s="61"/>
      <c r="R16" s="65">
        <f aca="true" t="shared" si="4" ref="R16:R25">O16*$R$12</f>
        <v>667250.13</v>
      </c>
    </row>
    <row r="17" spans="1:18" ht="12.75">
      <c r="A17" s="7">
        <v>38813</v>
      </c>
      <c r="B17" s="64">
        <v>0</v>
      </c>
      <c r="C17" s="60">
        <v>8029146.38</v>
      </c>
      <c r="D17" s="60">
        <v>0</v>
      </c>
      <c r="E17" s="66">
        <f t="shared" si="0"/>
        <v>8029146.38</v>
      </c>
      <c r="F17" s="59"/>
      <c r="G17" s="64">
        <v>-8306651</v>
      </c>
      <c r="H17" s="60">
        <v>0</v>
      </c>
      <c r="I17" s="66">
        <f t="shared" si="2"/>
        <v>-8306651</v>
      </c>
      <c r="J17" s="61"/>
      <c r="K17" s="65">
        <f t="shared" si="1"/>
        <v>-277504.62</v>
      </c>
      <c r="L17" s="64">
        <v>0</v>
      </c>
      <c r="M17" s="60">
        <v>0</v>
      </c>
      <c r="N17" s="61"/>
      <c r="O17" s="85">
        <v>-277505</v>
      </c>
      <c r="P17" s="66">
        <f t="shared" si="3"/>
        <v>0.38</v>
      </c>
      <c r="Q17" s="61"/>
      <c r="R17" s="65">
        <f t="shared" si="4"/>
        <v>-180822.26</v>
      </c>
    </row>
    <row r="18" spans="1:18" ht="12.75">
      <c r="A18" s="7">
        <v>38843</v>
      </c>
      <c r="B18" s="64">
        <v>0</v>
      </c>
      <c r="C18" s="60">
        <v>5164.11</v>
      </c>
      <c r="D18" s="60">
        <v>0</v>
      </c>
      <c r="E18" s="66">
        <f t="shared" si="0"/>
        <v>5164.11</v>
      </c>
      <c r="F18" s="59"/>
      <c r="G18" s="64">
        <v>0</v>
      </c>
      <c r="H18" s="60">
        <v>0</v>
      </c>
      <c r="I18" s="66">
        <f t="shared" si="2"/>
        <v>0</v>
      </c>
      <c r="J18" s="61"/>
      <c r="K18" s="65">
        <f t="shared" si="1"/>
        <v>5164.11</v>
      </c>
      <c r="L18" s="64">
        <v>0</v>
      </c>
      <c r="M18" s="60">
        <v>0</v>
      </c>
      <c r="N18" s="61"/>
      <c r="O18" s="85">
        <v>5164</v>
      </c>
      <c r="P18" s="66">
        <f t="shared" si="3"/>
        <v>0.11</v>
      </c>
      <c r="Q18" s="61"/>
      <c r="R18" s="65">
        <f t="shared" si="4"/>
        <v>3364.86</v>
      </c>
    </row>
    <row r="19" spans="1:18" ht="12.75">
      <c r="A19" s="7">
        <v>38874</v>
      </c>
      <c r="B19" s="64">
        <v>-98700.93</v>
      </c>
      <c r="C19" s="60">
        <v>-4567.59</v>
      </c>
      <c r="D19" s="60">
        <v>26710.55</v>
      </c>
      <c r="E19" s="66">
        <f t="shared" si="0"/>
        <v>-76557.97</v>
      </c>
      <c r="F19" s="59"/>
      <c r="G19" s="64">
        <v>10</v>
      </c>
      <c r="H19" s="60">
        <v>-29350</v>
      </c>
      <c r="I19" s="66">
        <f t="shared" si="2"/>
        <v>-29340</v>
      </c>
      <c r="J19" s="61"/>
      <c r="K19" s="65">
        <f t="shared" si="1"/>
        <v>-105897.97</v>
      </c>
      <c r="L19" s="64">
        <v>0</v>
      </c>
      <c r="M19" s="60">
        <v>0</v>
      </c>
      <c r="N19" s="61"/>
      <c r="O19" s="85">
        <v>-7197</v>
      </c>
      <c r="P19" s="66">
        <f t="shared" si="3"/>
        <v>-98700.97</v>
      </c>
      <c r="Q19" s="61"/>
      <c r="R19" s="65">
        <f t="shared" si="4"/>
        <v>-4689.57</v>
      </c>
    </row>
    <row r="20" spans="1:18" ht="12.75">
      <c r="A20" s="7">
        <v>38904</v>
      </c>
      <c r="B20" s="64">
        <v>0</v>
      </c>
      <c r="C20" s="60">
        <v>3481010.13</v>
      </c>
      <c r="D20" s="60">
        <v>0</v>
      </c>
      <c r="E20" s="66">
        <f t="shared" si="0"/>
        <v>3481010.13</v>
      </c>
      <c r="F20" s="59"/>
      <c r="G20" s="64">
        <v>-4723591.74</v>
      </c>
      <c r="H20" s="60">
        <v>0</v>
      </c>
      <c r="I20" s="66">
        <f t="shared" si="2"/>
        <v>-4723591.74</v>
      </c>
      <c r="J20" s="61"/>
      <c r="K20" s="65">
        <f t="shared" si="1"/>
        <v>-1242581.61</v>
      </c>
      <c r="L20" s="64">
        <v>28025.65</v>
      </c>
      <c r="M20" s="60">
        <v>0</v>
      </c>
      <c r="N20" s="61"/>
      <c r="O20" s="85">
        <v>-1313257</v>
      </c>
      <c r="P20" s="66">
        <f t="shared" si="3"/>
        <v>98701.04</v>
      </c>
      <c r="Q20" s="61"/>
      <c r="R20" s="65">
        <f t="shared" si="4"/>
        <v>-855718.26</v>
      </c>
    </row>
    <row r="21" spans="1:18" ht="12.75">
      <c r="A21" s="7">
        <v>38935</v>
      </c>
      <c r="B21" s="64">
        <v>0</v>
      </c>
      <c r="C21" s="60">
        <v>1158361.27</v>
      </c>
      <c r="D21" s="60">
        <v>0</v>
      </c>
      <c r="E21" s="66">
        <f t="shared" si="0"/>
        <v>1158361.27</v>
      </c>
      <c r="F21" s="59"/>
      <c r="G21" s="64">
        <v>-1052422.55</v>
      </c>
      <c r="H21" s="60">
        <v>0</v>
      </c>
      <c r="I21" s="66">
        <f t="shared" si="2"/>
        <v>-1052422.55</v>
      </c>
      <c r="J21" s="61"/>
      <c r="K21" s="65">
        <f t="shared" si="1"/>
        <v>105938.72</v>
      </c>
      <c r="L21" s="64">
        <v>0</v>
      </c>
      <c r="M21" s="60">
        <v>0</v>
      </c>
      <c r="N21" s="61"/>
      <c r="O21" s="85">
        <v>105939</v>
      </c>
      <c r="P21" s="66">
        <f t="shared" si="3"/>
        <v>-0.28</v>
      </c>
      <c r="Q21" s="61"/>
      <c r="R21" s="65">
        <f t="shared" si="4"/>
        <v>69029.85</v>
      </c>
    </row>
    <row r="22" spans="1:18" ht="12.75">
      <c r="A22" s="7">
        <v>38966</v>
      </c>
      <c r="B22" s="64">
        <v>-20131</v>
      </c>
      <c r="C22" s="60">
        <v>-531.07</v>
      </c>
      <c r="D22" s="60">
        <v>0</v>
      </c>
      <c r="E22" s="66">
        <f t="shared" si="0"/>
        <v>-20662.07</v>
      </c>
      <c r="F22" s="59"/>
      <c r="G22" s="64">
        <v>0</v>
      </c>
      <c r="H22" s="60">
        <v>0</v>
      </c>
      <c r="I22" s="66">
        <f t="shared" si="2"/>
        <v>0</v>
      </c>
      <c r="J22" s="61"/>
      <c r="K22" s="65">
        <f t="shared" si="1"/>
        <v>-20662.07</v>
      </c>
      <c r="L22" s="64">
        <v>65957.66</v>
      </c>
      <c r="M22" s="60">
        <v>0</v>
      </c>
      <c r="N22" s="61"/>
      <c r="O22" s="85">
        <v>45296</v>
      </c>
      <c r="P22" s="66">
        <f t="shared" si="3"/>
        <v>-0.41</v>
      </c>
      <c r="Q22" s="61"/>
      <c r="R22" s="65">
        <f t="shared" si="4"/>
        <v>29514.87</v>
      </c>
    </row>
    <row r="23" spans="1:18" ht="12.75">
      <c r="A23" s="7">
        <v>38996</v>
      </c>
      <c r="B23" s="64">
        <v>0</v>
      </c>
      <c r="C23" s="60">
        <v>31241.55</v>
      </c>
      <c r="D23" s="60">
        <v>0</v>
      </c>
      <c r="E23" s="66">
        <f t="shared" si="0"/>
        <v>31241.55</v>
      </c>
      <c r="F23" s="59"/>
      <c r="G23" s="64">
        <v>-13429.69</v>
      </c>
      <c r="H23" s="60">
        <v>0</v>
      </c>
      <c r="I23" s="66">
        <f t="shared" si="2"/>
        <v>-13429.69</v>
      </c>
      <c r="J23" s="61"/>
      <c r="K23" s="65">
        <f t="shared" si="1"/>
        <v>17811.86</v>
      </c>
      <c r="L23" s="64">
        <v>0</v>
      </c>
      <c r="M23" s="60">
        <v>0</v>
      </c>
      <c r="N23" s="61"/>
      <c r="O23" s="85">
        <v>17812</v>
      </c>
      <c r="P23" s="66">
        <f t="shared" si="3"/>
        <v>-0.14</v>
      </c>
      <c r="Q23" s="61"/>
      <c r="R23" s="65">
        <f t="shared" si="4"/>
        <v>11606.3</v>
      </c>
    </row>
    <row r="24" spans="1:18" ht="12.75">
      <c r="A24" s="7">
        <v>39027</v>
      </c>
      <c r="B24" s="64">
        <v>0</v>
      </c>
      <c r="C24" s="60">
        <v>3403929.74</v>
      </c>
      <c r="D24" s="60">
        <v>0</v>
      </c>
      <c r="E24" s="66">
        <f t="shared" si="0"/>
        <v>3403929.74</v>
      </c>
      <c r="F24" s="59"/>
      <c r="G24" s="64">
        <v>-2842681.75</v>
      </c>
      <c r="H24" s="60">
        <v>0</v>
      </c>
      <c r="I24" s="66">
        <f t="shared" si="2"/>
        <v>-2842681.75</v>
      </c>
      <c r="J24" s="61"/>
      <c r="K24" s="65">
        <f t="shared" si="1"/>
        <v>561247.99</v>
      </c>
      <c r="L24" s="64">
        <v>-2500</v>
      </c>
      <c r="M24" s="60">
        <v>0</v>
      </c>
      <c r="N24" s="61"/>
      <c r="O24" s="85">
        <v>558748</v>
      </c>
      <c r="P24" s="66">
        <f t="shared" si="3"/>
        <v>-0.01</v>
      </c>
      <c r="Q24" s="61"/>
      <c r="R24" s="65">
        <f t="shared" si="4"/>
        <v>364080.2</v>
      </c>
    </row>
    <row r="25" spans="1:18" ht="12.75">
      <c r="A25" s="7">
        <v>39057</v>
      </c>
      <c r="B25" s="67">
        <v>35087.63</v>
      </c>
      <c r="C25" s="68">
        <v>403803.07</v>
      </c>
      <c r="D25" s="68">
        <v>0</v>
      </c>
      <c r="E25" s="70">
        <f t="shared" si="0"/>
        <v>438890.7</v>
      </c>
      <c r="F25" s="59"/>
      <c r="G25" s="67">
        <v>-296587.14</v>
      </c>
      <c r="H25" s="68">
        <v>0</v>
      </c>
      <c r="I25" s="70">
        <f t="shared" si="2"/>
        <v>-296587.14</v>
      </c>
      <c r="J25" s="61"/>
      <c r="K25" s="69">
        <f t="shared" si="1"/>
        <v>142303.56</v>
      </c>
      <c r="L25" s="67">
        <v>0</v>
      </c>
      <c r="M25" s="68">
        <v>-37500</v>
      </c>
      <c r="N25" s="61"/>
      <c r="O25" s="86">
        <v>104804</v>
      </c>
      <c r="P25" s="70">
        <f t="shared" si="3"/>
        <v>-0.44</v>
      </c>
      <c r="Q25" s="61"/>
      <c r="R25" s="69">
        <f t="shared" si="4"/>
        <v>68290.29</v>
      </c>
    </row>
    <row r="26" spans="1:18" ht="12.75">
      <c r="A26" s="7"/>
      <c r="B26" s="59"/>
      <c r="C26" s="59"/>
      <c r="D26" s="59"/>
      <c r="E26" s="59"/>
      <c r="F26" s="59"/>
      <c r="G26" s="59"/>
      <c r="H26" s="59"/>
      <c r="I26" s="59"/>
      <c r="J26" s="59"/>
      <c r="K26" s="82" t="s">
        <v>34</v>
      </c>
      <c r="L26" s="59"/>
      <c r="M26" s="59"/>
      <c r="N26" s="59"/>
      <c r="O26" s="61"/>
      <c r="P26" s="59"/>
      <c r="Q26" s="59"/>
      <c r="R26" s="71"/>
    </row>
    <row r="27" spans="1:18" ht="13.5" thickBot="1">
      <c r="A27" s="78"/>
      <c r="B27" s="87">
        <f>SUM(B14:B25)</f>
        <v>-9345.51</v>
      </c>
      <c r="C27" s="87">
        <f>SUM(C14:C25)</f>
        <v>50890116.69</v>
      </c>
      <c r="D27" s="87">
        <f>SUM(D14:D25)</f>
        <v>807360.55</v>
      </c>
      <c r="E27" s="79">
        <f>SUM(E14:E25)</f>
        <v>51688131.73</v>
      </c>
      <c r="F27" s="79"/>
      <c r="G27" s="87">
        <f>SUM(G14:G25)</f>
        <v>-48123056.92</v>
      </c>
      <c r="H27" s="87">
        <f>SUM(H14:H25)</f>
        <v>-859750</v>
      </c>
      <c r="I27" s="80">
        <f>SUM(I14:I25)</f>
        <v>-48982806.92</v>
      </c>
      <c r="J27" s="80"/>
      <c r="K27" s="81">
        <f>SUM(K14:K25)</f>
        <v>2705324.81</v>
      </c>
      <c r="L27" s="87">
        <f>SUM(L14:L25)</f>
        <v>91483.31</v>
      </c>
      <c r="M27" s="87">
        <f>SUM(M14:M25)</f>
        <v>-37500</v>
      </c>
      <c r="N27" s="80"/>
      <c r="O27" s="79">
        <f>SUM(O14:O25)</f>
        <v>2759309</v>
      </c>
      <c r="P27" s="79">
        <f>SUM(P14:P25)</f>
        <v>-0.88</v>
      </c>
      <c r="Q27" s="80"/>
      <c r="R27" s="81">
        <f>SUM(R14:R25)</f>
        <v>1797965.74</v>
      </c>
    </row>
    <row r="28" spans="1:18" ht="13.5" thickTop="1">
      <c r="A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2"/>
      <c r="P28" s="2"/>
      <c r="Q28" s="2"/>
      <c r="R28" s="2"/>
    </row>
    <row r="29" spans="6:15" ht="12.75">
      <c r="F29" s="2"/>
      <c r="K29" s="59"/>
      <c r="O29" s="12"/>
    </row>
    <row r="30" spans="6:15" ht="12.75">
      <c r="F30" s="2"/>
      <c r="K30" s="59"/>
      <c r="O30" s="12"/>
    </row>
    <row r="31" spans="1:18" ht="12.75">
      <c r="A31" s="83">
        <v>-1</v>
      </c>
      <c r="B31" t="s">
        <v>72</v>
      </c>
      <c r="D31" t="s">
        <v>68</v>
      </c>
      <c r="F31" s="2"/>
      <c r="I31" s="59"/>
      <c r="K31" s="56"/>
      <c r="L31" s="56"/>
      <c r="M31" s="56"/>
      <c r="O31" s="12"/>
      <c r="R31" s="3"/>
    </row>
    <row r="32" spans="1:15" ht="12.75">
      <c r="A32" s="83">
        <v>-2</v>
      </c>
      <c r="B32" t="s">
        <v>73</v>
      </c>
      <c r="C32" t="s">
        <v>76</v>
      </c>
      <c r="D32" t="s">
        <v>69</v>
      </c>
      <c r="O32" s="13"/>
    </row>
    <row r="33" spans="1:15" ht="12.75">
      <c r="A33" s="83">
        <v>-3</v>
      </c>
      <c r="B33" t="s">
        <v>74</v>
      </c>
      <c r="C33" t="s">
        <v>80</v>
      </c>
      <c r="D33" t="s">
        <v>75</v>
      </c>
      <c r="O33" s="13"/>
    </row>
    <row r="35" ht="12.75">
      <c r="O35" s="14"/>
    </row>
    <row r="36" ht="12.75">
      <c r="O36" s="14"/>
    </row>
    <row r="37" ht="12.75">
      <c r="O37" s="13"/>
    </row>
    <row r="38" ht="12.75">
      <c r="O38" s="15"/>
    </row>
    <row r="39" ht="12.75">
      <c r="O39" s="13"/>
    </row>
    <row r="40" ht="12.75">
      <c r="O40" s="14"/>
    </row>
    <row r="41" ht="12.75">
      <c r="O41" s="12"/>
    </row>
  </sheetData>
  <printOptions/>
  <pageMargins left="0.5" right="0" top="0.5" bottom="0.5" header="0.25" footer="0.25"/>
  <pageSetup cellComments="atEnd" fitToHeight="1" fitToWidth="1" horizontalDpi="600" verticalDpi="600" orientation="landscape" scale="66" r:id="rId3"/>
  <headerFooter alignWithMargins="0">
    <oddFooter>&amp;L&amp;Z
&amp;F&amp;C&amp;A&amp;R&amp;D 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A9">
      <selection activeCell="B33" sqref="B33:D33"/>
    </sheetView>
  </sheetViews>
  <sheetFormatPr defaultColWidth="9.140625" defaultRowHeight="12.75"/>
  <cols>
    <col min="1" max="1" width="7.28125" style="0" customWidth="1"/>
    <col min="2" max="3" width="16.7109375" style="0" bestFit="1" customWidth="1"/>
    <col min="4" max="4" width="13.7109375" style="0" bestFit="1" customWidth="1"/>
    <col min="5" max="5" width="10.7109375" style="0" bestFit="1" customWidth="1"/>
    <col min="6" max="6" width="1.7109375" style="0" customWidth="1"/>
    <col min="7" max="8" width="13.7109375" style="0" bestFit="1" customWidth="1"/>
    <col min="9" max="9" width="11.28125" style="0" bestFit="1" customWidth="1"/>
    <col min="10" max="10" width="1.7109375" style="0" customWidth="1"/>
    <col min="11" max="11" width="11.00390625" style="0" bestFit="1" customWidth="1"/>
    <col min="12" max="13" width="14.57421875" style="0" bestFit="1" customWidth="1"/>
    <col min="14" max="14" width="1.7109375" style="0" customWidth="1"/>
    <col min="15" max="15" width="11.140625" style="0" bestFit="1" customWidth="1"/>
    <col min="16" max="16" width="10.7109375" style="0" bestFit="1" customWidth="1"/>
    <col min="17" max="17" width="1.7109375" style="0" customWidth="1"/>
    <col min="18" max="18" width="10.421875" style="0" bestFit="1" customWidth="1"/>
  </cols>
  <sheetData>
    <row r="1" spans="1:18" ht="12.7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2.75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2.75">
      <c r="A3" s="77" t="s">
        <v>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2.75">
      <c r="A4" s="112" t="s">
        <v>10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ht="12.75">
      <c r="A5" s="77" t="s">
        <v>81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8" s="72" customFormat="1" ht="12"/>
    <row r="9" spans="2:18" s="72" customFormat="1" ht="12">
      <c r="B9" s="73" t="s">
        <v>59</v>
      </c>
      <c r="C9" s="73" t="s">
        <v>43</v>
      </c>
      <c r="D9" s="73" t="s">
        <v>43</v>
      </c>
      <c r="E9" s="73" t="s">
        <v>44</v>
      </c>
      <c r="F9" s="73"/>
      <c r="G9" s="73" t="s">
        <v>42</v>
      </c>
      <c r="H9" s="73" t="s">
        <v>42</v>
      </c>
      <c r="I9" s="73" t="s">
        <v>44</v>
      </c>
      <c r="J9" s="73"/>
      <c r="K9" s="73" t="s">
        <v>5</v>
      </c>
      <c r="L9" s="73"/>
      <c r="M9" s="73" t="s">
        <v>65</v>
      </c>
      <c r="N9" s="73"/>
      <c r="Q9" s="73"/>
      <c r="R9" s="73" t="s">
        <v>16</v>
      </c>
    </row>
    <row r="10" spans="2:18" s="113" customFormat="1" ht="36">
      <c r="B10" s="114" t="s">
        <v>40</v>
      </c>
      <c r="C10" s="114" t="s">
        <v>40</v>
      </c>
      <c r="D10" s="114" t="s">
        <v>41</v>
      </c>
      <c r="E10" s="114" t="s">
        <v>0</v>
      </c>
      <c r="F10" s="114"/>
      <c r="G10" s="114" t="s">
        <v>83</v>
      </c>
      <c r="H10" s="114" t="s">
        <v>38</v>
      </c>
      <c r="I10" s="114" t="s">
        <v>4</v>
      </c>
      <c r="J10" s="114"/>
      <c r="K10" s="114" t="s">
        <v>6</v>
      </c>
      <c r="L10" s="114" t="s">
        <v>58</v>
      </c>
      <c r="M10" s="114" t="s">
        <v>84</v>
      </c>
      <c r="N10" s="114"/>
      <c r="O10" s="115" t="s">
        <v>56</v>
      </c>
      <c r="P10" s="114" t="s">
        <v>61</v>
      </c>
      <c r="Q10" s="114"/>
      <c r="R10" s="114" t="s">
        <v>17</v>
      </c>
    </row>
    <row r="11" spans="2:18" s="72" customFormat="1" ht="12">
      <c r="B11" s="73" t="s">
        <v>57</v>
      </c>
      <c r="C11" s="73" t="s">
        <v>57</v>
      </c>
      <c r="D11" s="73" t="s">
        <v>57</v>
      </c>
      <c r="E11" s="73" t="s">
        <v>57</v>
      </c>
      <c r="F11" s="73"/>
      <c r="G11" s="73" t="s">
        <v>57</v>
      </c>
      <c r="H11" s="73" t="s">
        <v>57</v>
      </c>
      <c r="I11" s="73" t="s">
        <v>57</v>
      </c>
      <c r="J11" s="73"/>
      <c r="K11" s="73" t="s">
        <v>7</v>
      </c>
      <c r="L11" s="73" t="s">
        <v>78</v>
      </c>
      <c r="M11" s="73" t="s">
        <v>78</v>
      </c>
      <c r="N11" s="73"/>
      <c r="O11" s="74" t="s">
        <v>60</v>
      </c>
      <c r="P11" s="73" t="s">
        <v>90</v>
      </c>
      <c r="Q11" s="73"/>
      <c r="R11" s="73" t="s">
        <v>18</v>
      </c>
    </row>
    <row r="12" spans="1:18" s="72" customFormat="1" ht="12">
      <c r="A12" s="75" t="s">
        <v>13</v>
      </c>
      <c r="B12" s="75" t="s">
        <v>66</v>
      </c>
      <c r="C12" s="75" t="s">
        <v>45</v>
      </c>
      <c r="D12" s="75" t="s">
        <v>67</v>
      </c>
      <c r="E12" s="75" t="s">
        <v>45</v>
      </c>
      <c r="F12" s="75"/>
      <c r="G12" s="75" t="s">
        <v>47</v>
      </c>
      <c r="H12" s="75" t="s">
        <v>67</v>
      </c>
      <c r="I12" s="75" t="s">
        <v>47</v>
      </c>
      <c r="J12" s="75"/>
      <c r="K12" s="75" t="s">
        <v>77</v>
      </c>
      <c r="L12" s="75" t="s">
        <v>79</v>
      </c>
      <c r="M12" s="75" t="s">
        <v>79</v>
      </c>
      <c r="N12" s="75"/>
      <c r="O12" s="75" t="s">
        <v>71</v>
      </c>
      <c r="P12" s="75" t="s">
        <v>91</v>
      </c>
      <c r="Q12" s="75"/>
      <c r="R12" s="76" t="s">
        <v>70</v>
      </c>
    </row>
    <row r="13" spans="1:12" ht="12.75">
      <c r="A13" s="1"/>
      <c r="L13" s="117"/>
    </row>
    <row r="14" spans="1:18" ht="12.75">
      <c r="A14" s="7">
        <v>39088</v>
      </c>
      <c r="B14" s="89">
        <v>0</v>
      </c>
      <c r="C14" s="90">
        <v>2057469.77</v>
      </c>
      <c r="D14" s="90">
        <v>0</v>
      </c>
      <c r="E14" s="91">
        <f aca="true" t="shared" si="0" ref="E14:E25">SUM(B14:D14)</f>
        <v>2057470</v>
      </c>
      <c r="F14" s="92"/>
      <c r="G14" s="89">
        <v>-1518605</v>
      </c>
      <c r="H14" s="90">
        <v>0</v>
      </c>
      <c r="I14" s="91">
        <f aca="true" t="shared" si="1" ref="I14:I25">SUM(G14:H14)</f>
        <v>-1518605</v>
      </c>
      <c r="J14" s="93"/>
      <c r="K14" s="116">
        <f>E14+I14</f>
        <v>538865</v>
      </c>
      <c r="L14" s="118">
        <v>14600</v>
      </c>
      <c r="M14" s="118">
        <v>0</v>
      </c>
      <c r="N14" s="93"/>
      <c r="O14" s="95">
        <v>553465</v>
      </c>
      <c r="P14" s="91">
        <f aca="true" t="shared" si="2" ref="P14:P25">SUM(K14:M14)-O14</f>
        <v>0</v>
      </c>
      <c r="Q14" s="93"/>
      <c r="R14" s="94">
        <f aca="true" t="shared" si="3" ref="R14:R25">O14*$R$12</f>
        <v>360638</v>
      </c>
    </row>
    <row r="15" spans="1:18" ht="12.75">
      <c r="A15" s="7">
        <v>39119</v>
      </c>
      <c r="B15" s="96">
        <v>0</v>
      </c>
      <c r="C15" s="97">
        <v>796972</v>
      </c>
      <c r="D15" s="97">
        <v>0</v>
      </c>
      <c r="E15" s="98">
        <f t="shared" si="0"/>
        <v>796972</v>
      </c>
      <c r="F15" s="92"/>
      <c r="G15" s="96">
        <v>-618300</v>
      </c>
      <c r="H15" s="97">
        <v>0</v>
      </c>
      <c r="I15" s="98">
        <f t="shared" si="1"/>
        <v>-618300</v>
      </c>
      <c r="J15" s="93"/>
      <c r="K15" s="99">
        <f aca="true" t="shared" si="4" ref="K15:K25">E15+I15</f>
        <v>178672</v>
      </c>
      <c r="L15" s="119">
        <v>14600</v>
      </c>
      <c r="M15" s="119">
        <v>0</v>
      </c>
      <c r="N15" s="93"/>
      <c r="O15" s="100">
        <v>193272</v>
      </c>
      <c r="P15" s="98">
        <f t="shared" si="2"/>
        <v>0</v>
      </c>
      <c r="Q15" s="93"/>
      <c r="R15" s="99">
        <f t="shared" si="3"/>
        <v>125936</v>
      </c>
    </row>
    <row r="16" spans="1:18" ht="12.75">
      <c r="A16" s="7">
        <v>39147</v>
      </c>
      <c r="B16" s="96">
        <v>40172</v>
      </c>
      <c r="C16" s="97">
        <v>8001406</v>
      </c>
      <c r="D16" s="97">
        <v>0</v>
      </c>
      <c r="E16" s="98">
        <f t="shared" si="0"/>
        <v>8041578</v>
      </c>
      <c r="F16" s="92"/>
      <c r="G16" s="96">
        <v>-6006150</v>
      </c>
      <c r="H16" s="97">
        <v>0</v>
      </c>
      <c r="I16" s="98">
        <f t="shared" si="1"/>
        <v>-6006150</v>
      </c>
      <c r="J16" s="93"/>
      <c r="K16" s="99">
        <f t="shared" si="4"/>
        <v>2035428</v>
      </c>
      <c r="L16" s="119">
        <v>14600</v>
      </c>
      <c r="M16" s="119">
        <v>0</v>
      </c>
      <c r="N16" s="93"/>
      <c r="O16" s="100">
        <v>2050028</v>
      </c>
      <c r="P16" s="98">
        <f t="shared" si="2"/>
        <v>0</v>
      </c>
      <c r="Q16" s="93"/>
      <c r="R16" s="99">
        <f t="shared" si="3"/>
        <v>1335798</v>
      </c>
    </row>
    <row r="17" spans="1:18" ht="12.75">
      <c r="A17" s="7">
        <v>39178</v>
      </c>
      <c r="B17" s="96">
        <v>0</v>
      </c>
      <c r="C17" s="97">
        <v>2448.33</v>
      </c>
      <c r="D17" s="97">
        <v>0</v>
      </c>
      <c r="E17" s="98">
        <f t="shared" si="0"/>
        <v>2448</v>
      </c>
      <c r="F17" s="92"/>
      <c r="G17" s="96">
        <v>-278</v>
      </c>
      <c r="H17" s="97">
        <v>0</v>
      </c>
      <c r="I17" s="98">
        <f t="shared" si="1"/>
        <v>-278</v>
      </c>
      <c r="J17" s="93"/>
      <c r="K17" s="99">
        <f t="shared" si="4"/>
        <v>2170</v>
      </c>
      <c r="L17" s="119">
        <v>14600</v>
      </c>
      <c r="M17" s="119">
        <v>0</v>
      </c>
      <c r="N17" s="93"/>
      <c r="O17" s="100">
        <v>16770</v>
      </c>
      <c r="P17" s="98">
        <f t="shared" si="2"/>
        <v>0</v>
      </c>
      <c r="Q17" s="93"/>
      <c r="R17" s="99">
        <f t="shared" si="3"/>
        <v>10927</v>
      </c>
    </row>
    <row r="18" spans="1:18" ht="12.75">
      <c r="A18" s="7">
        <v>39208</v>
      </c>
      <c r="B18" s="96">
        <v>0</v>
      </c>
      <c r="C18" s="97">
        <v>13548.36</v>
      </c>
      <c r="D18" s="97">
        <v>0</v>
      </c>
      <c r="E18" s="98">
        <f t="shared" si="0"/>
        <v>13548</v>
      </c>
      <c r="F18" s="92"/>
      <c r="G18" s="96">
        <v>-5138</v>
      </c>
      <c r="H18" s="97">
        <v>0</v>
      </c>
      <c r="I18" s="98">
        <f t="shared" si="1"/>
        <v>-5138</v>
      </c>
      <c r="J18" s="93"/>
      <c r="K18" s="99">
        <f t="shared" si="4"/>
        <v>8410</v>
      </c>
      <c r="L18" s="119">
        <v>22809</v>
      </c>
      <c r="M18" s="119">
        <v>0</v>
      </c>
      <c r="N18" s="93"/>
      <c r="O18" s="100">
        <v>31219</v>
      </c>
      <c r="P18" s="98">
        <f t="shared" si="2"/>
        <v>0</v>
      </c>
      <c r="Q18" s="93"/>
      <c r="R18" s="99">
        <f t="shared" si="3"/>
        <v>20342</v>
      </c>
    </row>
    <row r="19" spans="1:18" ht="12.75">
      <c r="A19" s="7">
        <v>39239</v>
      </c>
      <c r="B19" s="96">
        <v>0</v>
      </c>
      <c r="C19" s="97">
        <v>6656.58</v>
      </c>
      <c r="D19" s="97">
        <v>43470</v>
      </c>
      <c r="E19" s="98">
        <f t="shared" si="0"/>
        <v>50127</v>
      </c>
      <c r="F19" s="92"/>
      <c r="G19" s="96">
        <v>0</v>
      </c>
      <c r="H19" s="97">
        <v>-43659</v>
      </c>
      <c r="I19" s="98">
        <f t="shared" si="1"/>
        <v>-43659</v>
      </c>
      <c r="J19" s="93"/>
      <c r="K19" s="99">
        <f t="shared" si="4"/>
        <v>6468</v>
      </c>
      <c r="L19" s="119">
        <v>29480</v>
      </c>
      <c r="M19" s="119">
        <v>0</v>
      </c>
      <c r="N19" s="93"/>
      <c r="O19" s="100">
        <v>35948</v>
      </c>
      <c r="P19" s="98">
        <f t="shared" si="2"/>
        <v>0</v>
      </c>
      <c r="Q19" s="93"/>
      <c r="R19" s="99">
        <f t="shared" si="3"/>
        <v>23424</v>
      </c>
    </row>
    <row r="20" spans="1:18" ht="12.75">
      <c r="A20" s="7">
        <v>39269</v>
      </c>
      <c r="B20" s="96">
        <v>0</v>
      </c>
      <c r="C20" s="97">
        <v>1467659.42</v>
      </c>
      <c r="D20" s="97">
        <v>0</v>
      </c>
      <c r="E20" s="98">
        <f t="shared" si="0"/>
        <v>1467659</v>
      </c>
      <c r="F20" s="92"/>
      <c r="G20" s="96">
        <v>-1200473</v>
      </c>
      <c r="H20" s="97">
        <v>0</v>
      </c>
      <c r="I20" s="98">
        <f t="shared" si="1"/>
        <v>-1200473</v>
      </c>
      <c r="J20" s="93"/>
      <c r="K20" s="99">
        <f t="shared" si="4"/>
        <v>267186</v>
      </c>
      <c r="L20" s="119">
        <v>29000</v>
      </c>
      <c r="M20" s="119">
        <v>0</v>
      </c>
      <c r="N20" s="93"/>
      <c r="O20" s="100">
        <v>296186</v>
      </c>
      <c r="P20" s="98">
        <f t="shared" si="2"/>
        <v>0</v>
      </c>
      <c r="Q20" s="93"/>
      <c r="R20" s="99">
        <f t="shared" si="3"/>
        <v>192995</v>
      </c>
    </row>
    <row r="21" spans="1:18" ht="12.75">
      <c r="A21" s="7">
        <v>39300</v>
      </c>
      <c r="B21" s="96">
        <v>0</v>
      </c>
      <c r="C21" s="97">
        <v>1916695.29</v>
      </c>
      <c r="D21" s="97">
        <v>0</v>
      </c>
      <c r="E21" s="98">
        <f t="shared" si="0"/>
        <v>1916695</v>
      </c>
      <c r="F21" s="92"/>
      <c r="G21" s="96">
        <v>-1564212</v>
      </c>
      <c r="H21" s="97">
        <v>0</v>
      </c>
      <c r="I21" s="98">
        <f t="shared" si="1"/>
        <v>-1564212</v>
      </c>
      <c r="J21" s="93"/>
      <c r="K21" s="99">
        <f t="shared" si="4"/>
        <v>352483</v>
      </c>
      <c r="L21" s="119">
        <v>29480</v>
      </c>
      <c r="M21" s="119">
        <v>0</v>
      </c>
      <c r="N21" s="93"/>
      <c r="O21" s="100">
        <v>352483</v>
      </c>
      <c r="P21" s="98">
        <f t="shared" si="2"/>
        <v>29480</v>
      </c>
      <c r="Q21" s="93"/>
      <c r="R21" s="99">
        <f t="shared" si="3"/>
        <v>229678</v>
      </c>
    </row>
    <row r="22" spans="1:18" ht="12.75">
      <c r="A22" s="7">
        <v>39331</v>
      </c>
      <c r="B22" s="96">
        <v>-174461</v>
      </c>
      <c r="C22" s="97">
        <v>855469</v>
      </c>
      <c r="D22" s="97">
        <v>77400</v>
      </c>
      <c r="E22" s="98">
        <f t="shared" si="0"/>
        <v>758408</v>
      </c>
      <c r="F22" s="92"/>
      <c r="G22" s="96">
        <v>-695750</v>
      </c>
      <c r="H22" s="97">
        <v>-76800</v>
      </c>
      <c r="I22" s="98">
        <f t="shared" si="1"/>
        <v>-772550</v>
      </c>
      <c r="J22" s="93"/>
      <c r="K22" s="99">
        <f t="shared" si="4"/>
        <v>-14142</v>
      </c>
      <c r="L22" s="119">
        <v>29480</v>
      </c>
      <c r="M22" s="119">
        <v>-10560</v>
      </c>
      <c r="N22" s="93"/>
      <c r="O22" s="100">
        <v>34258</v>
      </c>
      <c r="P22" s="98">
        <f t="shared" si="2"/>
        <v>-29480</v>
      </c>
      <c r="Q22" s="93"/>
      <c r="R22" s="99">
        <f t="shared" si="3"/>
        <v>22323</v>
      </c>
    </row>
    <row r="23" spans="1:18" ht="12.75">
      <c r="A23" s="7">
        <v>39361</v>
      </c>
      <c r="B23" s="96">
        <v>0</v>
      </c>
      <c r="C23" s="97">
        <v>369016</v>
      </c>
      <c r="D23" s="97">
        <v>0</v>
      </c>
      <c r="E23" s="98">
        <f t="shared" si="0"/>
        <v>369016</v>
      </c>
      <c r="F23" s="92"/>
      <c r="G23" s="96">
        <v>-318675</v>
      </c>
      <c r="H23" s="97">
        <v>0</v>
      </c>
      <c r="I23" s="98">
        <f t="shared" si="1"/>
        <v>-318675</v>
      </c>
      <c r="J23" s="93"/>
      <c r="K23" s="99">
        <f t="shared" si="4"/>
        <v>50341</v>
      </c>
      <c r="L23" s="119">
        <v>29000</v>
      </c>
      <c r="M23" s="119">
        <v>0</v>
      </c>
      <c r="N23" s="93"/>
      <c r="O23" s="100">
        <v>79341</v>
      </c>
      <c r="P23" s="98">
        <f t="shared" si="2"/>
        <v>0</v>
      </c>
      <c r="Q23" s="93"/>
      <c r="R23" s="99">
        <f t="shared" si="3"/>
        <v>51699</v>
      </c>
    </row>
    <row r="24" spans="1:18" ht="12.75">
      <c r="A24" s="7">
        <v>39392</v>
      </c>
      <c r="B24" s="96">
        <v>0</v>
      </c>
      <c r="C24" s="97">
        <v>641617.26</v>
      </c>
      <c r="D24" s="97">
        <v>0</v>
      </c>
      <c r="E24" s="98">
        <f t="shared" si="0"/>
        <v>641617</v>
      </c>
      <c r="F24" s="92"/>
      <c r="G24" s="96">
        <v>-528280</v>
      </c>
      <c r="H24" s="97">
        <v>0</v>
      </c>
      <c r="I24" s="98">
        <f t="shared" si="1"/>
        <v>-528280</v>
      </c>
      <c r="J24" s="93"/>
      <c r="K24" s="99">
        <f t="shared" si="4"/>
        <v>113337</v>
      </c>
      <c r="L24" s="119">
        <v>66583.74</v>
      </c>
      <c r="M24" s="119">
        <v>0</v>
      </c>
      <c r="N24" s="93"/>
      <c r="O24" s="100">
        <v>179921</v>
      </c>
      <c r="P24" s="98">
        <f t="shared" si="2"/>
        <v>0</v>
      </c>
      <c r="Q24" s="93"/>
      <c r="R24" s="99">
        <f t="shared" si="3"/>
        <v>117237</v>
      </c>
    </row>
    <row r="25" spans="1:18" ht="12.75">
      <c r="A25" s="7">
        <v>39422</v>
      </c>
      <c r="B25" s="101">
        <v>-54972</v>
      </c>
      <c r="C25" s="102">
        <v>514598</v>
      </c>
      <c r="D25" s="102">
        <v>0</v>
      </c>
      <c r="E25" s="103">
        <f t="shared" si="0"/>
        <v>459626</v>
      </c>
      <c r="F25" s="92"/>
      <c r="G25" s="101">
        <f>-12910518.66+12455862.73</f>
        <v>-454656</v>
      </c>
      <c r="H25" s="102">
        <v>0</v>
      </c>
      <c r="I25" s="103">
        <f t="shared" si="1"/>
        <v>-454656</v>
      </c>
      <c r="J25" s="93"/>
      <c r="K25" s="104">
        <f t="shared" si="4"/>
        <v>4970</v>
      </c>
      <c r="L25" s="120">
        <v>29480</v>
      </c>
      <c r="M25" s="120">
        <f>10560-10560</f>
        <v>0</v>
      </c>
      <c r="N25" s="93"/>
      <c r="O25" s="105">
        <v>34450</v>
      </c>
      <c r="P25" s="103">
        <f t="shared" si="2"/>
        <v>0</v>
      </c>
      <c r="Q25" s="93"/>
      <c r="R25" s="104">
        <f t="shared" si="3"/>
        <v>22448</v>
      </c>
    </row>
    <row r="26" spans="1:18" ht="12.75">
      <c r="A26" s="7"/>
      <c r="B26" s="92"/>
      <c r="C26" s="92"/>
      <c r="D26" s="92"/>
      <c r="E26" s="92"/>
      <c r="F26" s="92"/>
      <c r="G26" s="92"/>
      <c r="H26" s="92"/>
      <c r="I26" s="92"/>
      <c r="J26" s="92"/>
      <c r="K26" s="106" t="s">
        <v>34</v>
      </c>
      <c r="L26" s="92"/>
      <c r="M26" s="92"/>
      <c r="N26" s="92"/>
      <c r="O26" s="93"/>
      <c r="P26" s="92"/>
      <c r="Q26" s="92"/>
      <c r="R26" s="107"/>
    </row>
    <row r="27" spans="1:18" ht="13.5" thickBot="1">
      <c r="A27" s="78"/>
      <c r="B27" s="108">
        <f>SUM(B14:B25)</f>
        <v>-189261</v>
      </c>
      <c r="C27" s="108">
        <f>SUM(C14:C25)</f>
        <v>16643556</v>
      </c>
      <c r="D27" s="108">
        <f>SUM(D14:D25)</f>
        <v>120870</v>
      </c>
      <c r="E27" s="109">
        <f>SUM(E14:E25)</f>
        <v>16575164</v>
      </c>
      <c r="F27" s="109"/>
      <c r="G27" s="108">
        <f>SUM(G14:G25)</f>
        <v>-12910517</v>
      </c>
      <c r="H27" s="108">
        <f>SUM(H14:H25)</f>
        <v>-120459</v>
      </c>
      <c r="I27" s="110">
        <f>SUM(I14:I25)</f>
        <v>-13030976</v>
      </c>
      <c r="J27" s="110"/>
      <c r="K27" s="111">
        <f>SUM(K14:K25)</f>
        <v>3544188</v>
      </c>
      <c r="L27" s="108">
        <f>SUM(L14:L25)</f>
        <v>323713</v>
      </c>
      <c r="M27" s="108">
        <f>SUM(M14:M25)</f>
        <v>-10560</v>
      </c>
      <c r="N27" s="110"/>
      <c r="O27" s="109">
        <f>SUM(O14:O25)</f>
        <v>3857341</v>
      </c>
      <c r="P27" s="109">
        <f>SUM(P14:P25)</f>
        <v>0</v>
      </c>
      <c r="Q27" s="110"/>
      <c r="R27" s="111">
        <f>SUM(R14:R25)</f>
        <v>2513445</v>
      </c>
    </row>
    <row r="28" spans="1:18" ht="13.5" thickTop="1">
      <c r="A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2"/>
      <c r="P28" s="2"/>
      <c r="Q28" s="2"/>
      <c r="R28" s="2"/>
    </row>
    <row r="29" spans="6:15" ht="12.75">
      <c r="F29" s="2"/>
      <c r="K29" s="59"/>
      <c r="O29" s="12"/>
    </row>
    <row r="30" spans="6:15" ht="12.75">
      <c r="F30" s="2"/>
      <c r="K30" s="59"/>
      <c r="O30" s="12"/>
    </row>
    <row r="31" spans="1:18" ht="12.75">
      <c r="A31" s="83">
        <v>-1</v>
      </c>
      <c r="B31" t="s">
        <v>72</v>
      </c>
      <c r="D31" t="s">
        <v>68</v>
      </c>
      <c r="F31" s="2"/>
      <c r="I31" s="59"/>
      <c r="K31" s="56"/>
      <c r="L31" s="56"/>
      <c r="M31" s="56"/>
      <c r="O31" s="12"/>
      <c r="R31" s="3"/>
    </row>
    <row r="32" spans="1:15" ht="12.75">
      <c r="A32" s="83">
        <v>-2</v>
      </c>
      <c r="B32" t="s">
        <v>73</v>
      </c>
      <c r="C32" t="s">
        <v>76</v>
      </c>
      <c r="D32" t="s">
        <v>82</v>
      </c>
      <c r="O32" s="13"/>
    </row>
    <row r="33" spans="1:15" ht="12.75">
      <c r="A33" s="83">
        <v>-3</v>
      </c>
      <c r="B33" t="s">
        <v>74</v>
      </c>
      <c r="C33" t="s">
        <v>80</v>
      </c>
      <c r="D33" t="s">
        <v>75</v>
      </c>
      <c r="O33" s="13"/>
    </row>
    <row r="35" ht="12.75">
      <c r="O35" s="14"/>
    </row>
    <row r="36" ht="12.75">
      <c r="O36" s="14"/>
    </row>
    <row r="37" ht="12.75">
      <c r="O37" s="13"/>
    </row>
    <row r="38" ht="12.75">
      <c r="O38" s="15"/>
    </row>
    <row r="39" ht="12.75">
      <c r="O39" s="13"/>
    </row>
    <row r="40" ht="12.75">
      <c r="O40" s="14"/>
    </row>
    <row r="41" ht="12.75">
      <c r="O41" s="12"/>
    </row>
  </sheetData>
  <printOptions/>
  <pageMargins left="0.5" right="0" top="0.5" bottom="0.5" header="0.25" footer="0.25"/>
  <pageSetup cellComments="atEnd" fitToHeight="1" fitToWidth="1" horizontalDpi="600" verticalDpi="600" orientation="landscape" scale="74" r:id="rId3"/>
  <headerFooter alignWithMargins="0">
    <oddFooter>&amp;L&amp;Z
&amp;F&amp;C&amp;A&amp;R&amp;D  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7.28125" style="0" customWidth="1"/>
    <col min="2" max="2" width="19.00390625" style="0" customWidth="1"/>
    <col min="3" max="3" width="18.140625" style="0" customWidth="1"/>
    <col min="4" max="4" width="13.7109375" style="0" bestFit="1" customWidth="1"/>
    <col min="5" max="5" width="10.7109375" style="0" bestFit="1" customWidth="1"/>
    <col min="6" max="6" width="1.7109375" style="0" customWidth="1"/>
    <col min="7" max="7" width="14.140625" style="0" bestFit="1" customWidth="1"/>
    <col min="8" max="8" width="13.7109375" style="0" bestFit="1" customWidth="1"/>
    <col min="9" max="9" width="11.28125" style="0" bestFit="1" customWidth="1"/>
    <col min="10" max="10" width="1.7109375" style="0" customWidth="1"/>
    <col min="11" max="11" width="11.00390625" style="0" bestFit="1" customWidth="1"/>
    <col min="12" max="12" width="14.57421875" style="0" bestFit="1" customWidth="1"/>
    <col min="13" max="13" width="11.421875" style="0" bestFit="1" customWidth="1"/>
    <col min="14" max="14" width="14.57421875" style="0" bestFit="1" customWidth="1"/>
    <col min="15" max="15" width="1.7109375" style="0" customWidth="1"/>
    <col min="16" max="16" width="11.140625" style="0" bestFit="1" customWidth="1"/>
    <col min="17" max="17" width="10.7109375" style="0" bestFit="1" customWidth="1"/>
    <col min="18" max="18" width="10.421875" style="124" bestFit="1" customWidth="1"/>
  </cols>
  <sheetData>
    <row r="1" spans="1:18" ht="12.7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30"/>
    </row>
    <row r="2" spans="1:18" ht="12.75">
      <c r="A2" s="77" t="s">
        <v>8</v>
      </c>
      <c r="B2" s="77"/>
      <c r="C2" s="77"/>
      <c r="D2" s="77"/>
      <c r="E2" s="145" t="s">
        <v>102</v>
      </c>
      <c r="F2" s="77"/>
      <c r="G2" s="145" t="s">
        <v>103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130"/>
    </row>
    <row r="3" spans="1:18" ht="12.75">
      <c r="A3" s="77" t="s">
        <v>9</v>
      </c>
      <c r="B3" s="77"/>
      <c r="C3" s="77"/>
      <c r="D3" s="138">
        <v>0.6583</v>
      </c>
      <c r="E3" s="144">
        <v>39448</v>
      </c>
      <c r="F3" s="77"/>
      <c r="G3" s="144">
        <v>39813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130"/>
    </row>
    <row r="4" spans="1:18" ht="12.75">
      <c r="A4" s="112" t="s">
        <v>10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130"/>
    </row>
    <row r="5" spans="1:18" ht="12.75">
      <c r="A5" s="77" t="s">
        <v>85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130"/>
    </row>
    <row r="6" ht="12.75"/>
    <row r="7" ht="12.75"/>
    <row r="8" s="72" customFormat="1" ht="12">
      <c r="R8" s="131"/>
    </row>
    <row r="9" spans="2:18" s="72" customFormat="1" ht="12">
      <c r="B9" s="73" t="s">
        <v>95</v>
      </c>
      <c r="C9" s="73" t="s">
        <v>43</v>
      </c>
      <c r="D9" s="73" t="s">
        <v>43</v>
      </c>
      <c r="E9" s="73" t="s">
        <v>44</v>
      </c>
      <c r="F9" s="73"/>
      <c r="G9" s="73" t="s">
        <v>42</v>
      </c>
      <c r="H9" s="73" t="s">
        <v>42</v>
      </c>
      <c r="I9" s="73" t="s">
        <v>44</v>
      </c>
      <c r="J9" s="73"/>
      <c r="K9" s="73" t="s">
        <v>5</v>
      </c>
      <c r="L9" s="73"/>
      <c r="M9" s="73"/>
      <c r="N9" s="73" t="s">
        <v>65</v>
      </c>
      <c r="O9" s="73"/>
      <c r="R9" s="132"/>
    </row>
    <row r="10" spans="2:18" s="121" customFormat="1" ht="12">
      <c r="B10" s="122" t="s">
        <v>94</v>
      </c>
      <c r="C10" s="122" t="s">
        <v>40</v>
      </c>
      <c r="D10" s="122" t="s">
        <v>41</v>
      </c>
      <c r="E10" s="122" t="s">
        <v>0</v>
      </c>
      <c r="F10" s="122"/>
      <c r="G10" s="122" t="s">
        <v>86</v>
      </c>
      <c r="H10" s="122" t="s">
        <v>38</v>
      </c>
      <c r="I10" s="122" t="s">
        <v>4</v>
      </c>
      <c r="J10" s="122"/>
      <c r="K10" s="122" t="s">
        <v>6</v>
      </c>
      <c r="L10" s="122" t="s">
        <v>58</v>
      </c>
      <c r="M10" s="122" t="s">
        <v>105</v>
      </c>
      <c r="N10" s="122" t="s">
        <v>87</v>
      </c>
      <c r="O10" s="122"/>
      <c r="P10" s="123" t="s">
        <v>98</v>
      </c>
      <c r="Q10" s="114" t="s">
        <v>61</v>
      </c>
      <c r="R10" s="133"/>
    </row>
    <row r="11" spans="2:18" s="72" customFormat="1" ht="12">
      <c r="B11" s="73" t="s">
        <v>57</v>
      </c>
      <c r="C11" s="73" t="s">
        <v>57</v>
      </c>
      <c r="D11" s="73" t="s">
        <v>57</v>
      </c>
      <c r="E11" s="73" t="s">
        <v>57</v>
      </c>
      <c r="F11" s="73"/>
      <c r="G11" s="73" t="s">
        <v>92</v>
      </c>
      <c r="H11" s="73" t="s">
        <v>57</v>
      </c>
      <c r="I11" s="73" t="s">
        <v>57</v>
      </c>
      <c r="J11" s="73"/>
      <c r="K11" s="73" t="s">
        <v>7</v>
      </c>
      <c r="L11" s="73" t="s">
        <v>78</v>
      </c>
      <c r="M11" s="122" t="s">
        <v>88</v>
      </c>
      <c r="N11" s="73" t="s">
        <v>78</v>
      </c>
      <c r="O11" s="73"/>
      <c r="P11" s="74" t="s">
        <v>60</v>
      </c>
      <c r="Q11" s="73" t="s">
        <v>90</v>
      </c>
      <c r="R11" s="132"/>
    </row>
    <row r="12" spans="1:18" s="72" customFormat="1" ht="12">
      <c r="A12" s="75" t="s">
        <v>13</v>
      </c>
      <c r="B12" s="75" t="s">
        <v>100</v>
      </c>
      <c r="C12" s="75" t="s">
        <v>45</v>
      </c>
      <c r="D12" s="75" t="s">
        <v>67</v>
      </c>
      <c r="E12" s="75" t="s">
        <v>45</v>
      </c>
      <c r="F12" s="75"/>
      <c r="G12" s="75" t="s">
        <v>47</v>
      </c>
      <c r="H12" s="75" t="s">
        <v>67</v>
      </c>
      <c r="I12" s="75" t="s">
        <v>47</v>
      </c>
      <c r="J12" s="75"/>
      <c r="K12" s="75" t="s">
        <v>77</v>
      </c>
      <c r="L12" s="75" t="s">
        <v>101</v>
      </c>
      <c r="M12" s="75" t="s">
        <v>89</v>
      </c>
      <c r="N12" s="75" t="s">
        <v>101</v>
      </c>
      <c r="O12" s="75"/>
      <c r="P12" s="75" t="s">
        <v>71</v>
      </c>
      <c r="Q12" s="75" t="s">
        <v>91</v>
      </c>
      <c r="R12" s="134"/>
    </row>
    <row r="13" spans="1:13" ht="12.75">
      <c r="A13" s="1"/>
      <c r="L13" s="117"/>
      <c r="M13" s="124"/>
    </row>
    <row r="14" spans="1:18" ht="12.75">
      <c r="A14" s="7">
        <v>39448</v>
      </c>
      <c r="B14" s="89">
        <v>0</v>
      </c>
      <c r="C14" s="90">
        <f>1134921-15646</f>
        <v>1119275</v>
      </c>
      <c r="D14" s="90">
        <v>0</v>
      </c>
      <c r="E14" s="91">
        <f aca="true" t="shared" si="0" ref="E14:E25">SUM(B14:D14)</f>
        <v>1119275</v>
      </c>
      <c r="F14" s="92"/>
      <c r="G14" s="89">
        <v>-1119405</v>
      </c>
      <c r="H14" s="90">
        <v>0</v>
      </c>
      <c r="I14" s="91">
        <f aca="true" t="shared" si="1" ref="I14:I25">SUM(G14:H14)</f>
        <v>-1119405</v>
      </c>
      <c r="J14" s="93"/>
      <c r="K14" s="116">
        <f aca="true" t="shared" si="2" ref="K14:K25">E14+I14</f>
        <v>-130</v>
      </c>
      <c r="L14" s="118">
        <v>29760</v>
      </c>
      <c r="M14" s="89">
        <v>0</v>
      </c>
      <c r="N14" s="118">
        <v>0</v>
      </c>
      <c r="O14" s="93"/>
      <c r="P14" s="125">
        <v>29630</v>
      </c>
      <c r="Q14" s="91">
        <f aca="true" t="shared" si="3" ref="Q14:Q25">SUM(K14:N14)-P14</f>
        <v>0</v>
      </c>
      <c r="R14" s="135"/>
    </row>
    <row r="15" spans="1:18" ht="12.75">
      <c r="A15" s="7">
        <v>39479</v>
      </c>
      <c r="B15" s="96">
        <v>0</v>
      </c>
      <c r="C15" s="97">
        <f>115597.35-17833.42</f>
        <v>97764</v>
      </c>
      <c r="D15" s="97">
        <v>0</v>
      </c>
      <c r="E15" s="98">
        <f t="shared" si="0"/>
        <v>97764</v>
      </c>
      <c r="F15" s="92"/>
      <c r="G15" s="96">
        <v>-116900</v>
      </c>
      <c r="H15" s="97">
        <v>0</v>
      </c>
      <c r="I15" s="98">
        <f>SUM(G15:H15)</f>
        <v>-116900</v>
      </c>
      <c r="J15" s="93"/>
      <c r="K15" s="99">
        <f t="shared" si="2"/>
        <v>-19136</v>
      </c>
      <c r="L15" s="119">
        <v>26880</v>
      </c>
      <c r="M15" s="96">
        <v>0</v>
      </c>
      <c r="N15" s="119">
        <v>0</v>
      </c>
      <c r="O15" s="93"/>
      <c r="P15" s="126">
        <v>7744</v>
      </c>
      <c r="Q15" s="98">
        <f t="shared" si="3"/>
        <v>0</v>
      </c>
      <c r="R15" s="135"/>
    </row>
    <row r="16" spans="1:18" ht="12.75">
      <c r="A16" s="7">
        <v>39508</v>
      </c>
      <c r="B16" s="96">
        <f>10545.93+15381.72</f>
        <v>25928</v>
      </c>
      <c r="C16" s="97">
        <v>14107209</v>
      </c>
      <c r="D16" s="97">
        <v>0</v>
      </c>
      <c r="E16" s="98">
        <f t="shared" si="0"/>
        <v>14133137</v>
      </c>
      <c r="F16" s="92"/>
      <c r="G16" s="96">
        <v>-13341327</v>
      </c>
      <c r="H16" s="97">
        <v>0</v>
      </c>
      <c r="I16" s="98">
        <f t="shared" si="1"/>
        <v>-13341327</v>
      </c>
      <c r="J16" s="93"/>
      <c r="K16" s="99">
        <f t="shared" si="2"/>
        <v>791810</v>
      </c>
      <c r="L16" s="119">
        <v>30680</v>
      </c>
      <c r="M16" s="96">
        <f>-29760+-29760+-27840</f>
        <v>-87360</v>
      </c>
      <c r="N16" s="119">
        <v>0</v>
      </c>
      <c r="O16" s="93"/>
      <c r="P16" s="126">
        <f>709202+10545.93+15381.72</f>
        <v>735130</v>
      </c>
      <c r="Q16" s="98">
        <f t="shared" si="3"/>
        <v>0</v>
      </c>
      <c r="R16" s="135"/>
    </row>
    <row r="17" spans="1:18" ht="12.75">
      <c r="A17" s="7">
        <v>39539</v>
      </c>
      <c r="B17" s="96">
        <v>0</v>
      </c>
      <c r="C17" s="97">
        <v>664</v>
      </c>
      <c r="D17" s="97">
        <v>0</v>
      </c>
      <c r="E17" s="98">
        <f t="shared" si="0"/>
        <v>664</v>
      </c>
      <c r="F17" s="92"/>
      <c r="G17" s="96">
        <v>0</v>
      </c>
      <c r="H17" s="97">
        <v>0</v>
      </c>
      <c r="I17" s="98">
        <f t="shared" si="1"/>
        <v>0</v>
      </c>
      <c r="J17" s="93"/>
      <c r="K17" s="99">
        <f t="shared" si="2"/>
        <v>664</v>
      </c>
      <c r="L17" s="119">
        <v>28800</v>
      </c>
      <c r="M17" s="96">
        <v>-28760</v>
      </c>
      <c r="N17" s="119">
        <v>-2500</v>
      </c>
      <c r="O17" s="93"/>
      <c r="P17" s="126">
        <v>-1796</v>
      </c>
      <c r="Q17" s="98">
        <f t="shared" si="3"/>
        <v>0</v>
      </c>
      <c r="R17" s="135"/>
    </row>
    <row r="18" spans="1:18" ht="12.75">
      <c r="A18" s="7">
        <v>39569</v>
      </c>
      <c r="B18" s="96">
        <v>0</v>
      </c>
      <c r="C18" s="97">
        <v>0</v>
      </c>
      <c r="D18" s="97">
        <v>0</v>
      </c>
      <c r="E18" s="98">
        <f t="shared" si="0"/>
        <v>0</v>
      </c>
      <c r="F18" s="92"/>
      <c r="G18" s="96">
        <v>-12693</v>
      </c>
      <c r="H18" s="97">
        <v>0</v>
      </c>
      <c r="I18" s="98">
        <f t="shared" si="1"/>
        <v>-12693</v>
      </c>
      <c r="J18" s="93"/>
      <c r="K18" s="99">
        <f t="shared" si="2"/>
        <v>-12693</v>
      </c>
      <c r="L18" s="119">
        <v>29760</v>
      </c>
      <c r="M18" s="96">
        <v>-29760</v>
      </c>
      <c r="N18" s="119">
        <v>0</v>
      </c>
      <c r="O18" s="93"/>
      <c r="P18" s="126">
        <v>-12693</v>
      </c>
      <c r="Q18" s="98">
        <f t="shared" si="3"/>
        <v>0</v>
      </c>
      <c r="R18" s="135"/>
    </row>
    <row r="19" spans="1:18" ht="12.75">
      <c r="A19" s="7">
        <v>39600</v>
      </c>
      <c r="B19" s="96">
        <v>0</v>
      </c>
      <c r="C19" s="97">
        <v>0</v>
      </c>
      <c r="D19" s="97">
        <v>0</v>
      </c>
      <c r="E19" s="98">
        <f t="shared" si="0"/>
        <v>0</v>
      </c>
      <c r="F19" s="92"/>
      <c r="G19" s="96">
        <v>-397115</v>
      </c>
      <c r="H19" s="97">
        <v>0</v>
      </c>
      <c r="I19" s="98">
        <f t="shared" si="1"/>
        <v>-397115</v>
      </c>
      <c r="J19" s="93"/>
      <c r="K19" s="99">
        <f>E19+I19</f>
        <v>-397115</v>
      </c>
      <c r="L19" s="119">
        <v>28800</v>
      </c>
      <c r="M19" s="96">
        <v>-28800</v>
      </c>
      <c r="N19" s="119">
        <v>0</v>
      </c>
      <c r="O19" s="93"/>
      <c r="P19" s="126">
        <v>-397115</v>
      </c>
      <c r="Q19" s="98">
        <f t="shared" si="3"/>
        <v>0</v>
      </c>
      <c r="R19" s="135"/>
    </row>
    <row r="20" spans="1:18" ht="12.75">
      <c r="A20" s="7">
        <v>39630</v>
      </c>
      <c r="B20" s="96">
        <v>0</v>
      </c>
      <c r="C20" s="97">
        <v>19330415</v>
      </c>
      <c r="D20" s="97">
        <v>0</v>
      </c>
      <c r="E20" s="98">
        <f t="shared" si="0"/>
        <v>19330415</v>
      </c>
      <c r="F20" s="92"/>
      <c r="G20" s="96">
        <v>-22644582</v>
      </c>
      <c r="H20" s="97">
        <v>0</v>
      </c>
      <c r="I20" s="98">
        <f t="shared" si="1"/>
        <v>-22644582</v>
      </c>
      <c r="J20" s="93"/>
      <c r="K20" s="99">
        <f t="shared" si="2"/>
        <v>-3314167</v>
      </c>
      <c r="L20" s="119">
        <v>29760</v>
      </c>
      <c r="M20" s="96">
        <v>-29760</v>
      </c>
      <c r="N20" s="119">
        <v>0</v>
      </c>
      <c r="O20" s="93"/>
      <c r="P20" s="126">
        <v>-3314167</v>
      </c>
      <c r="Q20" s="98">
        <f t="shared" si="3"/>
        <v>0</v>
      </c>
      <c r="R20" s="135"/>
    </row>
    <row r="21" spans="1:18" ht="12.75">
      <c r="A21" s="7">
        <v>39661</v>
      </c>
      <c r="B21" s="96">
        <v>0</v>
      </c>
      <c r="C21" s="97">
        <v>1519071</v>
      </c>
      <c r="D21" s="97">
        <v>0</v>
      </c>
      <c r="E21" s="98">
        <f t="shared" si="0"/>
        <v>1519071</v>
      </c>
      <c r="F21" s="92"/>
      <c r="G21" s="96">
        <v>-1368112</v>
      </c>
      <c r="H21" s="97">
        <v>0</v>
      </c>
      <c r="I21" s="98">
        <f t="shared" si="1"/>
        <v>-1368112</v>
      </c>
      <c r="J21" s="93"/>
      <c r="K21" s="99">
        <f t="shared" si="2"/>
        <v>150959</v>
      </c>
      <c r="L21" s="119">
        <v>29760</v>
      </c>
      <c r="M21" s="96">
        <v>-29760</v>
      </c>
      <c r="N21" s="119">
        <v>0</v>
      </c>
      <c r="O21" s="93"/>
      <c r="P21" s="126">
        <f>C21+G21</f>
        <v>150959</v>
      </c>
      <c r="Q21" s="98">
        <f t="shared" si="3"/>
        <v>0</v>
      </c>
      <c r="R21" s="135"/>
    </row>
    <row r="22" spans="1:18" ht="12.75">
      <c r="A22" s="7">
        <v>39692</v>
      </c>
      <c r="B22" s="96">
        <v>2705100</v>
      </c>
      <c r="C22" s="97">
        <v>1404818</v>
      </c>
      <c r="D22" s="97">
        <v>0</v>
      </c>
      <c r="E22" s="98">
        <f t="shared" si="0"/>
        <v>4109918</v>
      </c>
      <c r="F22" s="92"/>
      <c r="G22" s="96">
        <v>-1497574</v>
      </c>
      <c r="H22" s="97">
        <v>0</v>
      </c>
      <c r="I22" s="98">
        <f t="shared" si="1"/>
        <v>-1497574</v>
      </c>
      <c r="J22" s="93"/>
      <c r="K22" s="99">
        <f>E22+I22</f>
        <v>2612344</v>
      </c>
      <c r="L22" s="119">
        <v>27149</v>
      </c>
      <c r="M22" s="96">
        <v>-28800</v>
      </c>
      <c r="N22" s="119">
        <v>0</v>
      </c>
      <c r="O22" s="93"/>
      <c r="P22" s="126">
        <f>K22+L22+M22</f>
        <v>2610693</v>
      </c>
      <c r="Q22" s="98">
        <f t="shared" si="3"/>
        <v>0</v>
      </c>
      <c r="R22" s="135"/>
    </row>
    <row r="23" spans="1:18" ht="12.75">
      <c r="A23" s="7">
        <v>39722</v>
      </c>
      <c r="B23" s="96">
        <v>0</v>
      </c>
      <c r="C23" s="97">
        <v>588629</v>
      </c>
      <c r="D23" s="97">
        <v>0</v>
      </c>
      <c r="E23" s="98">
        <f t="shared" si="0"/>
        <v>588629</v>
      </c>
      <c r="F23" s="92"/>
      <c r="G23" s="96">
        <v>-490653</v>
      </c>
      <c r="H23" s="97">
        <v>0</v>
      </c>
      <c r="I23" s="98">
        <f t="shared" si="1"/>
        <v>-490653</v>
      </c>
      <c r="J23" s="93"/>
      <c r="K23" s="99">
        <f t="shared" si="2"/>
        <v>97976</v>
      </c>
      <c r="L23" s="119">
        <v>29760</v>
      </c>
      <c r="M23" s="96">
        <v>-29800</v>
      </c>
      <c r="N23" s="119"/>
      <c r="O23" s="93"/>
      <c r="P23" s="126">
        <f>K23+L23+M23</f>
        <v>97936</v>
      </c>
      <c r="Q23" s="98">
        <f t="shared" si="3"/>
        <v>0</v>
      </c>
      <c r="R23" s="135"/>
    </row>
    <row r="24" spans="1:18" ht="12.75">
      <c r="A24" s="7">
        <v>39753</v>
      </c>
      <c r="B24" s="96">
        <v>0</v>
      </c>
      <c r="C24" s="97">
        <v>2143872</v>
      </c>
      <c r="D24" s="97">
        <v>0</v>
      </c>
      <c r="E24" s="98">
        <f t="shared" si="0"/>
        <v>2143872</v>
      </c>
      <c r="F24" s="92"/>
      <c r="G24" s="96">
        <v>-1626410</v>
      </c>
      <c r="H24" s="97">
        <v>0</v>
      </c>
      <c r="I24" s="98">
        <f t="shared" si="1"/>
        <v>-1626410</v>
      </c>
      <c r="J24" s="93"/>
      <c r="K24" s="99">
        <f t="shared" si="2"/>
        <v>517462</v>
      </c>
      <c r="L24" s="119">
        <v>28840</v>
      </c>
      <c r="M24" s="96">
        <v>-28800</v>
      </c>
      <c r="N24" s="119"/>
      <c r="O24" s="93"/>
      <c r="P24" s="126">
        <f>K24+L24+M24</f>
        <v>517502</v>
      </c>
      <c r="Q24" s="98">
        <f t="shared" si="3"/>
        <v>0</v>
      </c>
      <c r="R24" s="135"/>
    </row>
    <row r="25" spans="1:18" ht="12.75">
      <c r="A25" s="7">
        <v>39783</v>
      </c>
      <c r="B25" s="101">
        <v>0</v>
      </c>
      <c r="C25" s="102">
        <v>2765474</v>
      </c>
      <c r="D25" s="102">
        <v>0</v>
      </c>
      <c r="E25" s="103">
        <f t="shared" si="0"/>
        <v>2765474</v>
      </c>
      <c r="F25" s="92"/>
      <c r="G25" s="101">
        <v>-2080230</v>
      </c>
      <c r="H25" s="137">
        <v>0</v>
      </c>
      <c r="I25" s="103">
        <f t="shared" si="1"/>
        <v>-2080230</v>
      </c>
      <c r="J25" s="93"/>
      <c r="K25" s="104">
        <f t="shared" si="2"/>
        <v>685244</v>
      </c>
      <c r="L25" s="120">
        <v>29760</v>
      </c>
      <c r="M25" s="101">
        <v>-29760</v>
      </c>
      <c r="N25" s="120"/>
      <c r="O25" s="93"/>
      <c r="P25" s="127">
        <v>685244</v>
      </c>
      <c r="Q25" s="103">
        <f t="shared" si="3"/>
        <v>0</v>
      </c>
      <c r="R25" s="135"/>
    </row>
    <row r="26" spans="1:18" ht="12.75">
      <c r="A26" s="7"/>
      <c r="B26" s="92"/>
      <c r="C26" s="92"/>
      <c r="D26" s="92"/>
      <c r="E26" s="92"/>
      <c r="F26" s="92"/>
      <c r="G26" s="92"/>
      <c r="H26" s="92"/>
      <c r="I26" s="92"/>
      <c r="J26" s="92"/>
      <c r="K26" s="106" t="s">
        <v>34</v>
      </c>
      <c r="L26" s="92"/>
      <c r="M26" s="92"/>
      <c r="N26" s="92"/>
      <c r="O26" s="92"/>
      <c r="P26" s="93"/>
      <c r="Q26" s="92"/>
      <c r="R26" s="135"/>
    </row>
    <row r="27" spans="1:18" ht="13.5" thickBot="1">
      <c r="A27" s="78"/>
      <c r="B27" s="108">
        <f>SUM(B14:B25)</f>
        <v>2731028</v>
      </c>
      <c r="C27" s="108">
        <f>SUM(C14:C25)</f>
        <v>43077191</v>
      </c>
      <c r="D27" s="108">
        <f>SUM(D14:D25)</f>
        <v>0</v>
      </c>
      <c r="E27" s="108">
        <f>SUM(E14:E25)</f>
        <v>45808219</v>
      </c>
      <c r="F27" s="109"/>
      <c r="G27" s="108">
        <f>SUM(G14:G25)</f>
        <v>-44695001</v>
      </c>
      <c r="H27" s="108">
        <f>SUM(H14:H25)</f>
        <v>0</v>
      </c>
      <c r="I27" s="108">
        <f>SUM(I14:I25)</f>
        <v>-44695001</v>
      </c>
      <c r="J27" s="108"/>
      <c r="K27" s="128">
        <f>SUM(K14:K25)</f>
        <v>1113218</v>
      </c>
      <c r="L27" s="108">
        <f>SUM(L14:L25)</f>
        <v>349709</v>
      </c>
      <c r="M27" s="108">
        <f>SUM(M14:M25)</f>
        <v>-351360</v>
      </c>
      <c r="N27" s="108">
        <f>SUM(N14:N25)</f>
        <v>-2500</v>
      </c>
      <c r="O27" s="110"/>
      <c r="P27" s="108">
        <f>SUM(P14:P25)</f>
        <v>1109067</v>
      </c>
      <c r="Q27" s="108">
        <f>SUM(Q14:Q25)</f>
        <v>0</v>
      </c>
      <c r="R27" s="135"/>
    </row>
    <row r="28" spans="1:18" ht="13.5" thickTop="1">
      <c r="A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2"/>
      <c r="Q28" s="2"/>
      <c r="R28" s="135"/>
    </row>
    <row r="29" spans="1:18" ht="12.75">
      <c r="A29" s="83">
        <v>-1</v>
      </c>
      <c r="B29" t="s">
        <v>72</v>
      </c>
      <c r="C29" s="129" t="s">
        <v>93</v>
      </c>
      <c r="D29" t="s">
        <v>96</v>
      </c>
      <c r="F29" s="2"/>
      <c r="I29" s="59"/>
      <c r="K29" s="56"/>
      <c r="L29" s="56"/>
      <c r="M29" s="56"/>
      <c r="N29" s="56"/>
      <c r="P29" s="12"/>
      <c r="R29" s="136"/>
    </row>
    <row r="30" spans="1:16" ht="12.75">
      <c r="A30" s="83">
        <v>-2</v>
      </c>
      <c r="B30" t="s">
        <v>73</v>
      </c>
      <c r="C30" t="s">
        <v>76</v>
      </c>
      <c r="D30" t="s">
        <v>82</v>
      </c>
      <c r="P30" s="13"/>
    </row>
    <row r="31" spans="1:18" s="141" customFormat="1" ht="38.25">
      <c r="A31" s="140">
        <v>-3</v>
      </c>
      <c r="B31" s="139" t="s">
        <v>97</v>
      </c>
      <c r="C31" s="139" t="s">
        <v>106</v>
      </c>
      <c r="P31" s="142"/>
      <c r="R31" s="143"/>
    </row>
    <row r="32" spans="1:4" ht="12.75">
      <c r="A32" s="83">
        <v>-4</v>
      </c>
      <c r="B32" t="s">
        <v>74</v>
      </c>
      <c r="C32" t="s">
        <v>107</v>
      </c>
      <c r="D32" t="s">
        <v>75</v>
      </c>
    </row>
    <row r="33" ht="12.75">
      <c r="P33" s="14"/>
    </row>
    <row r="34" ht="12.75">
      <c r="P34" s="14"/>
    </row>
    <row r="35" ht="12.75">
      <c r="P35" s="13"/>
    </row>
    <row r="36" ht="12.75">
      <c r="P36" s="15"/>
    </row>
    <row r="37" ht="12.75">
      <c r="P37" s="13"/>
    </row>
    <row r="38" ht="12.75">
      <c r="P38" s="14"/>
    </row>
    <row r="39" ht="12.75">
      <c r="P39" s="12"/>
    </row>
  </sheetData>
  <printOptions/>
  <pageMargins left="0.5" right="0" top="0.5" bottom="0.5" header="0.25" footer="0.25"/>
  <pageSetup cellComments="atEnd" fitToHeight="1" fitToWidth="1" horizontalDpi="600" verticalDpi="600" orientation="landscape" scale="67" r:id="rId3"/>
  <headerFooter alignWithMargins="0">
    <oddFooter>&amp;L&amp;Z&amp;F  &amp;A
&amp;D  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selection activeCell="A29" sqref="A29:IV30"/>
    </sheetView>
  </sheetViews>
  <sheetFormatPr defaultColWidth="9.140625" defaultRowHeight="12.75"/>
  <cols>
    <col min="1" max="1" width="7.28125" style="0" customWidth="1"/>
    <col min="2" max="2" width="19.00390625" style="0" customWidth="1"/>
    <col min="3" max="3" width="18.140625" style="0" customWidth="1"/>
    <col min="4" max="4" width="13.7109375" style="0" bestFit="1" customWidth="1"/>
    <col min="5" max="5" width="10.7109375" style="0" bestFit="1" customWidth="1"/>
    <col min="6" max="6" width="1.7109375" style="0" customWidth="1"/>
    <col min="7" max="8" width="13.7109375" style="0" bestFit="1" customWidth="1"/>
    <col min="9" max="9" width="11.28125" style="0" bestFit="1" customWidth="1"/>
    <col min="10" max="10" width="1.7109375" style="0" customWidth="1"/>
    <col min="11" max="11" width="11.00390625" style="0" bestFit="1" customWidth="1"/>
    <col min="12" max="12" width="14.57421875" style="0" bestFit="1" customWidth="1"/>
    <col min="13" max="13" width="14.57421875" style="0" customWidth="1"/>
    <col min="14" max="14" width="14.57421875" style="0" bestFit="1" customWidth="1"/>
    <col min="15" max="15" width="1.7109375" style="0" customWidth="1"/>
    <col min="16" max="16" width="11.140625" style="0" bestFit="1" customWidth="1"/>
    <col min="17" max="17" width="10.7109375" style="0" bestFit="1" customWidth="1"/>
    <col min="18" max="18" width="10.421875" style="124" bestFit="1" customWidth="1"/>
  </cols>
  <sheetData>
    <row r="1" spans="1:18" ht="12.7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30"/>
    </row>
    <row r="2" spans="1:18" ht="12.75">
      <c r="A2" s="77" t="s">
        <v>8</v>
      </c>
      <c r="B2" s="77"/>
      <c r="C2" s="77"/>
      <c r="D2" s="77"/>
      <c r="E2" s="145" t="s">
        <v>102</v>
      </c>
      <c r="F2" s="77"/>
      <c r="G2" s="145" t="s">
        <v>103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130"/>
    </row>
    <row r="3" spans="1:18" ht="12.75">
      <c r="A3" s="77" t="s">
        <v>99</v>
      </c>
      <c r="B3" s="77"/>
      <c r="C3" s="77"/>
      <c r="D3" s="138">
        <v>0.3441</v>
      </c>
      <c r="E3" s="144">
        <v>39448</v>
      </c>
      <c r="F3" s="77"/>
      <c r="G3" s="144">
        <v>39721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130"/>
    </row>
    <row r="4" spans="1:18" ht="12.75">
      <c r="A4" s="112" t="s">
        <v>10</v>
      </c>
      <c r="B4" s="77"/>
      <c r="C4" s="77"/>
      <c r="D4" s="138">
        <v>0.3541</v>
      </c>
      <c r="E4" s="144">
        <v>39722</v>
      </c>
      <c r="F4" s="77"/>
      <c r="G4" s="144">
        <v>39813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130"/>
    </row>
    <row r="5" spans="1:18" ht="12.75">
      <c r="A5" s="77" t="s">
        <v>85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130"/>
    </row>
    <row r="6" ht="12.75"/>
    <row r="7" ht="12.75"/>
    <row r="8" s="72" customFormat="1" ht="12">
      <c r="R8" s="131"/>
    </row>
    <row r="9" spans="2:18" s="72" customFormat="1" ht="12">
      <c r="B9" s="73" t="s">
        <v>95</v>
      </c>
      <c r="C9" s="73" t="s">
        <v>43</v>
      </c>
      <c r="D9" s="73" t="s">
        <v>43</v>
      </c>
      <c r="E9" s="73" t="s">
        <v>44</v>
      </c>
      <c r="F9" s="73"/>
      <c r="G9" s="73" t="s">
        <v>42</v>
      </c>
      <c r="H9" s="73" t="s">
        <v>42</v>
      </c>
      <c r="I9" s="73" t="s">
        <v>44</v>
      </c>
      <c r="J9" s="73"/>
      <c r="K9" s="73" t="s">
        <v>5</v>
      </c>
      <c r="L9" s="73"/>
      <c r="M9" s="73"/>
      <c r="N9" s="73" t="s">
        <v>65</v>
      </c>
      <c r="O9" s="73"/>
      <c r="R9" s="132"/>
    </row>
    <row r="10" spans="2:18" s="121" customFormat="1" ht="12">
      <c r="B10" s="122" t="s">
        <v>94</v>
      </c>
      <c r="C10" s="122" t="s">
        <v>40</v>
      </c>
      <c r="D10" s="122" t="s">
        <v>41</v>
      </c>
      <c r="E10" s="122" t="s">
        <v>0</v>
      </c>
      <c r="F10" s="122"/>
      <c r="G10" s="122" t="s">
        <v>86</v>
      </c>
      <c r="H10" s="122" t="s">
        <v>38</v>
      </c>
      <c r="I10" s="122" t="s">
        <v>4</v>
      </c>
      <c r="J10" s="122"/>
      <c r="K10" s="122" t="s">
        <v>6</v>
      </c>
      <c r="L10" s="122" t="s">
        <v>58</v>
      </c>
      <c r="N10" s="122" t="s">
        <v>87</v>
      </c>
      <c r="O10" s="122"/>
      <c r="P10" s="123" t="s">
        <v>104</v>
      </c>
      <c r="Q10" s="114" t="s">
        <v>61</v>
      </c>
      <c r="R10" s="133"/>
    </row>
    <row r="11" spans="2:18" s="72" customFormat="1" ht="12">
      <c r="B11" s="73" t="s">
        <v>57</v>
      </c>
      <c r="C11" s="73" t="s">
        <v>57</v>
      </c>
      <c r="D11" s="73" t="s">
        <v>57</v>
      </c>
      <c r="E11" s="73" t="s">
        <v>57</v>
      </c>
      <c r="F11" s="73"/>
      <c r="G11" s="73" t="s">
        <v>92</v>
      </c>
      <c r="H11" s="73" t="s">
        <v>57</v>
      </c>
      <c r="I11" s="73" t="s">
        <v>57</v>
      </c>
      <c r="J11" s="73"/>
      <c r="K11" s="73" t="s">
        <v>7</v>
      </c>
      <c r="L11" s="73" t="s">
        <v>78</v>
      </c>
      <c r="M11" s="122" t="s">
        <v>88</v>
      </c>
      <c r="N11" s="73" t="s">
        <v>78</v>
      </c>
      <c r="O11" s="73"/>
      <c r="P11" s="74" t="s">
        <v>60</v>
      </c>
      <c r="Q11" s="73" t="s">
        <v>90</v>
      </c>
      <c r="R11" s="132"/>
    </row>
    <row r="12" spans="1:18" s="72" customFormat="1" ht="12">
      <c r="A12" s="75" t="s">
        <v>13</v>
      </c>
      <c r="B12" s="75" t="s">
        <v>100</v>
      </c>
      <c r="C12" s="75" t="s">
        <v>45</v>
      </c>
      <c r="D12" s="75" t="s">
        <v>67</v>
      </c>
      <c r="E12" s="75" t="s">
        <v>45</v>
      </c>
      <c r="F12" s="75"/>
      <c r="G12" s="75" t="s">
        <v>47</v>
      </c>
      <c r="H12" s="75" t="s">
        <v>67</v>
      </c>
      <c r="I12" s="75" t="s">
        <v>47</v>
      </c>
      <c r="J12" s="75"/>
      <c r="K12" s="75" t="s">
        <v>77</v>
      </c>
      <c r="L12" s="75" t="s">
        <v>101</v>
      </c>
      <c r="M12" s="75" t="s">
        <v>89</v>
      </c>
      <c r="N12" s="75" t="s">
        <v>101</v>
      </c>
      <c r="O12" s="75"/>
      <c r="P12" s="75" t="s">
        <v>71</v>
      </c>
      <c r="Q12" s="75" t="s">
        <v>91</v>
      </c>
      <c r="R12" s="134"/>
    </row>
    <row r="13" spans="1:13" ht="12.75">
      <c r="A13" s="1"/>
      <c r="L13" s="117"/>
      <c r="M13" s="124"/>
    </row>
    <row r="14" spans="1:18" ht="12.75">
      <c r="A14" s="7">
        <v>39448</v>
      </c>
      <c r="B14" s="89">
        <v>0</v>
      </c>
      <c r="C14" s="90">
        <f>1134921-15646</f>
        <v>1119275</v>
      </c>
      <c r="D14" s="90">
        <v>0</v>
      </c>
      <c r="E14" s="91">
        <f aca="true" t="shared" si="0" ref="E14:E25">SUM(B14:D14)</f>
        <v>1119275</v>
      </c>
      <c r="F14" s="92"/>
      <c r="G14" s="89">
        <v>-1119405</v>
      </c>
      <c r="H14" s="90">
        <v>0</v>
      </c>
      <c r="I14" s="91">
        <f aca="true" t="shared" si="1" ref="I14:I25">SUM(G14:H14)</f>
        <v>-1119405</v>
      </c>
      <c r="J14" s="93"/>
      <c r="K14" s="116">
        <f aca="true" t="shared" si="2" ref="K14:K25">E14+I14</f>
        <v>-130</v>
      </c>
      <c r="L14" s="118">
        <v>29760</v>
      </c>
      <c r="M14" s="89">
        <v>0</v>
      </c>
      <c r="N14" s="118">
        <v>0</v>
      </c>
      <c r="O14" s="93"/>
      <c r="P14" s="125">
        <v>29630</v>
      </c>
      <c r="Q14" s="91">
        <f aca="true" t="shared" si="3" ref="Q14:Q25">SUM(K14:N14)-P14</f>
        <v>0</v>
      </c>
      <c r="R14" s="135"/>
    </row>
    <row r="15" spans="1:18" ht="12.75">
      <c r="A15" s="7">
        <v>39479</v>
      </c>
      <c r="B15" s="96">
        <v>0</v>
      </c>
      <c r="C15" s="97">
        <f>115597.35-17833.42</f>
        <v>97764</v>
      </c>
      <c r="D15" s="97">
        <v>0</v>
      </c>
      <c r="E15" s="98">
        <f t="shared" si="0"/>
        <v>97764</v>
      </c>
      <c r="F15" s="92"/>
      <c r="G15" s="96">
        <v>-116900</v>
      </c>
      <c r="H15" s="97">
        <v>0</v>
      </c>
      <c r="I15" s="98">
        <f t="shared" si="1"/>
        <v>-116900</v>
      </c>
      <c r="J15" s="93"/>
      <c r="K15" s="99">
        <f t="shared" si="2"/>
        <v>-19136</v>
      </c>
      <c r="L15" s="119">
        <v>26880</v>
      </c>
      <c r="M15" s="96">
        <v>0</v>
      </c>
      <c r="N15" s="119">
        <v>0</v>
      </c>
      <c r="O15" s="93"/>
      <c r="P15" s="126">
        <v>7744</v>
      </c>
      <c r="Q15" s="98">
        <f t="shared" si="3"/>
        <v>0</v>
      </c>
      <c r="R15" s="135"/>
    </row>
    <row r="16" spans="1:18" ht="12.75">
      <c r="A16" s="7">
        <v>39508</v>
      </c>
      <c r="B16" s="96">
        <f>10545.93+15381.72</f>
        <v>25928</v>
      </c>
      <c r="C16" s="97">
        <v>14107209</v>
      </c>
      <c r="D16" s="97">
        <v>0</v>
      </c>
      <c r="E16" s="98">
        <f t="shared" si="0"/>
        <v>14133137</v>
      </c>
      <c r="F16" s="92"/>
      <c r="G16" s="96">
        <v>-13341327</v>
      </c>
      <c r="H16" s="97">
        <v>0</v>
      </c>
      <c r="I16" s="98">
        <f t="shared" si="1"/>
        <v>-13341327</v>
      </c>
      <c r="J16" s="93"/>
      <c r="K16" s="99">
        <f t="shared" si="2"/>
        <v>791810</v>
      </c>
      <c r="L16" s="119">
        <v>30680</v>
      </c>
      <c r="M16" s="96">
        <v>0</v>
      </c>
      <c r="N16" s="119">
        <v>0</v>
      </c>
      <c r="O16" s="93"/>
      <c r="P16" s="126">
        <v>822490</v>
      </c>
      <c r="Q16" s="98">
        <f t="shared" si="3"/>
        <v>0</v>
      </c>
      <c r="R16" s="135"/>
    </row>
    <row r="17" spans="1:18" ht="12.75">
      <c r="A17" s="7">
        <v>39539</v>
      </c>
      <c r="B17" s="96">
        <v>0</v>
      </c>
      <c r="C17" s="97">
        <v>664</v>
      </c>
      <c r="D17" s="97">
        <v>0</v>
      </c>
      <c r="E17" s="98">
        <f t="shared" si="0"/>
        <v>664</v>
      </c>
      <c r="F17" s="92"/>
      <c r="G17" s="96">
        <v>0</v>
      </c>
      <c r="H17" s="97">
        <v>0</v>
      </c>
      <c r="I17" s="98">
        <f t="shared" si="1"/>
        <v>0</v>
      </c>
      <c r="J17" s="93"/>
      <c r="K17" s="99">
        <f t="shared" si="2"/>
        <v>664</v>
      </c>
      <c r="L17" s="119">
        <v>28800</v>
      </c>
      <c r="M17" s="96">
        <v>0</v>
      </c>
      <c r="N17" s="119">
        <v>-2500</v>
      </c>
      <c r="O17" s="93"/>
      <c r="P17" s="126">
        <v>26964</v>
      </c>
      <c r="Q17" s="98">
        <f t="shared" si="3"/>
        <v>0</v>
      </c>
      <c r="R17" s="135"/>
    </row>
    <row r="18" spans="1:18" ht="12.75">
      <c r="A18" s="7">
        <v>39569</v>
      </c>
      <c r="B18" s="96">
        <v>0</v>
      </c>
      <c r="C18" s="97">
        <v>0</v>
      </c>
      <c r="D18" s="97">
        <v>0</v>
      </c>
      <c r="E18" s="98">
        <f t="shared" si="0"/>
        <v>0</v>
      </c>
      <c r="F18" s="92"/>
      <c r="G18" s="96">
        <v>-12693</v>
      </c>
      <c r="H18" s="97">
        <v>0</v>
      </c>
      <c r="I18" s="98">
        <f t="shared" si="1"/>
        <v>-12693</v>
      </c>
      <c r="J18" s="93"/>
      <c r="K18" s="99">
        <f t="shared" si="2"/>
        <v>-12693</v>
      </c>
      <c r="L18" s="119">
        <v>29760</v>
      </c>
      <c r="M18" s="96">
        <v>0</v>
      </c>
      <c r="N18" s="119">
        <v>0</v>
      </c>
      <c r="O18" s="93"/>
      <c r="P18" s="126">
        <v>17067</v>
      </c>
      <c r="Q18" s="98">
        <f t="shared" si="3"/>
        <v>0</v>
      </c>
      <c r="R18" s="135"/>
    </row>
    <row r="19" spans="1:18" ht="12.75">
      <c r="A19" s="7">
        <v>39600</v>
      </c>
      <c r="B19" s="96">
        <v>0</v>
      </c>
      <c r="C19" s="97">
        <v>0</v>
      </c>
      <c r="D19" s="97">
        <v>0</v>
      </c>
      <c r="E19" s="98">
        <f t="shared" si="0"/>
        <v>0</v>
      </c>
      <c r="F19" s="92"/>
      <c r="G19" s="96">
        <v>-397115</v>
      </c>
      <c r="H19" s="97">
        <v>0</v>
      </c>
      <c r="I19" s="98">
        <f t="shared" si="1"/>
        <v>-397115</v>
      </c>
      <c r="J19" s="93"/>
      <c r="K19" s="99">
        <f t="shared" si="2"/>
        <v>-397115</v>
      </c>
      <c r="L19" s="119">
        <v>28800</v>
      </c>
      <c r="M19" s="96">
        <v>0</v>
      </c>
      <c r="N19" s="119">
        <v>0</v>
      </c>
      <c r="O19" s="93"/>
      <c r="P19" s="126">
        <v>-368315</v>
      </c>
      <c r="Q19" s="98">
        <f t="shared" si="3"/>
        <v>0</v>
      </c>
      <c r="R19" s="135"/>
    </row>
    <row r="20" spans="1:18" ht="12.75">
      <c r="A20" s="7">
        <v>39630</v>
      </c>
      <c r="B20" s="96">
        <v>0</v>
      </c>
      <c r="C20" s="97">
        <v>19330415</v>
      </c>
      <c r="D20" s="97">
        <v>0</v>
      </c>
      <c r="E20" s="98">
        <f t="shared" si="0"/>
        <v>19330415</v>
      </c>
      <c r="F20" s="92"/>
      <c r="G20" s="96">
        <v>-22644582</v>
      </c>
      <c r="H20" s="97">
        <v>0</v>
      </c>
      <c r="I20" s="98">
        <f t="shared" si="1"/>
        <v>-22644582</v>
      </c>
      <c r="J20" s="93"/>
      <c r="K20" s="99">
        <f t="shared" si="2"/>
        <v>-3314167</v>
      </c>
      <c r="L20" s="119">
        <v>29760</v>
      </c>
      <c r="M20" s="96">
        <v>0</v>
      </c>
      <c r="N20" s="119">
        <v>0</v>
      </c>
      <c r="O20" s="93"/>
      <c r="P20" s="126">
        <v>-3284407</v>
      </c>
      <c r="Q20" s="98">
        <f t="shared" si="3"/>
        <v>0</v>
      </c>
      <c r="R20" s="135"/>
    </row>
    <row r="21" spans="1:18" ht="12.75">
      <c r="A21" s="7">
        <v>39661</v>
      </c>
      <c r="B21" s="96">
        <v>0</v>
      </c>
      <c r="C21" s="97">
        <v>1519071</v>
      </c>
      <c r="D21" s="97">
        <v>0</v>
      </c>
      <c r="E21" s="98">
        <f t="shared" si="0"/>
        <v>1519071</v>
      </c>
      <c r="F21" s="92"/>
      <c r="G21" s="96">
        <v>-1368112</v>
      </c>
      <c r="H21" s="97">
        <v>0</v>
      </c>
      <c r="I21" s="98">
        <f t="shared" si="1"/>
        <v>-1368112</v>
      </c>
      <c r="J21" s="93"/>
      <c r="K21" s="99">
        <f t="shared" si="2"/>
        <v>150959</v>
      </c>
      <c r="L21" s="119">
        <v>29760</v>
      </c>
      <c r="M21" s="96">
        <v>0</v>
      </c>
      <c r="N21" s="119">
        <v>0</v>
      </c>
      <c r="O21" s="93"/>
      <c r="P21" s="126">
        <v>180719</v>
      </c>
      <c r="Q21" s="98">
        <f t="shared" si="3"/>
        <v>0</v>
      </c>
      <c r="R21" s="135"/>
    </row>
    <row r="22" spans="1:18" ht="12.75">
      <c r="A22" s="7">
        <v>39692</v>
      </c>
      <c r="B22" s="96">
        <v>2705100</v>
      </c>
      <c r="C22" s="97">
        <v>1404818</v>
      </c>
      <c r="D22" s="97">
        <v>0</v>
      </c>
      <c r="E22" s="98">
        <f t="shared" si="0"/>
        <v>4109918</v>
      </c>
      <c r="F22" s="92"/>
      <c r="G22" s="96">
        <v>-1497574</v>
      </c>
      <c r="H22" s="97">
        <v>0</v>
      </c>
      <c r="I22" s="98">
        <f t="shared" si="1"/>
        <v>-1497574</v>
      </c>
      <c r="J22" s="93"/>
      <c r="K22" s="99">
        <f t="shared" si="2"/>
        <v>2612344</v>
      </c>
      <c r="L22" s="119">
        <v>27149</v>
      </c>
      <c r="M22" s="96">
        <v>0</v>
      </c>
      <c r="N22" s="119">
        <v>0</v>
      </c>
      <c r="O22" s="93"/>
      <c r="P22" s="126">
        <f>K22+L22+M22</f>
        <v>2639493</v>
      </c>
      <c r="Q22" s="98">
        <f t="shared" si="3"/>
        <v>0</v>
      </c>
      <c r="R22" s="135"/>
    </row>
    <row r="23" spans="1:18" ht="12.75">
      <c r="A23" s="7">
        <v>39722</v>
      </c>
      <c r="B23" s="96">
        <v>0</v>
      </c>
      <c r="C23" s="97">
        <v>588629</v>
      </c>
      <c r="D23" s="97">
        <v>0</v>
      </c>
      <c r="E23" s="98">
        <f t="shared" si="0"/>
        <v>588629</v>
      </c>
      <c r="F23" s="92"/>
      <c r="G23" s="96">
        <v>-490653</v>
      </c>
      <c r="H23" s="97">
        <v>0</v>
      </c>
      <c r="I23" s="98">
        <f t="shared" si="1"/>
        <v>-490653</v>
      </c>
      <c r="J23" s="93"/>
      <c r="K23" s="99">
        <f t="shared" si="2"/>
        <v>97976</v>
      </c>
      <c r="L23" s="119">
        <v>29760</v>
      </c>
      <c r="M23" s="96">
        <v>0</v>
      </c>
      <c r="N23" s="119"/>
      <c r="O23" s="93"/>
      <c r="P23" s="126">
        <f>K23+L23+M23</f>
        <v>127736</v>
      </c>
      <c r="Q23" s="98">
        <f t="shared" si="3"/>
        <v>0</v>
      </c>
      <c r="R23" s="135"/>
    </row>
    <row r="24" spans="1:18" ht="12.75">
      <c r="A24" s="7">
        <v>39753</v>
      </c>
      <c r="B24" s="96">
        <v>0</v>
      </c>
      <c r="C24" s="97">
        <v>2143872</v>
      </c>
      <c r="D24" s="97">
        <v>0</v>
      </c>
      <c r="E24" s="98">
        <f t="shared" si="0"/>
        <v>2143872</v>
      </c>
      <c r="F24" s="92"/>
      <c r="G24" s="96">
        <v>-1626410</v>
      </c>
      <c r="H24" s="97">
        <v>0</v>
      </c>
      <c r="I24" s="98">
        <f t="shared" si="1"/>
        <v>-1626410</v>
      </c>
      <c r="J24" s="93"/>
      <c r="K24" s="99">
        <f t="shared" si="2"/>
        <v>517462</v>
      </c>
      <c r="L24" s="119">
        <v>28840</v>
      </c>
      <c r="M24" s="96">
        <v>0</v>
      </c>
      <c r="N24" s="119"/>
      <c r="O24" s="93"/>
      <c r="P24" s="126">
        <f>K24+L24+M24</f>
        <v>546302</v>
      </c>
      <c r="Q24" s="98">
        <f t="shared" si="3"/>
        <v>0</v>
      </c>
      <c r="R24" s="135"/>
    </row>
    <row r="25" spans="1:18" ht="12.75">
      <c r="A25" s="7">
        <v>39783</v>
      </c>
      <c r="B25" s="101"/>
      <c r="C25" s="102">
        <v>2765474</v>
      </c>
      <c r="D25" s="102">
        <v>0</v>
      </c>
      <c r="E25" s="103">
        <f t="shared" si="0"/>
        <v>2765474</v>
      </c>
      <c r="F25" s="92"/>
      <c r="G25" s="101">
        <v>-2080230</v>
      </c>
      <c r="H25" s="137">
        <v>0</v>
      </c>
      <c r="I25" s="103">
        <f t="shared" si="1"/>
        <v>-2080230</v>
      </c>
      <c r="J25" s="93"/>
      <c r="K25" s="104">
        <f t="shared" si="2"/>
        <v>685244</v>
      </c>
      <c r="L25" s="120">
        <v>29760</v>
      </c>
      <c r="M25" s="120">
        <v>0</v>
      </c>
      <c r="N25" s="120"/>
      <c r="O25" s="93"/>
      <c r="P25" s="127">
        <v>715004</v>
      </c>
      <c r="Q25" s="103">
        <f t="shared" si="3"/>
        <v>0</v>
      </c>
      <c r="R25" s="135"/>
    </row>
    <row r="26" spans="1:18" ht="12.75">
      <c r="A26" s="7"/>
      <c r="B26" s="92"/>
      <c r="C26" s="92"/>
      <c r="D26" s="92"/>
      <c r="E26" s="92"/>
      <c r="F26" s="92"/>
      <c r="G26" s="92"/>
      <c r="H26" s="92"/>
      <c r="I26" s="92"/>
      <c r="J26" s="92"/>
      <c r="K26" s="106" t="s">
        <v>34</v>
      </c>
      <c r="L26" s="92"/>
      <c r="M26" s="92"/>
      <c r="N26" s="92"/>
      <c r="O26" s="92"/>
      <c r="P26" s="93"/>
      <c r="Q26" s="92"/>
      <c r="R26" s="135"/>
    </row>
    <row r="27" spans="1:18" ht="13.5" thickBot="1">
      <c r="A27" s="78"/>
      <c r="B27" s="108">
        <f>SUM(B14:B25)</f>
        <v>2731028</v>
      </c>
      <c r="C27" s="108">
        <f>SUM(C14:C25)</f>
        <v>43077191</v>
      </c>
      <c r="D27" s="108">
        <f>SUM(D14:D25)</f>
        <v>0</v>
      </c>
      <c r="E27" s="108">
        <f>SUM(E14:E25)</f>
        <v>45808219</v>
      </c>
      <c r="F27" s="109"/>
      <c r="G27" s="108">
        <f>SUM(G14:G25)</f>
        <v>-44695001</v>
      </c>
      <c r="H27" s="108">
        <f>SUM(H14:H25)</f>
        <v>0</v>
      </c>
      <c r="I27" s="108">
        <f>SUM(I14:I25)</f>
        <v>-44695001</v>
      </c>
      <c r="J27" s="108"/>
      <c r="K27" s="128">
        <f>SUM(K14:K25)</f>
        <v>1113218</v>
      </c>
      <c r="L27" s="108">
        <f>SUM(L14:L25)</f>
        <v>349709</v>
      </c>
      <c r="M27" s="108">
        <f>SUM(M14:M25)</f>
        <v>0</v>
      </c>
      <c r="N27" s="108">
        <f>SUM(N14:N25)</f>
        <v>-2500</v>
      </c>
      <c r="O27" s="110"/>
      <c r="P27" s="108">
        <f>SUM(P14:P25)</f>
        <v>1460427</v>
      </c>
      <c r="Q27" s="108">
        <f>SUM(Q14:Q25)</f>
        <v>0</v>
      </c>
      <c r="R27" s="135"/>
    </row>
    <row r="28" spans="1:18" ht="13.5" thickTop="1">
      <c r="A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2"/>
      <c r="Q28" s="2"/>
      <c r="R28" s="135"/>
    </row>
    <row r="29" spans="1:18" ht="12.75">
      <c r="A29" s="83">
        <v>-1</v>
      </c>
      <c r="B29" t="s">
        <v>72</v>
      </c>
      <c r="C29" s="129" t="s">
        <v>93</v>
      </c>
      <c r="D29" t="s">
        <v>96</v>
      </c>
      <c r="F29" s="2"/>
      <c r="I29" s="59"/>
      <c r="K29" s="56"/>
      <c r="L29" s="56"/>
      <c r="M29" s="56"/>
      <c r="N29" s="56"/>
      <c r="P29" s="12"/>
      <c r="R29" s="136"/>
    </row>
    <row r="30" spans="1:16" ht="12.75">
      <c r="A30" s="83">
        <v>-2</v>
      </c>
      <c r="B30" t="s">
        <v>73</v>
      </c>
      <c r="C30" t="s">
        <v>76</v>
      </c>
      <c r="D30" t="s">
        <v>82</v>
      </c>
      <c r="P30" s="13"/>
    </row>
    <row r="31" spans="1:16" ht="38.25">
      <c r="A31" s="140">
        <v>-3</v>
      </c>
      <c r="B31" s="139" t="s">
        <v>97</v>
      </c>
      <c r="C31" s="139" t="s">
        <v>106</v>
      </c>
      <c r="D31" s="141"/>
      <c r="P31" s="13"/>
    </row>
    <row r="32" spans="1:4" ht="12.75">
      <c r="A32" s="83">
        <v>-4</v>
      </c>
      <c r="B32" t="s">
        <v>74</v>
      </c>
      <c r="C32" t="s">
        <v>107</v>
      </c>
      <c r="D32" t="s">
        <v>75</v>
      </c>
    </row>
    <row r="33" ht="12.75">
      <c r="P33" s="14"/>
    </row>
    <row r="34" ht="12.75">
      <c r="P34" s="14"/>
    </row>
    <row r="35" ht="12.75">
      <c r="P35" s="13"/>
    </row>
    <row r="36" ht="12.75">
      <c r="P36" s="15"/>
    </row>
    <row r="37" ht="12.75">
      <c r="P37" s="13"/>
    </row>
    <row r="38" ht="12.75">
      <c r="P38" s="14"/>
    </row>
    <row r="39" ht="12.75">
      <c r="P39" s="12"/>
    </row>
  </sheetData>
  <printOptions/>
  <pageMargins left="0.5" right="0" top="0.5" bottom="0.5" header="0.25" footer="0.25"/>
  <pageSetup cellComments="atEnd" fitToHeight="1" fitToWidth="1" horizontalDpi="600" verticalDpi="600" orientation="landscape" scale="65" r:id="rId3"/>
  <headerFooter alignWithMargins="0">
    <oddFooter>&amp;L&amp;Z&amp;F  &amp;A
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bj4046</cp:lastModifiedBy>
  <cp:lastPrinted>2009-02-14T00:55:17Z</cp:lastPrinted>
  <dcterms:created xsi:type="dcterms:W3CDTF">2003-02-05T18:42:44Z</dcterms:created>
  <dcterms:modified xsi:type="dcterms:W3CDTF">2009-03-09T17:48:58Z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090452</vt:lpwstr>
  </property>
  <property fmtid="{D5CDD505-2E9C-101B-9397-08002B2CF9AE}" pid="6" name="IsConfidenti">
    <vt:lpwstr>0</vt:lpwstr>
  </property>
  <property fmtid="{D5CDD505-2E9C-101B-9397-08002B2CF9AE}" pid="7" name="Dat">
    <vt:lpwstr>2009-03-27T00:00:00Z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2009-03-27T00:00:00Z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