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7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9E2218BF-A7F1-4766-8C4A-FA2E3F95F820}" xr6:coauthVersionLast="47" xr6:coauthVersionMax="47" xr10:uidLastSave="{00000000-0000-0000-0000-000000000000}"/>
  <bookViews>
    <workbookView xWindow="-28920" yWindow="-120" windowWidth="29040" windowHeight="15840" firstSheet="6" activeTab="7" xr2:uid="{7F18B703-A2B0-44EF-8F6D-04FE9B091268}"/>
  </bookViews>
  <sheets>
    <sheet name="PGA Rate Schedule Changes" sheetId="552" r:id="rId1"/>
    <sheet name="PGA TTA Table of Content" sheetId="528" r:id="rId2"/>
    <sheet name="PGA Demand Cost Allocation" sheetId="524" r:id="rId3"/>
    <sheet name="PGA Amount Change" sheetId="525" r:id="rId4"/>
    <sheet name="Effects of PGA Avg. Bill" sheetId="531" r:id="rId5"/>
    <sheet name="PGA Proposed Rate Adj." sheetId="527" r:id="rId6"/>
    <sheet name="TTA Summary of Def. Accts." sheetId="498" r:id="rId7"/>
    <sheet name="TTA Proposed Rate 595" sheetId="499" r:id="rId8"/>
    <sheet name="TTA Amount of Change" sheetId="500" r:id="rId9"/>
    <sheet name="Effects of TTA Avg. Bill" sheetId="532" r:id="rId10"/>
    <sheet name="Combined PGA TTA Avg Bill" sheetId="533" r:id="rId11"/>
    <sheet name="CPA Table of Contents" sheetId="534" r:id="rId12"/>
    <sheet name="CPA Summary of Def. Accts." sheetId="535" r:id="rId13"/>
    <sheet name="CPA Proposed Rate 596" sheetId="536" r:id="rId14"/>
    <sheet name="CPA Amount of Change" sheetId="537" r:id="rId15"/>
    <sheet name="Effects of CPA Avg. Bill" sheetId="539" r:id="rId16"/>
    <sheet name="582 Table of Contents" sheetId="540" r:id="rId17"/>
    <sheet name="Unprotected Cost Allocation" sheetId="545" r:id="rId18"/>
    <sheet name="Unpro. Amount Change" sheetId="546" r:id="rId19"/>
    <sheet name="Effects of UPT Avg. Bill" sheetId="547" r:id="rId20"/>
    <sheet name="Unprot. Proposed Rate Adj." sheetId="548" r:id="rId21"/>
    <sheet name="47WA.2540." sheetId="551" r:id="rId22"/>
    <sheet name="Workpapers---&gt;" sheetId="497" r:id="rId23"/>
    <sheet name="Balances at 7-31-2022" sheetId="511" r:id="rId24"/>
    <sheet name="Int calc thru 10-31-2022" sheetId="450" r:id="rId25"/>
    <sheet name="Amort Calc thru 10-31-2022" sheetId="454" r:id="rId26"/>
    <sheet name="EstimatedBalances" sheetId="512" r:id="rId27"/>
    <sheet name=" Int during Amort" sheetId="513" r:id="rId28"/>
    <sheet name="Bills-Therms-Revs" sheetId="472" r:id="rId29"/>
    <sheet name="Test Period Volumes" sheetId="452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0" localSheetId="21">#REF!</definedName>
    <definedName name="\0" localSheetId="20">#REF!</definedName>
    <definedName name="\0">#REF!</definedName>
    <definedName name="\a" localSheetId="21">#REF!</definedName>
    <definedName name="\a">#REF!</definedName>
    <definedName name="\b">#REF!</definedName>
    <definedName name="\bb" localSheetId="3">'[1]Input Data'!$C$181</definedName>
    <definedName name="\bb" localSheetId="18">'[2]Input Data'!$C$181</definedName>
    <definedName name="\bb" localSheetId="20">'[2]Input Data'!$C$181</definedName>
    <definedName name="\bb">'[1]Input Data'!$C$181</definedName>
    <definedName name="\c" localSheetId="3">#REF!</definedName>
    <definedName name="\c" localSheetId="18">#REF!</definedName>
    <definedName name="\c" localSheetId="20">#REF!</definedName>
    <definedName name="\c">#REF!</definedName>
    <definedName name="\d" localSheetId="3">#REF!</definedName>
    <definedName name="\d" localSheetId="18">#REF!</definedName>
    <definedName name="\d">#REF!</definedName>
    <definedName name="\e" localSheetId="3">#REF!</definedName>
    <definedName name="\e" localSheetId="18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3">'[1]Input Data'!#REF!</definedName>
    <definedName name="\zzz" localSheetId="18">'[2]Input Data'!#REF!</definedName>
    <definedName name="\zzz" localSheetId="20">'[2]Input Data'!#REF!</definedName>
    <definedName name="\zzz">'[1]Input Data'!#REF!</definedName>
    <definedName name="___apr99" localSheetId="20">'[3]185'!#REF!</definedName>
    <definedName name="___apr99">'[4]185'!#REF!</definedName>
    <definedName name="___re22" localSheetId="20">'[5]St.of Op. '!$B$807:$N$817</definedName>
    <definedName name="___re22">'[6]St.of Op. '!$B$807:$N$817</definedName>
    <definedName name="___y1212" localSheetId="20">[5]Actual.Rev!$C$1036:$O$1049</definedName>
    <definedName name="___y1212">[6]Actual.Rev!$C$1036:$O$1049</definedName>
    <definedName name="__apr98">[7]Detail!$B$822:$N$832</definedName>
    <definedName name="__aug98">[8]Detail!$C$280:$K$285</definedName>
    <definedName name="__Aug99" localSheetId="21">[9]Detail!$B$1198:$N$1212</definedName>
    <definedName name="__Aug99" localSheetId="20">[10]Detail!$B$1198:$N$1212</definedName>
    <definedName name="__Aug99">[9]Detail!$B$1198:$N$1212</definedName>
    <definedName name="__dec98">[8]Detail!$C$310:$K$315</definedName>
    <definedName name="__dec99" localSheetId="21">[9]Detail!$B$1265:$N$1324</definedName>
    <definedName name="__dec99" localSheetId="20">[10]Detail!$B$1265:$N$1324</definedName>
    <definedName name="__dec99">[9]Detail!$B$1265:$N$1324</definedName>
    <definedName name="__feb98">[7]Detail!$B$796:$I$806</definedName>
    <definedName name="__FEB99" localSheetId="21">'[11]185'!#REF!</definedName>
    <definedName name="__FEB99" localSheetId="20">'[4]185'!#REF!</definedName>
    <definedName name="__FEB99">'[11]185'!#REF!</definedName>
    <definedName name="__jan98">[7]Detail!$B$783:$N$793</definedName>
    <definedName name="__jan99" localSheetId="21">'[11]185'!#REF!</definedName>
    <definedName name="__jan99" localSheetId="20">'[4]185'!#REF!</definedName>
    <definedName name="__jan99">'[11]185'!#REF!</definedName>
    <definedName name="__jul98">[8]Detail!$C$271:$K$276</definedName>
    <definedName name="__jul99" localSheetId="21">[9]Detail!$B$1180:$N$1194</definedName>
    <definedName name="__jul99" localSheetId="20">[10]Detail!$B$1180:$N$1194</definedName>
    <definedName name="__jul99">[9]Detail!$B$1180:$N$1194</definedName>
    <definedName name="__jun98">[7]Detail!$B$848:$N$859</definedName>
    <definedName name="__mar98">[7]Detail!$B$809:$N$819</definedName>
    <definedName name="__MAR99" localSheetId="21">'[11]185'!#REF!</definedName>
    <definedName name="__MAR99" localSheetId="20">'[4]185'!#REF!</definedName>
    <definedName name="__MAR99">'[11]185'!#REF!</definedName>
    <definedName name="__may98">[7]Detail!$B$835:$N$845</definedName>
    <definedName name="__may99" localSheetId="21">'[11]185'!#REF!</definedName>
    <definedName name="__may99" localSheetId="20">'[4]185'!#REF!</definedName>
    <definedName name="__may99">'[11]185'!#REF!</definedName>
    <definedName name="__nov98">[8]Detail!$C$303:$K$308</definedName>
    <definedName name="__nov99" localSheetId="21">[9]Detail!$B$1248:$N$1262</definedName>
    <definedName name="__nov99" localSheetId="20">[10]Detail!$B$1248:$N$1262</definedName>
    <definedName name="__nov99">[9]Detail!$B$1248:$N$1262</definedName>
    <definedName name="__oct98">[8]Detail!$C$296:$K$301</definedName>
    <definedName name="__oct99" localSheetId="21">[9]Detail!$B$1232:$N$1246</definedName>
    <definedName name="__oct99" localSheetId="20">[10]Detail!$B$1232:$N$1246</definedName>
    <definedName name="__oct99">[9]Detail!$B$1232:$N$1246</definedName>
    <definedName name="__sep98">[8]Detail!$C$288:$K$293</definedName>
    <definedName name="__sep99" localSheetId="21">[9]Detail!$B$1215:$N$1229</definedName>
    <definedName name="__sep99" localSheetId="20">[10]Detail!$B$1215:$N$1229</definedName>
    <definedName name="__sep99">[9]Detail!$B$1215:$N$1229</definedName>
    <definedName name="_12_91" localSheetId="3">#REF!</definedName>
    <definedName name="_12_91" localSheetId="18">#REF!</definedName>
    <definedName name="_12_91" localSheetId="20">#REF!</definedName>
    <definedName name="_12_91">#REF!</definedName>
    <definedName name="_1994DD" localSheetId="3">#REF!</definedName>
    <definedName name="_1994DD" localSheetId="18">#REF!</definedName>
    <definedName name="_1994DD">#REF!</definedName>
    <definedName name="_228" localSheetId="3">'[12]Interest Rates'!#REF!</definedName>
    <definedName name="_228" localSheetId="18">'[13]Interest Rates'!#REF!</definedName>
    <definedName name="_228" localSheetId="20">'[13]Interest Rates'!#REF!</definedName>
    <definedName name="_228">'[12]Interest Rates'!#REF!</definedName>
    <definedName name="_230" localSheetId="3">'[12]Interest Rates'!#REF!</definedName>
    <definedName name="_230" localSheetId="18">'[13]Interest Rates'!#REF!</definedName>
    <definedName name="_230" localSheetId="20">'[13]Interest Rates'!#REF!</definedName>
    <definedName name="_230">'[12]Interest Rates'!#REF!</definedName>
    <definedName name="_244" localSheetId="3">'[14]Int Rates'!#REF!</definedName>
    <definedName name="_244" localSheetId="18">'[15]Int Rates'!#REF!</definedName>
    <definedName name="_244" localSheetId="20">'[15]Int Rates'!#REF!</definedName>
    <definedName name="_244">'[14]Int Rates'!#REF!</definedName>
    <definedName name="_246" localSheetId="3">'[14]Int Rates'!#REF!</definedName>
    <definedName name="_246" localSheetId="18">'[15]Int Rates'!#REF!</definedName>
    <definedName name="_246" localSheetId="20">'[15]Int Rates'!#REF!</definedName>
    <definedName name="_246">'[14]Int Rates'!#REF!</definedName>
    <definedName name="_4000" localSheetId="3">#REF!</definedName>
    <definedName name="_4000" localSheetId="18">#REF!</definedName>
    <definedName name="_4000" localSheetId="20">#REF!</definedName>
    <definedName name="_4000">#REF!</definedName>
    <definedName name="_403" localSheetId="3">#REF!</definedName>
    <definedName name="_403" localSheetId="18">#REF!</definedName>
    <definedName name="_403">#REF!</definedName>
    <definedName name="_4030" localSheetId="3">#REF!</definedName>
    <definedName name="_4030" localSheetId="18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3">'[4]185'!#REF!</definedName>
    <definedName name="_apr99" localSheetId="18">'[3]185'!#REF!</definedName>
    <definedName name="_AUG92" localSheetId="3">#REF!</definedName>
    <definedName name="_AUG92" localSheetId="18">#REF!</definedName>
    <definedName name="_AUG92" localSheetId="20">#REF!</definedName>
    <definedName name="_AUG92">#REF!</definedName>
    <definedName name="_DEC91" localSheetId="20">#REF!</definedName>
    <definedName name="_DEC91">#REF!</definedName>
    <definedName name="_JUL92" localSheetId="3">#REF!</definedName>
    <definedName name="_JUL92" localSheetId="18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3">'[6]St.of Op. '!$B$807:$N$817</definedName>
    <definedName name="_re22" localSheetId="18">'[5]St.of Op. '!$B$807:$N$817</definedName>
    <definedName name="_SEP92" localSheetId="3">#REF!</definedName>
    <definedName name="_SEP92" localSheetId="18">#REF!</definedName>
    <definedName name="_SEP92" localSheetId="20">#REF!</definedName>
    <definedName name="_SEP92">#REF!</definedName>
    <definedName name="_WA321" localSheetId="20">#REF!</definedName>
    <definedName name="_WA321">#REF!</definedName>
    <definedName name="_WA324">#REF!</definedName>
    <definedName name="_WA325">#REF!</definedName>
    <definedName name="_y1212" localSheetId="3">[6]Actual.Rev!$C$1036:$O$1049</definedName>
    <definedName name="_y1212" localSheetId="18">[5]Actual.Rev!$C$1036:$O$1049</definedName>
    <definedName name="AGREE" localSheetId="3">[16]SETUP!#REF!</definedName>
    <definedName name="AGREE" localSheetId="18">[17]SETUP!#REF!</definedName>
    <definedName name="AGREE" localSheetId="20">[17]SETUP!#REF!</definedName>
    <definedName name="AGREE">[16]SETUP!#REF!</definedName>
    <definedName name="alc" localSheetId="3">[18]SETUP!#REF!</definedName>
    <definedName name="alc" localSheetId="18">[19]SETUP!#REF!</definedName>
    <definedName name="alc" localSheetId="20">[19]SETUP!#REF!</definedName>
    <definedName name="alc">[18]SETUP!#REF!</definedName>
    <definedName name="ALCOA1" localSheetId="3">[16]SETUP!#REF!</definedName>
    <definedName name="ALCOA1" localSheetId="18">[17]SETUP!#REF!</definedName>
    <definedName name="ALCOA1" localSheetId="20">[17]SETUP!#REF!</definedName>
    <definedName name="ALCOA1">[16]SETUP!#REF!</definedName>
    <definedName name="ALCOA2" localSheetId="3">[16]SETUP!#REF!</definedName>
    <definedName name="ALCOA2" localSheetId="18">[17]SETUP!#REF!</definedName>
    <definedName name="ALCOA2" localSheetId="20">[17]SETUP!#REF!</definedName>
    <definedName name="ALCOA2">[16]SETUP!#REF!</definedName>
    <definedName name="BalancesJuly" localSheetId="23">'Balances at 7-31-2022'!$A$8:$I$385</definedName>
    <definedName name="BalancesJuly" localSheetId="20">#REF!</definedName>
    <definedName name="BalancesJuly">#REF!</definedName>
    <definedName name="BEGINNING">#N/A</definedName>
    <definedName name="BELLINGHAM_24_H" localSheetId="20">#REF!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 localSheetId="21">[20]SETUP!#REF!</definedName>
    <definedName name="BUYSELL" localSheetId="20">[16]SETUP!#REF!</definedName>
    <definedName name="BUYSELL">[20]SETUP!#REF!</definedName>
    <definedName name="C_" localSheetId="3">#REF!</definedName>
    <definedName name="C_" localSheetId="18">#REF!</definedName>
    <definedName name="C_" localSheetId="20">#REF!</definedName>
    <definedName name="C_">#REF!</definedName>
    <definedName name="canadian_toll_DataTable" localSheetId="3">#REF!</definedName>
    <definedName name="canadian_toll_DataTable" localSheetId="18">#REF!</definedName>
    <definedName name="canadian_toll_DataTable">#REF!</definedName>
    <definedName name="Canadian_tolls_DataTable" localSheetId="3">#REF!</definedName>
    <definedName name="Canadian_tolls_DataTable" localSheetId="18">#REF!</definedName>
    <definedName name="Canadian_tolls_DataTable">#REF!</definedName>
    <definedName name="CAP" localSheetId="21">'[21]Int Rates'!#REF!</definedName>
    <definedName name="CAP" localSheetId="3">'[21]Int Rates'!#REF!</definedName>
    <definedName name="CAP" localSheetId="18">'[21]Int Rates'!#REF!</definedName>
    <definedName name="CAP" localSheetId="20">'[14]Int Rates'!#REF!</definedName>
    <definedName name="CAP">'[21]Int Rates'!#REF!</definedName>
    <definedName name="CENTRAL_STORES" localSheetId="3">#REF!</definedName>
    <definedName name="CENTRAL_STORES" localSheetId="18">#REF!</definedName>
    <definedName name="CENTRAL_STORES" localSheetId="20">#REF!</definedName>
    <definedName name="CENTRAL_STORES">#REF!</definedName>
    <definedName name="Citygate_all_monts_DataTable" localSheetId="3">#REF!</definedName>
    <definedName name="Citygate_all_monts_DataTable" localSheetId="18">#REF!</definedName>
    <definedName name="Citygate_all_monts_DataTable">#REF!</definedName>
    <definedName name="Citygate_DataTable" localSheetId="3">#REF!</definedName>
    <definedName name="Citygate_DataTable" localSheetId="18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 localSheetId="21">[20]SETUP!#REF!</definedName>
    <definedName name="CUST" localSheetId="20">[16]SETUP!#REF!</definedName>
    <definedName name="CUST">[20]SETUP!#REF!</definedName>
    <definedName name="Daily_Flow_DataTable" localSheetId="3">#REF!</definedName>
    <definedName name="Daily_Flow_DataTable" localSheetId="18">#REF!</definedName>
    <definedName name="Daily_Flow_DataTable" localSheetId="20">#REF!</definedName>
    <definedName name="Daily_Flow_DataTable">#REF!</definedName>
    <definedName name="Data">'[22]Section 7 Storage History'!$D$7:$W$102</definedName>
    <definedName name="_xlnm.Database" localSheetId="3">#REF!</definedName>
    <definedName name="_xlnm.Database" localSheetId="18">#REF!</definedName>
    <definedName name="_xlnm.Database" localSheetId="20">#REF!</definedName>
    <definedName name="_xlnm.Database">#REF!</definedName>
    <definedName name="Database_MI" localSheetId="20">#REF!</definedName>
    <definedName name="Database_MI">#REF!</definedName>
    <definedName name="DATE">#REF!</definedName>
    <definedName name="DAY" localSheetId="21">[20]SETUP!#REF!</definedName>
    <definedName name="DAY" localSheetId="20">[16]SETUP!#REF!</definedName>
    <definedName name="DAY">[20]SETUP!#REF!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23">EstimatedBalances!$A$10:$I$14</definedName>
    <definedName name="EstimatedBalances" localSheetId="20">#REF!</definedName>
    <definedName name="EstimatedBalances">#REF!</definedName>
    <definedName name="FERC" localSheetId="20">#REF!</definedName>
    <definedName name="FERC">#REF!</definedName>
    <definedName name="FERC320A" localSheetId="20">#REF!</definedName>
    <definedName name="FERC320A">#REF!</definedName>
    <definedName name="FERC321">#REF!</definedName>
    <definedName name="FERC324">#REF!</definedName>
    <definedName name="FERC325">#REF!</definedName>
    <definedName name="FERCINT05">'[23]New FERC Int. Rates'!$A$44:$C$55</definedName>
    <definedName name="FERCINT06">'[23]New FERC Int. Rates'!$A$56:$C$67</definedName>
    <definedName name="FERCINT07" localSheetId="3">'[24]New FERC Int. Rates'!$A$68:$C$79</definedName>
    <definedName name="FERCINT07" localSheetId="18">'[25]New FERC Int. Rates'!$A$68:$C$79</definedName>
    <definedName name="FERCINT07">'[24]New FERC Int. Rates'!$A$68:$C$79</definedName>
    <definedName name="FERCINT08" localSheetId="3">'[24]New FERC Int. Rates'!$A$80:$C$94</definedName>
    <definedName name="FERCINT08" localSheetId="18">'[25]New FERC Int. Rates'!$A$80:$C$94</definedName>
    <definedName name="FERCINT08">'[24]New FERC Int. Rates'!$A$80:$C$94</definedName>
    <definedName name="FERCINT09" localSheetId="3">'[24]New FERC Int. Rates'!$A$95:$C$106</definedName>
    <definedName name="FERCINT09" localSheetId="18">'[25]New FERC Int. Rates'!$A$95:$C$106</definedName>
    <definedName name="FERCINT09">'[24]New FERC Int. Rates'!$A$95:$C$106</definedName>
    <definedName name="FERCINT10">'[23]New FERC Int. Rates'!$A$107:$C$118</definedName>
    <definedName name="FERCINTRATE" localSheetId="3">'[24]New FERC Int. Rates'!$A$5:$C$10</definedName>
    <definedName name="FERCINTRATE" localSheetId="18">'[25]New FERC Int. Rates'!$A$5:$C$10</definedName>
    <definedName name="FERCINTRATE">'[24]New FERC Int. Rates'!$A$5:$C$10</definedName>
    <definedName name="FERCINTRATE02" localSheetId="3">'[24]New FERC Int. Rates'!$A$11:$C$22</definedName>
    <definedName name="FERCINTRATE02" localSheetId="18">'[25]New FERC Int. Rates'!$A$11:$C$22</definedName>
    <definedName name="FERCINTRATE02">'[24]New FERC Int. Rates'!$A$11:$C$22</definedName>
    <definedName name="FERCINTRATE03">'[23]New FERC Int. Rates'!$A$23:$C$34</definedName>
    <definedName name="FERCOR" localSheetId="3">#REF!</definedName>
    <definedName name="FERCOR" localSheetId="18">#REF!</definedName>
    <definedName name="FERCOR" localSheetId="20">#REF!</definedName>
    <definedName name="FERCOR">#REF!</definedName>
    <definedName name="FERCWA" localSheetId="3">#REF!</definedName>
    <definedName name="FERCWA" localSheetId="18">#REF!</definedName>
    <definedName name="FERCWA">#REF!</definedName>
    <definedName name="FILE" localSheetId="14">[26]input!$C$4</definedName>
    <definedName name="FILE" localSheetId="3">[26]input!$C$4</definedName>
    <definedName name="FILE" localSheetId="8">[26]input!$C$4</definedName>
    <definedName name="FILE" localSheetId="18">[27]input!$C$4</definedName>
    <definedName name="FILE">[26]input!$C$4</definedName>
    <definedName name="FIT" localSheetId="3">[26]input!$C$16</definedName>
    <definedName name="FIT" localSheetId="18">[27]input!$C$16</definedName>
    <definedName name="FIT" localSheetId="20">[27]input!$C$16</definedName>
    <definedName name="FIT">[26]input!$C$16</definedName>
    <definedName name="FITRBADJ" localSheetId="3">[26]input!$C$52</definedName>
    <definedName name="FITRBADJ" localSheetId="18">[27]input!$C$52</definedName>
    <definedName name="FITRBADJ" localSheetId="20">[27]input!$C$52</definedName>
    <definedName name="FITRBADJ">[26]input!$C$52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21">[28]Notes!#REF!</definedName>
    <definedName name="GC" localSheetId="20">[29]Notes!#REF!</definedName>
    <definedName name="GC">[28]Notes!#REF!</definedName>
    <definedName name="gcnew" localSheetId="20">[30]Notes!#REF!</definedName>
    <definedName name="gcnew">[30]Notes!#REF!</definedName>
    <definedName name="GEN_OFFICE" localSheetId="3">#REF!</definedName>
    <definedName name="GEN_OFFICE" localSheetId="18">#REF!</definedName>
    <definedName name="GEN_OFFICE" localSheetId="20">#REF!</definedName>
    <definedName name="GEN_OFFICE">#REF!</definedName>
    <definedName name="HOQUIAM_24_HR_A" localSheetId="3">#REF!</definedName>
    <definedName name="HOQUIAM_24_HR_A" localSheetId="18">#REF!</definedName>
    <definedName name="HOQUIAM_24_HR_A">#REF!</definedName>
    <definedName name="HOQUIAM_MAX">#REF!</definedName>
    <definedName name="HOQUIAM_MAX_MIN">#REF!</definedName>
    <definedName name="HOQUIAM_MIN">#REF!</definedName>
    <definedName name="I" localSheetId="21">[20]SETUP!#REF!</definedName>
    <definedName name="I" localSheetId="20">[16]SETUP!#REF!</definedName>
    <definedName name="I">[20]SETUP!#REF!</definedName>
    <definedName name="ID" localSheetId="3">'[31]JTS-5 S1p1'!#REF!</definedName>
    <definedName name="ID" localSheetId="18">'[32]JTS-5 S1p1'!#REF!</definedName>
    <definedName name="ID" localSheetId="20">'[32]JTS-5 S1p1'!#REF!</definedName>
    <definedName name="ID">'[31]JTS-5 S1p1'!#REF!</definedName>
    <definedName name="IMPORT" localSheetId="3">#REF!</definedName>
    <definedName name="IMPORT" localSheetId="18">#REF!</definedName>
    <definedName name="IMPORT" localSheetId="20">#REF!</definedName>
    <definedName name="IMPORT">#REF!</definedName>
    <definedName name="INCOMETAX" localSheetId="3">#REF!</definedName>
    <definedName name="INCOMETAX" localSheetId="18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3">'[33]Interest Rates'!$A$231:$C$245</definedName>
    <definedName name="INTCY08" localSheetId="18">'[34]Interest Rates'!$A$231:$C$245</definedName>
    <definedName name="INTCY08" localSheetId="20">'[34]Interest Rates'!$A$231:$C$245</definedName>
    <definedName name="INTCY08">'[33]Interest Rates'!$A$231:$C$245</definedName>
    <definedName name="IntCY09" localSheetId="3">'[35]Interest Rates-new amort'!$A$246:$C$267</definedName>
    <definedName name="IntCY09" localSheetId="18">'[36]Interest Rates-new amort'!$A$246:$C$267</definedName>
    <definedName name="IntCY09" localSheetId="20">'[36]Interest Rates-new amort'!$A$246:$C$267</definedName>
    <definedName name="IntCY09">'[35]Interest Rates-new amort'!$A$246:$C$267</definedName>
    <definedName name="intdate" localSheetId="21">'[37]Interest Rates'!$A$5:$C$159</definedName>
    <definedName name="intdate" localSheetId="20">'[38]Interest Rates'!$A$5:$C$159</definedName>
    <definedName name="intdate">'[37]Interest Rates'!$A$5:$C$159</definedName>
    <definedName name="InterestDuringAmort" localSheetId="23">' Int during Amort'!$A$15:$Q$24</definedName>
    <definedName name="InterestDuringAmort" localSheetId="20">#REF!</definedName>
    <definedName name="InterestDuringAmort">#REF!</definedName>
    <definedName name="INTERSTATE" localSheetId="23">#REF!</definedName>
    <definedName name="INTERSTATE" localSheetId="3">#REF!</definedName>
    <definedName name="INTERSTATE" localSheetId="18">#REF!</definedName>
    <definedName name="INTERSTATE">#REF!</definedName>
    <definedName name="INTFY05">'[23]Int Rates DO NOT USE'!$A$176:$C$187</definedName>
    <definedName name="INTFY06">'[23]Int Rates DO NOT USE'!$A$188:$C$199</definedName>
    <definedName name="INTFY07" localSheetId="3">'[33]Interest Rates'!$A$218:$C$230</definedName>
    <definedName name="INTFY07" localSheetId="18">'[34]Interest Rates'!$A$218:$C$230</definedName>
    <definedName name="INTFY07">'[33]Interest Rates'!$A$218:$C$230</definedName>
    <definedName name="JANSEP">#N/A</definedName>
    <definedName name="jjjj" localSheetId="3">'[6]Actual therms'!#REF!</definedName>
    <definedName name="jjjj" localSheetId="18">'[5]Actual therms'!#REF!</definedName>
    <definedName name="jjjj" localSheetId="20">'[5]Actual therms'!#REF!</definedName>
    <definedName name="jjjj">'[6]Actual therms'!#REF!</definedName>
    <definedName name="jjjjjjjjj" localSheetId="3">'[6]Actual therms'!#REF!</definedName>
    <definedName name="jjjjjjjjj" localSheetId="18">'[5]Actual therms'!#REF!</definedName>
    <definedName name="jjjjjjjjj" localSheetId="20">'[5]Actual therms'!#REF!</definedName>
    <definedName name="jjjjjjjjj">'[6]Actual therms'!#REF!</definedName>
    <definedName name="JRS" localSheetId="3">#REF!</definedName>
    <definedName name="JRS" localSheetId="18">#REF!</definedName>
    <definedName name="JRS" localSheetId="20">#REF!</definedName>
    <definedName name="JRS">#REF!</definedName>
    <definedName name="july_int_rate" localSheetId="3">'[39]July Int Rate for Amort'!$B$17</definedName>
    <definedName name="july_int_rate" localSheetId="18">'[40]July Int Rate for Amort'!$B$17</definedName>
    <definedName name="july_int_rate">'[39]July Int Rate for Amort'!$B$17</definedName>
    <definedName name="kkkkkk" localSheetId="3">[6]Bills!#REF!</definedName>
    <definedName name="kkkkkk" localSheetId="18">[5]Bills!#REF!</definedName>
    <definedName name="kkkkkk" localSheetId="20">[5]Bills!#REF!</definedName>
    <definedName name="kkkkkk">[6]Bills!#REF!</definedName>
    <definedName name="LEGEND" localSheetId="3">#REF!</definedName>
    <definedName name="LEGEND" localSheetId="18">#REF!</definedName>
    <definedName name="LEGEND" localSheetId="20">#REF!</definedName>
    <definedName name="LEGEND">#REF!</definedName>
    <definedName name="llllll" localSheetId="3">[6]Bills!#REF!</definedName>
    <definedName name="llllll" localSheetId="18">[5]Bills!#REF!</definedName>
    <definedName name="llllll" localSheetId="20">[5]Bills!#REF!</definedName>
    <definedName name="llllll">[6]Bills!#REF!</definedName>
    <definedName name="M" localSheetId="21">[20]SETUP!#REF!</definedName>
    <definedName name="M" localSheetId="20">[16]SETUP!#REF!</definedName>
    <definedName name="M">[20]SETUP!#REF!</definedName>
    <definedName name="M___R" localSheetId="3">#REF!</definedName>
    <definedName name="M___R" localSheetId="18">#REF!</definedName>
    <definedName name="M___R" localSheetId="20">#REF!</definedName>
    <definedName name="M___R">#REF!</definedName>
    <definedName name="MACRO">#N/A</definedName>
    <definedName name="MACROS" localSheetId="3">#REF!</definedName>
    <definedName name="MACROS" localSheetId="18">#REF!</definedName>
    <definedName name="MACROS" localSheetId="20">#REF!</definedName>
    <definedName name="MACROS">#REF!</definedName>
    <definedName name="MAIN_AB" localSheetId="20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21">[20]SETUP!#REF!</definedName>
    <definedName name="N" localSheetId="20">[16]SETUP!#REF!</definedName>
    <definedName name="N">[20]SETUP!#REF!</definedName>
    <definedName name="NCT" localSheetId="21">[20]SETUP!#REF!</definedName>
    <definedName name="NCT" localSheetId="20">[16]SETUP!#REF!</definedName>
    <definedName name="NCT">[20]SETUP!#REF!</definedName>
    <definedName name="new" localSheetId="3">#REF!</definedName>
    <definedName name="new" localSheetId="18">#REF!</definedName>
    <definedName name="new" localSheetId="20">#REF!</definedName>
    <definedName name="new">#REF!</definedName>
    <definedName name="new_int" localSheetId="20">#REF!</definedName>
    <definedName name="new_int">#REF!</definedName>
    <definedName name="njnjn" localSheetId="23">#REF!</definedName>
    <definedName name="njnjn" localSheetId="14">#REF!</definedName>
    <definedName name="njnjn" localSheetId="3">#REF!</definedName>
    <definedName name="njnjn" localSheetId="8">#REF!</definedName>
    <definedName name="njnjn" localSheetId="18">#REF!</definedName>
    <definedName name="njnjn">#REF!</definedName>
    <definedName name="NN" localSheetId="21">[20]SETUP!#REF!</definedName>
    <definedName name="NN" localSheetId="23">[20]SETUP!#REF!</definedName>
    <definedName name="NN" localSheetId="20">[16]SETUP!#REF!</definedName>
    <definedName name="NN">[20]SETUP!#REF!</definedName>
    <definedName name="nnnnn" localSheetId="14">[6]Bills!#REF!</definedName>
    <definedName name="nnnnn" localSheetId="3">[6]Bills!#REF!</definedName>
    <definedName name="nnnnn" localSheetId="8">[6]Bills!#REF!</definedName>
    <definedName name="nnnnn" localSheetId="18">[5]Bills!#REF!</definedName>
    <definedName name="nnnnn">[6]Bills!#REF!</definedName>
    <definedName name="Oct_07">"INTCY08"</definedName>
    <definedName name="OF" localSheetId="21">[20]SETUP!#REF!</definedName>
    <definedName name="OF" localSheetId="20">[16]SETUP!#REF!</definedName>
    <definedName name="OF">[20]SETUP!#REF!</definedName>
    <definedName name="old_int" localSheetId="3">#REF!</definedName>
    <definedName name="old_int" localSheetId="18">#REF!</definedName>
    <definedName name="old_int" localSheetId="20">#REF!</definedName>
    <definedName name="old_int">#REF!</definedName>
    <definedName name="OR" localSheetId="3">#REF!</definedName>
    <definedName name="OR" localSheetId="18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3">[26]input!$C$18</definedName>
    <definedName name="OTI" localSheetId="18">[27]input!$C$18</definedName>
    <definedName name="OTI" localSheetId="20">[27]input!$C$18</definedName>
    <definedName name="OTI">[26]input!$C$18</definedName>
    <definedName name="OVER" localSheetId="21">[20]SETUP!#REF!</definedName>
    <definedName name="OVER" localSheetId="20">[16]SETUP!#REF!</definedName>
    <definedName name="OVER">[20]SETUP!#REF!</definedName>
    <definedName name="Page1" localSheetId="3">#REF!</definedName>
    <definedName name="Page1" localSheetId="18">#REF!</definedName>
    <definedName name="Page1" localSheetId="20">#REF!</definedName>
    <definedName name="Page1">#REF!</definedName>
    <definedName name="Page2" localSheetId="3">#REF!</definedName>
    <definedName name="Page2" localSheetId="18">#REF!</definedName>
    <definedName name="Page2">#REF!</definedName>
    <definedName name="Page4" localSheetId="3">#REF!</definedName>
    <definedName name="Page4" localSheetId="18">#REF!</definedName>
    <definedName name="Page4">#REF!</definedName>
    <definedName name="Page5" localSheetId="3">#REF!</definedName>
    <definedName name="Page5" localSheetId="18">#REF!</definedName>
    <definedName name="Page5">#REF!</definedName>
    <definedName name="page6" localSheetId="3">#REF!</definedName>
    <definedName name="page6" localSheetId="18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3">[26]input!$C$12</definedName>
    <definedName name="PFU" localSheetId="18">[27]input!$C$12</definedName>
    <definedName name="PFU" localSheetId="20">[27]input!$C$12</definedName>
    <definedName name="PFU">[26]input!$C$12</definedName>
    <definedName name="PGAPeriodVolumes" localSheetId="21">'[41]Test Period Volumes'!#REF!</definedName>
    <definedName name="PGAPeriodVolumes" localSheetId="23">'Test Period Volumes'!#REF!</definedName>
    <definedName name="PGAPeriodVolumes" localSheetId="20">'[42]Test Period Volumes'!#REF!</definedName>
    <definedName name="PGAPeriodVolumes">'Test Period Volumes'!#REF!</definedName>
    <definedName name="pint3" localSheetId="21">'47WA.2540.'!pint3</definedName>
    <definedName name="pint3" localSheetId="3">'PGA Amount Change'!pint3</definedName>
    <definedName name="pint3" localSheetId="18">'Unpro. Amount Change'!pint3</definedName>
    <definedName name="pint3" localSheetId="20">'Unprot. Proposed Rate Adj.'!pint3</definedName>
    <definedName name="pint3">[0]!pint3</definedName>
    <definedName name="pint3r" localSheetId="21">'47WA.2540.'!pint3r</definedName>
    <definedName name="pint3r" localSheetId="3">'PGA Amount Change'!pint3r</definedName>
    <definedName name="pint3r" localSheetId="18">'Unpro. Amount Change'!pint3r</definedName>
    <definedName name="pint3r" localSheetId="20">'Unprot. Proposed Rate Adj.'!pint3r</definedName>
    <definedName name="pint3r">[0]!pint3r</definedName>
    <definedName name="ppopo" localSheetId="3">#REF!</definedName>
    <definedName name="ppopo" localSheetId="18">#REF!</definedName>
    <definedName name="ppopo" localSheetId="20">#REF!</definedName>
    <definedName name="ppopo">#REF!</definedName>
    <definedName name="ppppp" localSheetId="3">#REF!</definedName>
    <definedName name="ppppp" localSheetId="18">#REF!</definedName>
    <definedName name="ppppp">#REF!</definedName>
    <definedName name="PRINT" localSheetId="3">#REF!</definedName>
    <definedName name="PRINT" localSheetId="18">#REF!</definedName>
    <definedName name="PRINT">#REF!</definedName>
    <definedName name="_xlnm.Print_Area" localSheetId="27">' Int during Amort'!$A$1:$T$69</definedName>
    <definedName name="_xlnm.Print_Area" localSheetId="16">'582 Table of Contents'!$A$1:$F$21</definedName>
    <definedName name="_xlnm.Print_Area" localSheetId="28">'Bills-Therms-Revs'!$A$1:$J$47</definedName>
    <definedName name="_xlnm.Print_Area" localSheetId="13">'CPA Proposed Rate 596'!$B$1:$H$21</definedName>
    <definedName name="_xlnm.Print_Area" localSheetId="15">'Effects of CPA Avg. Bill'!$A$1:$K$35</definedName>
    <definedName name="_xlnm.Print_Area" localSheetId="4">'Effects of PGA Avg. Bill'!$A$1:$K$39</definedName>
    <definedName name="_xlnm.Print_Area" localSheetId="9">'Effects of TTA Avg. Bill'!$A$1:$K$39</definedName>
    <definedName name="_xlnm.Print_Area" localSheetId="19">'Effects of UPT Avg. Bill'!$A$1:$K$42</definedName>
    <definedName name="_xlnm.Print_Area" localSheetId="3">'PGA Amount Change'!$A$1:$J$21</definedName>
    <definedName name="_xlnm.Print_Area" localSheetId="2">'PGA Demand Cost Allocation'!$A$2:$L$31</definedName>
    <definedName name="_xlnm.Print_Area" localSheetId="5">'PGA Proposed Rate Adj.'!$A$1:$L$31</definedName>
    <definedName name="_xlnm.Print_Area" localSheetId="29">'Test Period Volumes'!$B$1:$I$35</definedName>
    <definedName name="_xlnm.Print_Area" localSheetId="7">'TTA Proposed Rate 595'!$A$1:$G$21</definedName>
    <definedName name="_xlnm.Print_Area" localSheetId="6">'TTA Summary of Def. Accts.'!$A$1:$N$21</definedName>
    <definedName name="_xlnm.Print_Area" localSheetId="18">'Unpro. Amount Change'!$A$1:$L$26</definedName>
    <definedName name="_xlnm.Print_Area" localSheetId="20">'Unprot. Proposed Rate Adj.'!$A$1:$L$29</definedName>
    <definedName name="_xlnm.Print_Area" localSheetId="17">'Unprotected Cost Allocation'!$A$1:$M$28</definedName>
    <definedName name="Print_Area_MI" localSheetId="21">#REF!</definedName>
    <definedName name="Print_Area_MI" localSheetId="3">#REF!</definedName>
    <definedName name="Print_Area_MI" localSheetId="18">#REF!</definedName>
    <definedName name="Print_Area_MI" localSheetId="20">#REF!</definedName>
    <definedName name="Print_Area_MI">#REF!</definedName>
    <definedName name="_xlnm.Print_Titles" localSheetId="27">' Int during Amort'!$A:$C,' Int during Amort'!#REF!</definedName>
    <definedName name="print1" localSheetId="21">[21]!print1</definedName>
    <definedName name="print1" localSheetId="20">[14]!print1</definedName>
    <definedName name="print1">[21]!print1</definedName>
    <definedName name="print10" localSheetId="21">'47WA.2540.'!print10</definedName>
    <definedName name="print10" localSheetId="3">'PGA Amount Change'!print10</definedName>
    <definedName name="print10" localSheetId="18">'Unpro. Amount Change'!print10</definedName>
    <definedName name="print10" localSheetId="20">'Unprot. Proposed Rate Adj.'!print10</definedName>
    <definedName name="print10">[0]!print10</definedName>
    <definedName name="print2" localSheetId="21">[21]!print2</definedName>
    <definedName name="print2" localSheetId="20">[14]!print2</definedName>
    <definedName name="print2">[21]!print2</definedName>
    <definedName name="print3" localSheetId="21">[21]!print3</definedName>
    <definedName name="print3" localSheetId="20">[14]!print3</definedName>
    <definedName name="print3">[21]!print3</definedName>
    <definedName name="pzint3" localSheetId="21">'47WA.2540.'!pzint3</definedName>
    <definedName name="pzint3" localSheetId="3">'PGA Amount Change'!pzint3</definedName>
    <definedName name="pzint3" localSheetId="18">'Unpro. Amount Change'!pzint3</definedName>
    <definedName name="pzint3" localSheetId="20">'Unprot. Proposed Rate Adj.'!pzint3</definedName>
    <definedName name="pzint3">[0]!pzint3</definedName>
    <definedName name="qqqq" localSheetId="3">#REF!</definedName>
    <definedName name="qqqq" localSheetId="18">#REF!</definedName>
    <definedName name="qqqq" localSheetId="20">#REF!</definedName>
    <definedName name="qqqq">#REF!</definedName>
    <definedName name="QUIT" localSheetId="3">#REF!</definedName>
    <definedName name="QUIT" localSheetId="18">#REF!</definedName>
    <definedName name="QUIT">#REF!</definedName>
    <definedName name="revsens" localSheetId="3">'[43]General Inputs'!$D$10</definedName>
    <definedName name="revsens" localSheetId="18">'[44]General Inputs'!$D$10</definedName>
    <definedName name="revsens">'[43]General Inputs'!$D$10</definedName>
    <definedName name="S" localSheetId="21">[20]SETUP!#REF!</definedName>
    <definedName name="S" localSheetId="20">[16]SETUP!#REF!</definedName>
    <definedName name="S">[20]SETUP!#REF!</definedName>
    <definedName name="SAVE" localSheetId="3">#REF!</definedName>
    <definedName name="SAVE" localSheetId="18">#REF!</definedName>
    <definedName name="SAVE" localSheetId="20">#REF!</definedName>
    <definedName name="SAVE">#REF!</definedName>
    <definedName name="scenario_2790_DataTable" localSheetId="3">#REF!</definedName>
    <definedName name="scenario_2790_DataTable" localSheetId="18">#REF!</definedName>
    <definedName name="scenario_2790_DataTable">#REF!</definedName>
    <definedName name="Sheet1_DataTable" localSheetId="3">#REF!</definedName>
    <definedName name="Sheet1_DataTable" localSheetId="18">#REF!</definedName>
    <definedName name="Sheet1_DataTable">#REF!</definedName>
    <definedName name="Sheet3_DataTable">#REF!</definedName>
    <definedName name="Sheet5_DataTable">#REF!</definedName>
    <definedName name="solver_adj" localSheetId="2" hidden="1">'PGA Demand Cost Allocation'!$D$18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'PGA Demand Cost Allocation'!$F$9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'PGA Demand Cost Allocation'!$L$22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'PGA Demand Cost Allocation'!$L$22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44800793.21</definedName>
    <definedName name="solver_ver" localSheetId="2" hidden="1">3</definedName>
    <definedName name="SSPBILL" localSheetId="21">'[21]Int Rates'!#REF!</definedName>
    <definedName name="SSPBILL" localSheetId="20">'[14]Int Rates'!#REF!</definedName>
    <definedName name="SSPBILL">'[21]Int Rates'!#REF!</definedName>
    <definedName name="SSPREF" localSheetId="21">'[21]Int Rates'!#REF!</definedName>
    <definedName name="SSPREF" localSheetId="20">'[14]Int Rates'!#REF!</definedName>
    <definedName name="SSPREF">'[21]Int Rates'!#REF!</definedName>
    <definedName name="Storage_DataTable" localSheetId="3">#REF!</definedName>
    <definedName name="Storage_DataTable" localSheetId="18">#REF!</definedName>
    <definedName name="Storage_DataTable" localSheetId="20">#REF!</definedName>
    <definedName name="Storage_DataTable">#REF!</definedName>
    <definedName name="storage_info_DataTable" localSheetId="3">#REF!</definedName>
    <definedName name="storage_info_DataTable" localSheetId="18">#REF!</definedName>
    <definedName name="storage_info_DataTable">#REF!</definedName>
    <definedName name="Storage_Inj_DataTable" localSheetId="3">#REF!</definedName>
    <definedName name="Storage_Inj_DataTable" localSheetId="18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21">[20]SETUP!#REF!</definedName>
    <definedName name="T" localSheetId="20">[16]SETUP!#REF!</definedName>
    <definedName name="T">[20]SETUP!#REF!</definedName>
    <definedName name="TAXINT18" localSheetId="21">'[45]TAX Interest Rates'!$A$10:$C$21</definedName>
    <definedName name="TAXINT18">'[46]TAX Interest Rates'!$A$10:$C$21</definedName>
    <definedName name="TAXINT19" localSheetId="21">'[45]TAX Interest Rates'!$A$22:$C$33</definedName>
    <definedName name="TAXINT19">'[46]TAX Interest Rates'!$A$22:$C$33</definedName>
    <definedName name="TESTPERIOD" localSheetId="3">[26]input!$C$5</definedName>
    <definedName name="TESTPERIOD" localSheetId="18">[27]input!$C$5</definedName>
    <definedName name="TESTPERIOD" localSheetId="20">[27]input!$C$5</definedName>
    <definedName name="TESTPERIOD">[26]input!$C$5</definedName>
    <definedName name="TestPeriodVolumes" localSheetId="21">'[41]Test Period Volumes'!#REF!</definedName>
    <definedName name="TestPeriodVolumes" localSheetId="23">'Test Period Volumes'!#REF!</definedName>
    <definedName name="TestPeriodVolumes" localSheetId="20">'[42]Test Period Volumes'!#REF!</definedName>
    <definedName name="TestPeriodVolumes">'Test Period Volumes'!#REF!</definedName>
    <definedName name="TITLES" localSheetId="3">#REF!</definedName>
    <definedName name="TITLES" localSheetId="18">#REF!</definedName>
    <definedName name="TITLES" localSheetId="20">#REF!</definedName>
    <definedName name="TITLES">#REF!</definedName>
    <definedName name="TRANSPORT" localSheetId="21">[20]SETUP!#REF!</definedName>
    <definedName name="TRANSPORT" localSheetId="3">[20]SETUP!#REF!</definedName>
    <definedName name="TRANSPORT" localSheetId="18">[20]SETUP!#REF!</definedName>
    <definedName name="TRANSPORT" localSheetId="20">[16]SETUP!#REF!</definedName>
    <definedName name="TRANSPORT">[20]SETUP!#REF!</definedName>
    <definedName name="Transport_DataTable" localSheetId="3">#REF!</definedName>
    <definedName name="Transport_DataTable" localSheetId="18">#REF!</definedName>
    <definedName name="Transport_DataTable" localSheetId="20">#REF!</definedName>
    <definedName name="Transport_DataTable">#REF!</definedName>
    <definedName name="Transport_Info_DataTable" localSheetId="3">#REF!</definedName>
    <definedName name="Transport_Info_DataTable" localSheetId="18">#REF!</definedName>
    <definedName name="Transport_Info_DataTable">#REF!</definedName>
    <definedName name="TRNSPTREV" localSheetId="3">[26]input!$C$51</definedName>
    <definedName name="TRNSPTREV" localSheetId="18">[27]input!$C$51</definedName>
    <definedName name="TRNSPTREV" localSheetId="20">[27]input!$C$51</definedName>
    <definedName name="TRNSPTREV">[26]input!$C$51</definedName>
    <definedName name="VARIANCE" localSheetId="3">#REF!</definedName>
    <definedName name="VARIANCE" localSheetId="18">#REF!</definedName>
    <definedName name="VARIANCE" localSheetId="20">#REF!</definedName>
    <definedName name="VARIANCE">#REF!</definedName>
    <definedName name="VARIANCEREVENUE" localSheetId="3">#REF!</definedName>
    <definedName name="VARIANCEREVENUE" localSheetId="18">#REF!</definedName>
    <definedName name="VARIANCEREVENUE">#REF!</definedName>
    <definedName name="WA" localSheetId="3">#REF!</definedName>
    <definedName name="WA" localSheetId="18">#REF!</definedName>
    <definedName name="WA">#REF!</definedName>
    <definedName name="WA_3_FACTOR">#REF!</definedName>
    <definedName name="WA_CUST">#REF!</definedName>
    <definedName name="WA_PLANT">#REF!</definedName>
    <definedName name="wa_revsens" localSheetId="3">'[43]General Inputs'!$E$10</definedName>
    <definedName name="wa_revsens" localSheetId="18">'[44]General Inputs'!$E$10</definedName>
    <definedName name="wa_revsens" localSheetId="20">'[44]General Inputs'!$E$10</definedName>
    <definedName name="wa_revsens">'[43]General Inputs'!$E$10</definedName>
    <definedName name="WA320A" localSheetId="21">#REF!</definedName>
    <definedName name="WA320A" localSheetId="3">#REF!</definedName>
    <definedName name="WA320A" localSheetId="18">#REF!</definedName>
    <definedName name="WA320A" localSheetId="20">#REF!</definedName>
    <definedName name="WA320A">#REF!</definedName>
    <definedName name="WACOG" localSheetId="3">#REF!</definedName>
    <definedName name="WACOG" localSheetId="18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21">'47WA.2540.'!xyz5</definedName>
    <definedName name="xyz5" localSheetId="23">[47]!xyz5</definedName>
    <definedName name="xyz5" localSheetId="14">'CPA Amount of Change'!xyz5</definedName>
    <definedName name="xyz5" localSheetId="3">'PGA Amount Change'!xyz5</definedName>
    <definedName name="xyz5" localSheetId="8">'TTA Amount of Change'!xyz5</definedName>
    <definedName name="xyz5" localSheetId="18">'Unpro. Amount Change'!xyz5</definedName>
    <definedName name="xyz5" localSheetId="20">'Unprot. Proposed Rate Adj.'!xyz5</definedName>
    <definedName name="xyz5">'Balances at 7-31-2022'!xyz5</definedName>
    <definedName name="YAKIMA_24_HR_AV" localSheetId="3">#REF!</definedName>
    <definedName name="YAKIMA_24_HR_AV" localSheetId="18">#REF!</definedName>
    <definedName name="YAKIMA_24_HR_AV" localSheetId="20">#REF!</definedName>
    <definedName name="YAKIMA_24_HR_AV">#REF!</definedName>
    <definedName name="YAKIMA_MAX" localSheetId="20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524" l="1"/>
  <c r="F26" i="524"/>
  <c r="J26" i="524"/>
  <c r="D26" i="524"/>
  <c r="F17" i="524" l="1"/>
  <c r="H17" i="524"/>
  <c r="J17" i="524"/>
  <c r="H39" i="524" l="1"/>
  <c r="F16" i="532" l="1"/>
  <c r="G39" i="547" l="1"/>
  <c r="G38" i="547"/>
  <c r="G42" i="547" s="1"/>
  <c r="F11" i="547"/>
  <c r="G11" i="547" s="1"/>
  <c r="G29" i="531"/>
  <c r="G28" i="531"/>
  <c r="G27" i="531"/>
  <c r="G30" i="531" s="1"/>
  <c r="G22" i="531"/>
  <c r="G21" i="531"/>
  <c r="G24" i="531" l="1"/>
  <c r="D24" i="524"/>
  <c r="D20" i="524" s="1"/>
  <c r="D28" i="524" s="1"/>
  <c r="L26" i="548" l="1"/>
  <c r="K24" i="548"/>
  <c r="J22" i="548"/>
  <c r="I20" i="548"/>
  <c r="H18" i="548"/>
  <c r="G16" i="548"/>
  <c r="H23" i="546" l="1"/>
  <c r="H19" i="546"/>
  <c r="H18" i="546"/>
  <c r="H17" i="546"/>
  <c r="E23" i="546"/>
  <c r="E20" i="546"/>
  <c r="E19" i="546"/>
  <c r="E18" i="546"/>
  <c r="E16" i="546"/>
  <c r="F9" i="545" l="1"/>
  <c r="H68" i="551" l="1"/>
  <c r="F64" i="551"/>
  <c r="F63" i="551"/>
  <c r="F62" i="551"/>
  <c r="E64" i="551" l="1"/>
  <c r="E63" i="551"/>
  <c r="E62" i="551"/>
  <c r="F61" i="551" l="1"/>
  <c r="F60" i="551"/>
  <c r="F59" i="551"/>
  <c r="F58" i="551"/>
  <c r="F57" i="551"/>
  <c r="F56" i="551"/>
  <c r="F55" i="551"/>
  <c r="F54" i="551"/>
  <c r="F53" i="551"/>
  <c r="F52" i="551"/>
  <c r="F51" i="551"/>
  <c r="F50" i="551"/>
  <c r="E61" i="551"/>
  <c r="E60" i="551"/>
  <c r="E59" i="551"/>
  <c r="E58" i="551"/>
  <c r="E57" i="551"/>
  <c r="E56" i="551"/>
  <c r="E55" i="551"/>
  <c r="E54" i="551"/>
  <c r="E53" i="551"/>
  <c r="E52" i="551"/>
  <c r="E51" i="551"/>
  <c r="E50" i="551"/>
  <c r="F34" i="532" l="1"/>
  <c r="F31" i="533" s="1"/>
  <c r="F33" i="532"/>
  <c r="F28" i="532"/>
  <c r="F29" i="532"/>
  <c r="F27" i="532"/>
  <c r="F22" i="532"/>
  <c r="F23" i="532"/>
  <c r="F20" i="533" s="1"/>
  <c r="F21" i="532"/>
  <c r="F18" i="532"/>
  <c r="F15" i="533" s="1"/>
  <c r="F13" i="533"/>
  <c r="E32" i="532"/>
  <c r="E29" i="533" s="1"/>
  <c r="E26" i="532"/>
  <c r="E20" i="532"/>
  <c r="E17" i="533" s="1"/>
  <c r="E18" i="532"/>
  <c r="E15" i="533" s="1"/>
  <c r="E16" i="532"/>
  <c r="E13" i="533" s="1"/>
  <c r="D9" i="532"/>
  <c r="D6" i="533" s="1"/>
  <c r="D9" i="539" s="1"/>
  <c r="D9" i="547" s="1"/>
  <c r="D35" i="532"/>
  <c r="D32" i="533" s="1"/>
  <c r="D30" i="532"/>
  <c r="D27" i="533" s="1"/>
  <c r="D24" i="532"/>
  <c r="D21" i="533" s="1"/>
  <c r="D18" i="532"/>
  <c r="D15" i="533" s="1"/>
  <c r="D16" i="532"/>
  <c r="D13" i="533" s="1"/>
  <c r="D24" i="511"/>
  <c r="F30" i="533" l="1"/>
  <c r="G30" i="533" s="1"/>
  <c r="G32" i="533" s="1"/>
  <c r="G33" i="532"/>
  <c r="G35" i="532" s="1"/>
  <c r="F24" i="533"/>
  <c r="G27" i="532"/>
  <c r="F26" i="533"/>
  <c r="G26" i="533" s="1"/>
  <c r="G29" i="532"/>
  <c r="F25" i="533"/>
  <c r="G25" i="533" s="1"/>
  <c r="G28" i="532"/>
  <c r="F19" i="533"/>
  <c r="G22" i="532"/>
  <c r="F18" i="533"/>
  <c r="G18" i="533" s="1"/>
  <c r="G21" i="532"/>
  <c r="G24" i="532" s="1"/>
  <c r="G19" i="533"/>
  <c r="E23" i="533"/>
  <c r="G24" i="533" s="1"/>
  <c r="I34" i="472"/>
  <c r="I36" i="472"/>
  <c r="F18" i="472"/>
  <c r="E17" i="546" s="1"/>
  <c r="G27" i="533" l="1"/>
  <c r="H20" i="546"/>
  <c r="G30" i="532"/>
  <c r="G21" i="533"/>
  <c r="F17" i="452"/>
  <c r="F16" i="452"/>
  <c r="F15" i="452" l="1"/>
  <c r="G11" i="548" l="1"/>
  <c r="H11" i="548"/>
  <c r="I11" i="548"/>
  <c r="J11" i="548"/>
  <c r="K11" i="548"/>
  <c r="L11" i="548"/>
  <c r="F14" i="452" l="1"/>
  <c r="F13" i="452" l="1"/>
  <c r="F12" i="452"/>
  <c r="D13" i="511" l="1"/>
  <c r="F11" i="452" l="1"/>
  <c r="F10" i="452"/>
  <c r="F9" i="452"/>
  <c r="F7" i="452" l="1"/>
  <c r="F8" i="452"/>
  <c r="F6" i="452"/>
  <c r="I67" i="551" l="1"/>
  <c r="E68" i="551"/>
  <c r="E69" i="551" s="1"/>
  <c r="F68" i="551" s="1"/>
  <c r="H67" i="551"/>
  <c r="F67" i="551"/>
  <c r="G67" i="551" s="1"/>
  <c r="F49" i="551"/>
  <c r="E49" i="551"/>
  <c r="D49" i="551"/>
  <c r="F48" i="551"/>
  <c r="E48" i="551"/>
  <c r="D48" i="551"/>
  <c r="E47" i="551"/>
  <c r="D47" i="551"/>
  <c r="E46" i="551"/>
  <c r="D46" i="551"/>
  <c r="E45" i="551"/>
  <c r="D45" i="551"/>
  <c r="E44" i="551"/>
  <c r="D44" i="551"/>
  <c r="E43" i="551"/>
  <c r="D43" i="551"/>
  <c r="E42" i="551"/>
  <c r="D42" i="551"/>
  <c r="E41" i="551"/>
  <c r="D41" i="551"/>
  <c r="D40" i="551"/>
  <c r="D39" i="551"/>
  <c r="D38" i="551"/>
  <c r="E21" i="551"/>
  <c r="E20" i="551"/>
  <c r="E19" i="551"/>
  <c r="E18" i="551"/>
  <c r="E17" i="551"/>
  <c r="E16" i="551"/>
  <c r="E15" i="551"/>
  <c r="E14" i="551"/>
  <c r="H12" i="551"/>
  <c r="I13" i="551" s="1"/>
  <c r="J28" i="548"/>
  <c r="K28" i="548"/>
  <c r="L28" i="548"/>
  <c r="I28" i="548"/>
  <c r="H28" i="548"/>
  <c r="K2" i="548"/>
  <c r="F69" i="551" l="1"/>
  <c r="G68" i="551" s="1"/>
  <c r="G69" i="551" s="1"/>
  <c r="H69" i="551" s="1"/>
  <c r="G14" i="551"/>
  <c r="I14" i="551" s="1"/>
  <c r="G28" i="548"/>
  <c r="J2" i="547"/>
  <c r="J1" i="546"/>
  <c r="J1" i="547" s="1"/>
  <c r="K1" i="548" s="1"/>
  <c r="D24" i="545"/>
  <c r="J16" i="546" s="1"/>
  <c r="F18" i="545"/>
  <c r="F24" i="545" s="1"/>
  <c r="I68" i="551" l="1"/>
  <c r="I69" i="551" s="1"/>
  <c r="H24" i="546"/>
  <c r="E24" i="546"/>
  <c r="E21" i="546"/>
  <c r="D20" i="545"/>
  <c r="G15" i="551"/>
  <c r="I15" i="551" s="1"/>
  <c r="F20" i="545"/>
  <c r="J17" i="546"/>
  <c r="H18" i="545"/>
  <c r="E26" i="546" l="1"/>
  <c r="G16" i="551"/>
  <c r="I16" i="551" s="1"/>
  <c r="H24" i="545"/>
  <c r="I18" i="545"/>
  <c r="G17" i="551" l="1"/>
  <c r="I17" i="551" s="1"/>
  <c r="I24" i="545"/>
  <c r="J18" i="545"/>
  <c r="J18" i="546"/>
  <c r="H20" i="545"/>
  <c r="G18" i="551" l="1"/>
  <c r="I18" i="551" s="1"/>
  <c r="J24" i="545"/>
  <c r="K18" i="545"/>
  <c r="K24" i="545" s="1"/>
  <c r="J19" i="546"/>
  <c r="I20" i="545"/>
  <c r="G19" i="551" l="1"/>
  <c r="I19" i="551" s="1"/>
  <c r="J23" i="546"/>
  <c r="K20" i="545"/>
  <c r="J20" i="546"/>
  <c r="J20" i="545"/>
  <c r="G20" i="551" l="1"/>
  <c r="I20" i="551" s="1"/>
  <c r="H41" i="547"/>
  <c r="H40" i="547"/>
  <c r="H39" i="547"/>
  <c r="I39" i="547" s="1"/>
  <c r="H38" i="547"/>
  <c r="I38" i="547" s="1"/>
  <c r="I42" i="547" s="1"/>
  <c r="G21" i="551" l="1"/>
  <c r="I21" i="551" s="1"/>
  <c r="J42" i="547"/>
  <c r="K42" i="547" s="1"/>
  <c r="G22" i="551" l="1"/>
  <c r="I22" i="551" s="1"/>
  <c r="G23" i="551" l="1"/>
  <c r="I23" i="551" s="1"/>
  <c r="G24" i="551" l="1"/>
  <c r="I24" i="551" s="1"/>
  <c r="G25" i="551" l="1"/>
  <c r="I25" i="551" s="1"/>
  <c r="G26" i="551" l="1"/>
  <c r="I26" i="551" s="1"/>
  <c r="G27" i="551" l="1"/>
  <c r="I27" i="551" s="1"/>
  <c r="G28" i="551" l="1"/>
  <c r="I28" i="551" s="1"/>
  <c r="G29" i="551" l="1"/>
  <c r="I29" i="551" s="1"/>
  <c r="G30" i="551" l="1"/>
  <c r="I30" i="551" s="1"/>
  <c r="G31" i="551" l="1"/>
  <c r="I31" i="551" s="1"/>
  <c r="G32" i="551" l="1"/>
  <c r="I32" i="551" s="1"/>
  <c r="G33" i="551" l="1"/>
  <c r="I33" i="551" s="1"/>
  <c r="G34" i="551" l="1"/>
  <c r="I34" i="551" s="1"/>
  <c r="G35" i="551" l="1"/>
  <c r="I35" i="551" s="1"/>
  <c r="G36" i="551" l="1"/>
  <c r="I36" i="551" s="1"/>
  <c r="G37" i="551" l="1"/>
  <c r="I37" i="551" s="1"/>
  <c r="G38" i="551" l="1"/>
  <c r="I38" i="551" s="1"/>
  <c r="G39" i="551" l="1"/>
  <c r="I39" i="551" s="1"/>
  <c r="G40" i="551" l="1"/>
  <c r="I40" i="551" s="1"/>
  <c r="I41" i="551" s="1"/>
  <c r="I42" i="551" s="1"/>
  <c r="I43" i="551" s="1"/>
  <c r="I44" i="551" s="1"/>
  <c r="I45" i="551" s="1"/>
  <c r="I46" i="551" s="1"/>
  <c r="I47" i="551" s="1"/>
  <c r="I48" i="551" s="1"/>
  <c r="I49" i="551" s="1"/>
  <c r="I50" i="551" s="1"/>
  <c r="I51" i="551" s="1"/>
  <c r="I52" i="551" s="1"/>
  <c r="I53" i="551" s="1"/>
  <c r="I54" i="551" s="1"/>
  <c r="I55" i="551" s="1"/>
  <c r="I56" i="551" s="1"/>
  <c r="I57" i="551" s="1"/>
  <c r="I58" i="551" s="1"/>
  <c r="I59" i="551" s="1"/>
  <c r="I60" i="551" s="1"/>
  <c r="I61" i="551" s="1"/>
  <c r="I62" i="551" s="1"/>
  <c r="I63" i="551" s="1"/>
  <c r="I64" i="551" s="1"/>
  <c r="F18" i="539" l="1"/>
  <c r="F18" i="547" s="1"/>
  <c r="F21" i="539"/>
  <c r="F22" i="539"/>
  <c r="F23" i="539"/>
  <c r="F23" i="547" s="1"/>
  <c r="F27" i="539"/>
  <c r="F28" i="539"/>
  <c r="F29" i="539"/>
  <c r="F33" i="539"/>
  <c r="F34" i="539"/>
  <c r="F34" i="547" s="1"/>
  <c r="F16" i="539"/>
  <c r="F16" i="547" s="1"/>
  <c r="E18" i="539"/>
  <c r="E18" i="547" s="1"/>
  <c r="E20" i="539"/>
  <c r="E20" i="547" s="1"/>
  <c r="E26" i="539"/>
  <c r="E26" i="547" s="1"/>
  <c r="E32" i="539"/>
  <c r="E32" i="547" s="1"/>
  <c r="E16" i="539"/>
  <c r="E16" i="547" s="1"/>
  <c r="D35" i="539"/>
  <c r="D35" i="547" s="1"/>
  <c r="D30" i="539"/>
  <c r="D30" i="547" s="1"/>
  <c r="D24" i="539"/>
  <c r="D24" i="547" s="1"/>
  <c r="D18" i="539"/>
  <c r="D18" i="547" s="1"/>
  <c r="D16" i="539"/>
  <c r="D16" i="547" s="1"/>
  <c r="H16" i="537"/>
  <c r="H15" i="537"/>
  <c r="H14" i="537"/>
  <c r="E17" i="537"/>
  <c r="E16" i="537"/>
  <c r="E15" i="537"/>
  <c r="E14" i="537"/>
  <c r="E13" i="537"/>
  <c r="E33" i="513"/>
  <c r="Q30" i="513"/>
  <c r="P30" i="513"/>
  <c r="R30" i="513"/>
  <c r="R31" i="513"/>
  <c r="Q31" i="513"/>
  <c r="P31" i="513"/>
  <c r="O31" i="513"/>
  <c r="N31" i="513"/>
  <c r="M31" i="513"/>
  <c r="O30" i="513"/>
  <c r="N30" i="513"/>
  <c r="M30" i="513"/>
  <c r="R29" i="513"/>
  <c r="Q29" i="513"/>
  <c r="P29" i="513"/>
  <c r="O29" i="513"/>
  <c r="N29" i="513"/>
  <c r="M29" i="513"/>
  <c r="L31" i="513"/>
  <c r="L30" i="513"/>
  <c r="L29" i="513"/>
  <c r="K31" i="513"/>
  <c r="K30" i="513"/>
  <c r="K29" i="513"/>
  <c r="J31" i="513"/>
  <c r="J30" i="513"/>
  <c r="J29" i="513"/>
  <c r="I31" i="513"/>
  <c r="I30" i="513"/>
  <c r="I29" i="513"/>
  <c r="H31" i="513"/>
  <c r="H30" i="513"/>
  <c r="H29" i="513"/>
  <c r="G31" i="513"/>
  <c r="G30" i="513"/>
  <c r="G29" i="513"/>
  <c r="R28" i="513"/>
  <c r="Q28" i="513"/>
  <c r="P28" i="513"/>
  <c r="O28" i="513"/>
  <c r="N28" i="513"/>
  <c r="M28" i="513"/>
  <c r="L28" i="513"/>
  <c r="K28" i="513"/>
  <c r="J28" i="513"/>
  <c r="I28" i="513"/>
  <c r="H28" i="513"/>
  <c r="G28" i="513"/>
  <c r="R27" i="513"/>
  <c r="Q27" i="513"/>
  <c r="P27" i="513"/>
  <c r="O27" i="513"/>
  <c r="N27" i="513"/>
  <c r="M27" i="513"/>
  <c r="L27" i="513"/>
  <c r="K27" i="513"/>
  <c r="J27" i="513"/>
  <c r="I27" i="513"/>
  <c r="H27" i="513"/>
  <c r="G27" i="513"/>
  <c r="H26" i="513"/>
  <c r="I26" i="513"/>
  <c r="J26" i="513"/>
  <c r="K26" i="513"/>
  <c r="L26" i="513"/>
  <c r="M26" i="513"/>
  <c r="N26" i="513"/>
  <c r="O26" i="513"/>
  <c r="P26" i="513"/>
  <c r="Q26" i="513"/>
  <c r="R26" i="513"/>
  <c r="G26" i="513"/>
  <c r="F26" i="513"/>
  <c r="E26" i="513"/>
  <c r="B28" i="513"/>
  <c r="B38" i="513" s="1"/>
  <c r="B29" i="513"/>
  <c r="B39" i="513" s="1"/>
  <c r="B30" i="513"/>
  <c r="B40" i="513" s="1"/>
  <c r="B31" i="513"/>
  <c r="B41" i="513" s="1"/>
  <c r="B27" i="513"/>
  <c r="B37" i="513" s="1"/>
  <c r="A28" i="513"/>
  <c r="A38" i="513" s="1"/>
  <c r="A29" i="513"/>
  <c r="A39" i="513" s="1"/>
  <c r="A30" i="513"/>
  <c r="A40" i="513" s="1"/>
  <c r="A31" i="513"/>
  <c r="A41" i="513" s="1"/>
  <c r="A27" i="513"/>
  <c r="A37" i="513" s="1"/>
  <c r="A25" i="454"/>
  <c r="A26" i="454"/>
  <c r="A27" i="454"/>
  <c r="A28" i="454"/>
  <c r="A24" i="454"/>
  <c r="H23" i="454"/>
  <c r="F22" i="454"/>
  <c r="E22" i="454"/>
  <c r="D22" i="454"/>
  <c r="C21" i="454"/>
  <c r="B26" i="450"/>
  <c r="B21" i="450"/>
  <c r="B22" i="450"/>
  <c r="B23" i="450"/>
  <c r="B24" i="450"/>
  <c r="A21" i="450"/>
  <c r="A22" i="450"/>
  <c r="A23" i="450"/>
  <c r="A24" i="450"/>
  <c r="B20" i="450"/>
  <c r="A20" i="450"/>
  <c r="C18" i="450"/>
  <c r="C19" i="450" s="1"/>
  <c r="G19" i="450"/>
  <c r="D17" i="450"/>
  <c r="E17" i="450"/>
  <c r="C17" i="450"/>
  <c r="F24" i="450"/>
  <c r="F23" i="450"/>
  <c r="F22" i="450"/>
  <c r="F21" i="450"/>
  <c r="F20" i="450"/>
  <c r="F19" i="450"/>
  <c r="F17" i="450"/>
  <c r="C21" i="512"/>
  <c r="C22" i="512"/>
  <c r="C23" i="512"/>
  <c r="C24" i="512"/>
  <c r="C20" i="512"/>
  <c r="B21" i="512"/>
  <c r="B22" i="512"/>
  <c r="B23" i="512"/>
  <c r="B24" i="512"/>
  <c r="B20" i="512"/>
  <c r="A21" i="512"/>
  <c r="A22" i="512"/>
  <c r="A23" i="512"/>
  <c r="A24" i="512"/>
  <c r="A20" i="512"/>
  <c r="H18" i="512"/>
  <c r="D16" i="512"/>
  <c r="E16" i="512"/>
  <c r="F16" i="512"/>
  <c r="C16" i="512"/>
  <c r="B11" i="535"/>
  <c r="F33" i="547" l="1"/>
  <c r="G33" i="547" s="1"/>
  <c r="G35" i="547" s="1"/>
  <c r="G33" i="539"/>
  <c r="G35" i="539" s="1"/>
  <c r="F27" i="547"/>
  <c r="G27" i="547" s="1"/>
  <c r="G27" i="539"/>
  <c r="F28" i="547"/>
  <c r="G28" i="547" s="1"/>
  <c r="G28" i="539"/>
  <c r="F29" i="547"/>
  <c r="G29" i="547" s="1"/>
  <c r="G29" i="539"/>
  <c r="F22" i="547"/>
  <c r="G22" i="547" s="1"/>
  <c r="G22" i="539"/>
  <c r="F21" i="547"/>
  <c r="G21" i="547" s="1"/>
  <c r="G21" i="539"/>
  <c r="G24" i="539" s="1"/>
  <c r="F26" i="450"/>
  <c r="C20" i="450"/>
  <c r="C24" i="450"/>
  <c r="C21" i="450"/>
  <c r="C23" i="450"/>
  <c r="C22" i="450"/>
  <c r="C25" i="512"/>
  <c r="H33" i="547"/>
  <c r="I33" i="547" s="1"/>
  <c r="I35" i="547" s="1"/>
  <c r="H27" i="547"/>
  <c r="I27" i="547" s="1"/>
  <c r="H23" i="547"/>
  <c r="H16" i="547"/>
  <c r="I16" i="547" s="1"/>
  <c r="H34" i="547"/>
  <c r="H18" i="547"/>
  <c r="I18" i="547" s="1"/>
  <c r="R33" i="513"/>
  <c r="L33" i="513"/>
  <c r="M33" i="513"/>
  <c r="N33" i="513"/>
  <c r="Q33" i="513"/>
  <c r="O33" i="513"/>
  <c r="S27" i="513"/>
  <c r="G33" i="513"/>
  <c r="P33" i="513"/>
  <c r="I33" i="513"/>
  <c r="J33" i="513"/>
  <c r="S31" i="513"/>
  <c r="K33" i="513"/>
  <c r="S30" i="513"/>
  <c r="S28" i="513"/>
  <c r="S29" i="513"/>
  <c r="H33" i="513"/>
  <c r="C11" i="535"/>
  <c r="H28" i="547" l="1"/>
  <c r="I28" i="547" s="1"/>
  <c r="H21" i="547"/>
  <c r="H29" i="547"/>
  <c r="I29" i="547" s="1"/>
  <c r="G30" i="539"/>
  <c r="I30" i="547"/>
  <c r="G30" i="547"/>
  <c r="H22" i="547"/>
  <c r="I22" i="547" s="1"/>
  <c r="G24" i="547"/>
  <c r="C26" i="450"/>
  <c r="G16" i="547"/>
  <c r="J35" i="547"/>
  <c r="K35" i="547" s="1"/>
  <c r="G18" i="547"/>
  <c r="J18" i="547" s="1"/>
  <c r="K18" i="547" s="1"/>
  <c r="S33" i="513"/>
  <c r="C15" i="535"/>
  <c r="G18" i="539"/>
  <c r="G16" i="539"/>
  <c r="D16" i="536"/>
  <c r="D15" i="536"/>
  <c r="D14" i="536"/>
  <c r="D13" i="536"/>
  <c r="G1" i="536"/>
  <c r="L2" i="537" s="1"/>
  <c r="J1" i="539" s="1"/>
  <c r="I21" i="547" l="1"/>
  <c r="I24" i="547" s="1"/>
  <c r="J24" i="547" s="1"/>
  <c r="K24" i="547" s="1"/>
  <c r="J16" i="547"/>
  <c r="K16" i="547" s="1"/>
  <c r="J30" i="547"/>
  <c r="K30" i="547" s="1"/>
  <c r="E18" i="537"/>
  <c r="E42" i="533" l="1"/>
  <c r="E43" i="533"/>
  <c r="G43" i="533"/>
  <c r="E44" i="533"/>
  <c r="G44" i="533"/>
  <c r="E45" i="533"/>
  <c r="G45" i="533"/>
  <c r="E46" i="533"/>
  <c r="G15" i="533"/>
  <c r="G13" i="533"/>
  <c r="G18" i="532"/>
  <c r="G16" i="532"/>
  <c r="I1" i="532"/>
  <c r="G33" i="531"/>
  <c r="G35" i="531" s="1"/>
  <c r="G18" i="531"/>
  <c r="G16" i="531"/>
  <c r="E47" i="533" l="1"/>
  <c r="J1" i="531"/>
  <c r="D19" i="552" l="1"/>
  <c r="G19" i="552" s="1"/>
  <c r="G26" i="552" s="1"/>
  <c r="D26" i="552" l="1"/>
  <c r="H15" i="500" l="1"/>
  <c r="I34" i="452" l="1"/>
  <c r="G12" i="535" s="1"/>
  <c r="H19" i="525" l="1"/>
  <c r="G13" i="498" l="1"/>
  <c r="D14" i="499" l="1"/>
  <c r="R8" i="513" l="1"/>
  <c r="H14" i="500" l="1"/>
  <c r="E16" i="500"/>
  <c r="E15" i="500"/>
  <c r="E14" i="500"/>
  <c r="E13" i="500"/>
  <c r="E12" i="500" l="1"/>
  <c r="D17" i="499"/>
  <c r="D16" i="499"/>
  <c r="D15" i="499"/>
  <c r="M1" i="498" l="1"/>
  <c r="F1" i="499" s="1"/>
  <c r="J1" i="527"/>
  <c r="K1" i="500" l="1"/>
  <c r="I1" i="525"/>
  <c r="H18" i="525" l="1"/>
  <c r="H17" i="525"/>
  <c r="E16" i="525"/>
  <c r="R10" i="513"/>
  <c r="Q10" i="513"/>
  <c r="P10" i="513"/>
  <c r="O10" i="513"/>
  <c r="N10" i="513"/>
  <c r="M10" i="513"/>
  <c r="L10" i="513"/>
  <c r="K10" i="513"/>
  <c r="J10" i="513"/>
  <c r="I10" i="513"/>
  <c r="H10" i="513"/>
  <c r="G10" i="513"/>
  <c r="R9" i="513"/>
  <c r="Q9" i="513"/>
  <c r="P9" i="513"/>
  <c r="O9" i="513"/>
  <c r="N9" i="513"/>
  <c r="M9" i="513"/>
  <c r="L9" i="513"/>
  <c r="K9" i="513"/>
  <c r="J9" i="513"/>
  <c r="I9" i="513"/>
  <c r="H9" i="513"/>
  <c r="G9" i="513"/>
  <c r="Q8" i="513"/>
  <c r="P8" i="513"/>
  <c r="O8" i="513"/>
  <c r="N8" i="513"/>
  <c r="M8" i="513"/>
  <c r="L8" i="513"/>
  <c r="K8" i="513"/>
  <c r="J8" i="513"/>
  <c r="I8" i="513"/>
  <c r="H8" i="513"/>
  <c r="G8" i="513"/>
  <c r="D8" i="513"/>
  <c r="B10" i="513"/>
  <c r="D10" i="513"/>
  <c r="D9" i="513"/>
  <c r="F7" i="454"/>
  <c r="E7" i="454"/>
  <c r="D7" i="454"/>
  <c r="F26" i="454" l="1"/>
  <c r="F28" i="454"/>
  <c r="F27" i="454"/>
  <c r="F25" i="454"/>
  <c r="F24" i="454"/>
  <c r="F29" i="454" s="1"/>
  <c r="E25" i="454"/>
  <c r="E26" i="454"/>
  <c r="E24" i="454"/>
  <c r="E28" i="454"/>
  <c r="E27" i="454"/>
  <c r="D15" i="454"/>
  <c r="D27" i="454"/>
  <c r="D25" i="454"/>
  <c r="D24" i="454"/>
  <c r="D26" i="454"/>
  <c r="D28" i="454"/>
  <c r="S8" i="513"/>
  <c r="S10" i="513"/>
  <c r="S9" i="513"/>
  <c r="E7" i="450"/>
  <c r="E18" i="450" s="1"/>
  <c r="E19" i="450" s="1"/>
  <c r="D7" i="450"/>
  <c r="D18" i="450" s="1"/>
  <c r="D19" i="450" s="1"/>
  <c r="E29" i="454" l="1"/>
  <c r="D22" i="512"/>
  <c r="H26" i="454"/>
  <c r="D20" i="512"/>
  <c r="D29" i="454"/>
  <c r="H24" i="454"/>
  <c r="D23" i="512"/>
  <c r="D23" i="450" s="1"/>
  <c r="H27" i="454"/>
  <c r="D24" i="512"/>
  <c r="H28" i="454"/>
  <c r="H25" i="454"/>
  <c r="D21" i="512"/>
  <c r="D21" i="450" s="1"/>
  <c r="S12" i="513"/>
  <c r="I39" i="472"/>
  <c r="H17" i="537" l="1"/>
  <c r="G46" i="533"/>
  <c r="E21" i="512"/>
  <c r="E23" i="512"/>
  <c r="D20" i="450"/>
  <c r="D25" i="512"/>
  <c r="D24" i="450"/>
  <c r="H29" i="454"/>
  <c r="D22" i="450"/>
  <c r="E22" i="512" s="1"/>
  <c r="H16" i="500"/>
  <c r="H20" i="525"/>
  <c r="H30" i="452"/>
  <c r="H29" i="452"/>
  <c r="H28" i="452"/>
  <c r="H27" i="452"/>
  <c r="H26" i="452"/>
  <c r="H25" i="452"/>
  <c r="H24" i="452"/>
  <c r="H23" i="452"/>
  <c r="H22" i="452"/>
  <c r="H21" i="452"/>
  <c r="D64" i="551" s="1"/>
  <c r="H20" i="452"/>
  <c r="D63" i="551" s="1"/>
  <c r="H19" i="452"/>
  <c r="D62" i="551" s="1"/>
  <c r="I17" i="452"/>
  <c r="D61" i="551" s="1"/>
  <c r="I16" i="452"/>
  <c r="D60" i="551" s="1"/>
  <c r="I15" i="452"/>
  <c r="D59" i="551" s="1"/>
  <c r="I14" i="452"/>
  <c r="D58" i="551" s="1"/>
  <c r="I13" i="452"/>
  <c r="D57" i="551" s="1"/>
  <c r="I12" i="452"/>
  <c r="D56" i="551" s="1"/>
  <c r="I11" i="452"/>
  <c r="D55" i="551" s="1"/>
  <c r="I10" i="452"/>
  <c r="D54" i="551" s="1"/>
  <c r="I9" i="452"/>
  <c r="D53" i="551" s="1"/>
  <c r="I8" i="452"/>
  <c r="D52" i="551" s="1"/>
  <c r="I7" i="452"/>
  <c r="D51" i="551" s="1"/>
  <c r="I6" i="452"/>
  <c r="D50" i="551" s="1"/>
  <c r="D26" i="450" l="1"/>
  <c r="E22" i="450"/>
  <c r="F22" i="512" s="1"/>
  <c r="E20" i="512"/>
  <c r="E23" i="450"/>
  <c r="G23" i="450" s="1"/>
  <c r="E24" i="512"/>
  <c r="E21" i="450"/>
  <c r="G21" i="450" s="1"/>
  <c r="E30" i="452"/>
  <c r="G29" i="452"/>
  <c r="E28" i="452"/>
  <c r="G27" i="452"/>
  <c r="E26" i="452"/>
  <c r="G25" i="452"/>
  <c r="E24" i="452"/>
  <c r="G23" i="452"/>
  <c r="E22" i="452"/>
  <c r="G21" i="452"/>
  <c r="G33" i="452" s="1"/>
  <c r="E20" i="452"/>
  <c r="E32" i="452" s="1"/>
  <c r="G19" i="452"/>
  <c r="G31" i="452" s="1"/>
  <c r="H32" i="452"/>
  <c r="E8" i="454"/>
  <c r="H33" i="452"/>
  <c r="F8" i="454"/>
  <c r="H31" i="452"/>
  <c r="D8" i="454"/>
  <c r="F26" i="452"/>
  <c r="D25" i="452"/>
  <c r="D27" i="452"/>
  <c r="D21" i="452"/>
  <c r="D33" i="452" s="1"/>
  <c r="D23" i="452"/>
  <c r="F30" i="452"/>
  <c r="D19" i="452"/>
  <c r="D31" i="452" s="1"/>
  <c r="F22" i="452"/>
  <c r="D29" i="452"/>
  <c r="F24" i="452"/>
  <c r="F28" i="452"/>
  <c r="E19" i="452"/>
  <c r="E31" i="452" s="1"/>
  <c r="C20" i="452"/>
  <c r="G20" i="452"/>
  <c r="G32" i="452" s="1"/>
  <c r="E21" i="452"/>
  <c r="E33" i="452" s="1"/>
  <c r="C22" i="452"/>
  <c r="G22" i="452"/>
  <c r="E23" i="452"/>
  <c r="C24" i="452"/>
  <c r="G24" i="452"/>
  <c r="E25" i="452"/>
  <c r="C26" i="452"/>
  <c r="G26" i="452"/>
  <c r="E27" i="452"/>
  <c r="C28" i="452"/>
  <c r="G28" i="452"/>
  <c r="E29" i="452"/>
  <c r="C30" i="452"/>
  <c r="G30" i="452"/>
  <c r="F19" i="452"/>
  <c r="F31" i="452" s="1"/>
  <c r="D20" i="452"/>
  <c r="D32" i="452" s="1"/>
  <c r="F21" i="452"/>
  <c r="F33" i="452" s="1"/>
  <c r="D22" i="452"/>
  <c r="F23" i="452"/>
  <c r="D24" i="452"/>
  <c r="F25" i="452"/>
  <c r="D26" i="452"/>
  <c r="F27" i="452"/>
  <c r="D28" i="452"/>
  <c r="F29" i="452"/>
  <c r="D30" i="452"/>
  <c r="F20" i="452"/>
  <c r="F32" i="452" s="1"/>
  <c r="C19" i="452"/>
  <c r="C21" i="452"/>
  <c r="C23" i="452"/>
  <c r="C25" i="452"/>
  <c r="C27" i="452"/>
  <c r="C29" i="452"/>
  <c r="G22" i="450" l="1"/>
  <c r="H22" i="512"/>
  <c r="F29" i="513"/>
  <c r="T29" i="513" s="1"/>
  <c r="E24" i="450"/>
  <c r="G24" i="450" s="1"/>
  <c r="F23" i="512"/>
  <c r="E20" i="450"/>
  <c r="E25" i="512"/>
  <c r="F21" i="512"/>
  <c r="H34" i="452"/>
  <c r="G34" i="452"/>
  <c r="F34" i="452"/>
  <c r="D34" i="452"/>
  <c r="E34" i="452"/>
  <c r="C32" i="452"/>
  <c r="E6" i="454"/>
  <c r="C33" i="452"/>
  <c r="F6" i="454"/>
  <c r="C31" i="452"/>
  <c r="D6" i="454"/>
  <c r="F18" i="546" l="1"/>
  <c r="H27" i="545"/>
  <c r="F17" i="546"/>
  <c r="F27" i="545"/>
  <c r="F19" i="546"/>
  <c r="I27" i="545"/>
  <c r="F20" i="546"/>
  <c r="J27" i="545"/>
  <c r="F23" i="546"/>
  <c r="K27" i="545"/>
  <c r="H23" i="512"/>
  <c r="F30" i="513"/>
  <c r="T30" i="513" s="1"/>
  <c r="E26" i="450"/>
  <c r="G20" i="450"/>
  <c r="G26" i="450" s="1"/>
  <c r="F24" i="512"/>
  <c r="F20" i="512"/>
  <c r="H21" i="512"/>
  <c r="F28" i="513"/>
  <c r="T28" i="513" s="1"/>
  <c r="F14" i="537"/>
  <c r="F43" i="533"/>
  <c r="F13" i="500"/>
  <c r="F17" i="525"/>
  <c r="M13" i="552" s="1"/>
  <c r="F15" i="537"/>
  <c r="F44" i="533"/>
  <c r="F14" i="500"/>
  <c r="F18" i="525"/>
  <c r="M14" i="552" s="1"/>
  <c r="F16" i="537"/>
  <c r="F45" i="533"/>
  <c r="F15" i="500"/>
  <c r="F19" i="525"/>
  <c r="M15" i="552" s="1"/>
  <c r="F17" i="537"/>
  <c r="F46" i="533"/>
  <c r="F16" i="500"/>
  <c r="F20" i="525"/>
  <c r="M16" i="552" s="1"/>
  <c r="C34" i="452"/>
  <c r="O15" i="552" l="1"/>
  <c r="M22" i="552"/>
  <c r="O13" i="552"/>
  <c r="M20" i="552"/>
  <c r="M23" i="552"/>
  <c r="O16" i="552"/>
  <c r="F16" i="546"/>
  <c r="D27" i="545"/>
  <c r="O14" i="552"/>
  <c r="M21" i="552"/>
  <c r="H24" i="512"/>
  <c r="F31" i="513"/>
  <c r="T31" i="513" s="1"/>
  <c r="F27" i="513"/>
  <c r="F25" i="512"/>
  <c r="H20" i="512"/>
  <c r="K22" i="545"/>
  <c r="H22" i="545"/>
  <c r="K18" i="546"/>
  <c r="J22" i="545"/>
  <c r="K19" i="546"/>
  <c r="I22" i="545"/>
  <c r="F22" i="545"/>
  <c r="K20" i="546"/>
  <c r="M12" i="552"/>
  <c r="F13" i="537"/>
  <c r="F42" i="533"/>
  <c r="F47" i="533" s="1"/>
  <c r="F12" i="500"/>
  <c r="F16" i="525"/>
  <c r="K17" i="546"/>
  <c r="E20" i="525"/>
  <c r="E19" i="525"/>
  <c r="E18" i="525"/>
  <c r="E17" i="525"/>
  <c r="F18" i="524"/>
  <c r="M19" i="552" l="1"/>
  <c r="O12" i="552"/>
  <c r="H25" i="512"/>
  <c r="D11" i="535" s="1"/>
  <c r="E11" i="535" s="1"/>
  <c r="E15" i="535" s="1"/>
  <c r="F24" i="524"/>
  <c r="F20" i="524" s="1"/>
  <c r="F28" i="524" s="1"/>
  <c r="T27" i="513"/>
  <c r="F33" i="513"/>
  <c r="F24" i="546"/>
  <c r="K23" i="546"/>
  <c r="F18" i="537"/>
  <c r="L20" i="546"/>
  <c r="L18" i="546"/>
  <c r="M17" i="552"/>
  <c r="L17" i="546"/>
  <c r="L19" i="546"/>
  <c r="F21" i="525"/>
  <c r="H18" i="524"/>
  <c r="H24" i="524" s="1"/>
  <c r="H20" i="524" s="1"/>
  <c r="H28" i="524" s="1"/>
  <c r="E21" i="525"/>
  <c r="D15" i="535" l="1"/>
  <c r="M24" i="552"/>
  <c r="O19" i="552"/>
  <c r="O26" i="552" s="1"/>
  <c r="T33" i="513"/>
  <c r="L23" i="546"/>
  <c r="K24" i="546"/>
  <c r="L27" i="545"/>
  <c r="D22" i="545"/>
  <c r="L22" i="545" s="1"/>
  <c r="F21" i="546"/>
  <c r="F26" i="546" s="1"/>
  <c r="K16" i="546"/>
  <c r="O17" i="552"/>
  <c r="J18" i="524"/>
  <c r="J24" i="524" s="1"/>
  <c r="J20" i="524" s="1"/>
  <c r="J28" i="524" s="1"/>
  <c r="D21" i="552" l="1"/>
  <c r="G21" i="552" s="1"/>
  <c r="D22" i="552"/>
  <c r="G22" i="552" s="1"/>
  <c r="D20" i="552"/>
  <c r="G20" i="552" s="1"/>
  <c r="G27" i="552" s="1"/>
  <c r="K21" i="546"/>
  <c r="D29" i="552" l="1"/>
  <c r="G29" i="552"/>
  <c r="D28" i="552"/>
  <c r="D27" i="552"/>
  <c r="O22" i="552"/>
  <c r="O29" i="552" s="1"/>
  <c r="D23" i="552"/>
  <c r="G23" i="552" s="1"/>
  <c r="G30" i="552" s="1"/>
  <c r="K26" i="546"/>
  <c r="D8" i="450"/>
  <c r="E8" i="450"/>
  <c r="D30" i="552" l="1"/>
  <c r="G28" i="552"/>
  <c r="O21" i="552"/>
  <c r="O28" i="552" s="1"/>
  <c r="O23" i="552"/>
  <c r="O20" i="552"/>
  <c r="O27" i="552" s="1"/>
  <c r="F15" i="454"/>
  <c r="O30" i="552" l="1"/>
  <c r="O24" i="552"/>
  <c r="F19" i="454"/>
  <c r="O31" i="552" l="1"/>
  <c r="C17" i="513"/>
  <c r="C36" i="513" s="1"/>
  <c r="Q17" i="513" l="1"/>
  <c r="Q36" i="513" s="1"/>
  <c r="M17" i="513"/>
  <c r="M36" i="513" s="1"/>
  <c r="I17" i="513"/>
  <c r="I36" i="513" s="1"/>
  <c r="O17" i="513"/>
  <c r="O36" i="513" s="1"/>
  <c r="R17" i="513"/>
  <c r="R36" i="513" s="1"/>
  <c r="J17" i="513"/>
  <c r="J36" i="513" s="1"/>
  <c r="P17" i="513"/>
  <c r="P36" i="513" s="1"/>
  <c r="L17" i="513"/>
  <c r="L36" i="513" s="1"/>
  <c r="H17" i="513"/>
  <c r="H36" i="513" s="1"/>
  <c r="K17" i="513"/>
  <c r="K36" i="513" s="1"/>
  <c r="G17" i="513"/>
  <c r="G36" i="513" s="1"/>
  <c r="N17" i="513"/>
  <c r="N36" i="513" s="1"/>
  <c r="L39" i="513" l="1"/>
  <c r="L41" i="513"/>
  <c r="L37" i="513"/>
  <c r="L38" i="513"/>
  <c r="L40" i="513"/>
  <c r="P37" i="513"/>
  <c r="P38" i="513"/>
  <c r="P40" i="513"/>
  <c r="P39" i="513"/>
  <c r="P41" i="513"/>
  <c r="R39" i="513"/>
  <c r="R41" i="513"/>
  <c r="R37" i="513"/>
  <c r="R38" i="513"/>
  <c r="R40" i="513"/>
  <c r="J39" i="513"/>
  <c r="J41" i="513"/>
  <c r="J37" i="513"/>
  <c r="J38" i="513"/>
  <c r="J40" i="513"/>
  <c r="N38" i="513"/>
  <c r="N40" i="513"/>
  <c r="N39" i="513"/>
  <c r="N41" i="513"/>
  <c r="N37" i="513"/>
  <c r="O41" i="513"/>
  <c r="O38" i="513"/>
  <c r="O40" i="513"/>
  <c r="O39" i="513"/>
  <c r="O37" i="513"/>
  <c r="G39" i="513"/>
  <c r="G38" i="513"/>
  <c r="G40" i="513"/>
  <c r="G41" i="513"/>
  <c r="G37" i="513"/>
  <c r="I37" i="513"/>
  <c r="I38" i="513"/>
  <c r="I40" i="513"/>
  <c r="I39" i="513"/>
  <c r="I41" i="513"/>
  <c r="K39" i="513"/>
  <c r="K41" i="513"/>
  <c r="K38" i="513"/>
  <c r="K37" i="513"/>
  <c r="K40" i="513"/>
  <c r="M39" i="513"/>
  <c r="M41" i="513"/>
  <c r="M37" i="513"/>
  <c r="M38" i="513"/>
  <c r="M40" i="513"/>
  <c r="H38" i="513"/>
  <c r="H40" i="513"/>
  <c r="H37" i="513"/>
  <c r="H39" i="513"/>
  <c r="H41" i="513"/>
  <c r="Q37" i="513"/>
  <c r="Q38" i="513"/>
  <c r="Q40" i="513"/>
  <c r="Q39" i="513"/>
  <c r="Q41" i="513"/>
  <c r="E13" i="513"/>
  <c r="G43" i="513" l="1"/>
  <c r="I43" i="513"/>
  <c r="P43" i="513"/>
  <c r="Q43" i="513"/>
  <c r="H43" i="513"/>
  <c r="S37" i="513"/>
  <c r="M43" i="513"/>
  <c r="N43" i="513"/>
  <c r="S38" i="513"/>
  <c r="R43" i="513"/>
  <c r="S41" i="513"/>
  <c r="L43" i="513"/>
  <c r="J43" i="513"/>
  <c r="S40" i="513"/>
  <c r="O43" i="513"/>
  <c r="S39" i="513"/>
  <c r="K43" i="513"/>
  <c r="S43" i="513" l="1"/>
  <c r="F11" i="535" s="1"/>
  <c r="H13" i="500"/>
  <c r="F15" i="535" l="1"/>
  <c r="G11" i="535"/>
  <c r="C9" i="513"/>
  <c r="C20" i="513" s="1"/>
  <c r="C10" i="513"/>
  <c r="C21" i="513" s="1"/>
  <c r="C8" i="513"/>
  <c r="C19" i="513" s="1"/>
  <c r="I12" i="535" l="1"/>
  <c r="I15" i="535" s="1"/>
  <c r="E16" i="536" s="1"/>
  <c r="H12" i="535"/>
  <c r="H15" i="535" s="1"/>
  <c r="E12" i="536" s="1"/>
  <c r="G15" i="535"/>
  <c r="B14" i="454"/>
  <c r="B15" i="454"/>
  <c r="B13" i="454"/>
  <c r="A14" i="454"/>
  <c r="A11" i="512" s="1"/>
  <c r="A15" i="454"/>
  <c r="A12" i="512" s="1"/>
  <c r="A13" i="454"/>
  <c r="A10" i="512" s="1"/>
  <c r="C8" i="450"/>
  <c r="B11" i="450"/>
  <c r="B12" i="450"/>
  <c r="B10" i="450"/>
  <c r="A11" i="450"/>
  <c r="A12" i="450"/>
  <c r="A10" i="450"/>
  <c r="G13" i="512"/>
  <c r="C12" i="512"/>
  <c r="C11" i="512"/>
  <c r="C10" i="512"/>
  <c r="B11" i="512"/>
  <c r="B12" i="512"/>
  <c r="B10" i="512"/>
  <c r="B13" i="513"/>
  <c r="B23" i="513" s="1"/>
  <c r="A13" i="513"/>
  <c r="B9" i="513"/>
  <c r="B20" i="513" s="1"/>
  <c r="B21" i="513"/>
  <c r="B8" i="513"/>
  <c r="B19" i="513" s="1"/>
  <c r="A9" i="513"/>
  <c r="A20" i="513" s="1"/>
  <c r="A10" i="513"/>
  <c r="A21" i="513" s="1"/>
  <c r="A8" i="513"/>
  <c r="A19" i="513" s="1"/>
  <c r="D19" i="513"/>
  <c r="D20" i="513"/>
  <c r="D21" i="513"/>
  <c r="A23" i="513" l="1"/>
  <c r="A33" i="513"/>
  <c r="A43" i="513" s="1"/>
  <c r="E14" i="536"/>
  <c r="E13" i="536"/>
  <c r="E15" i="536"/>
  <c r="G12" i="536"/>
  <c r="F12" i="536"/>
  <c r="K13" i="537" s="1"/>
  <c r="F16" i="536"/>
  <c r="K17" i="537" s="1"/>
  <c r="G16" i="536"/>
  <c r="C12" i="450"/>
  <c r="C10" i="450"/>
  <c r="C13" i="512"/>
  <c r="C11" i="450"/>
  <c r="H34" i="539" l="1"/>
  <c r="H33" i="539"/>
  <c r="L17" i="537"/>
  <c r="M17" i="537" s="1"/>
  <c r="H16" i="539"/>
  <c r="I16" i="539" s="1"/>
  <c r="J16" i="539" s="1"/>
  <c r="K16" i="539" s="1"/>
  <c r="L13" i="537"/>
  <c r="G15" i="536"/>
  <c r="F15" i="536"/>
  <c r="K15" i="537" s="1"/>
  <c r="F13" i="536"/>
  <c r="K14" i="537" s="1"/>
  <c r="G13" i="536"/>
  <c r="G14" i="536"/>
  <c r="F14" i="536"/>
  <c r="K16" i="537" s="1"/>
  <c r="C12" i="498"/>
  <c r="I33" i="539" l="1"/>
  <c r="I35" i="539" s="1"/>
  <c r="J35" i="539" s="1"/>
  <c r="K35" i="539" s="1"/>
  <c r="H27" i="539"/>
  <c r="I27" i="539" s="1"/>
  <c r="H29" i="539"/>
  <c r="I29" i="539" s="1"/>
  <c r="H28" i="539"/>
  <c r="I28" i="539" s="1"/>
  <c r="L16" i="537"/>
  <c r="M16" i="537" s="1"/>
  <c r="H18" i="539"/>
  <c r="I18" i="539" s="1"/>
  <c r="J18" i="539" s="1"/>
  <c r="K18" i="539" s="1"/>
  <c r="L14" i="537"/>
  <c r="M14" i="537" s="1"/>
  <c r="H22" i="539"/>
  <c r="I22" i="539" s="1"/>
  <c r="H21" i="539"/>
  <c r="I21" i="539" s="1"/>
  <c r="H23" i="539"/>
  <c r="L15" i="537"/>
  <c r="M15" i="537" s="1"/>
  <c r="I16" i="472"/>
  <c r="H16" i="546" s="1"/>
  <c r="G32" i="472"/>
  <c r="H21" i="546" l="1"/>
  <c r="L16" i="546"/>
  <c r="I30" i="539"/>
  <c r="J30" i="539" s="1"/>
  <c r="K30" i="539" s="1"/>
  <c r="I24" i="539"/>
  <c r="J24" i="539" s="1"/>
  <c r="K24" i="539" s="1"/>
  <c r="H13" i="537"/>
  <c r="G42" i="533"/>
  <c r="G47" i="533" s="1"/>
  <c r="L18" i="537"/>
  <c r="H12" i="500"/>
  <c r="H16" i="525"/>
  <c r="G16" i="472"/>
  <c r="F32" i="472"/>
  <c r="F16" i="472"/>
  <c r="H26" i="546" l="1"/>
  <c r="L21" i="546"/>
  <c r="H18" i="537"/>
  <c r="M18" i="537" s="1"/>
  <c r="M13" i="537"/>
  <c r="H21" i="525"/>
  <c r="L26" i="546" l="1"/>
  <c r="C20" i="498" l="1"/>
  <c r="D12" i="512" l="1"/>
  <c r="D12" i="450" s="1"/>
  <c r="G26" i="472"/>
  <c r="G39" i="472" l="1"/>
  <c r="H38" i="524" s="1"/>
  <c r="D38" i="524" l="1"/>
  <c r="D39" i="524" s="1"/>
  <c r="J30" i="524"/>
  <c r="J22" i="524" s="1"/>
  <c r="H42" i="524"/>
  <c r="F35" i="524" l="1"/>
  <c r="D42" i="524"/>
  <c r="F36" i="524"/>
  <c r="F37" i="524"/>
  <c r="G46" i="472"/>
  <c r="H37" i="524" l="1"/>
  <c r="H30" i="524" s="1"/>
  <c r="H22" i="524" s="1"/>
  <c r="H36" i="524"/>
  <c r="F30" i="524" s="1"/>
  <c r="F22" i="524" s="1"/>
  <c r="H35" i="524"/>
  <c r="D30" i="524" s="1"/>
  <c r="E17" i="500"/>
  <c r="F17" i="500"/>
  <c r="H17" i="500"/>
  <c r="D22" i="524" l="1"/>
  <c r="L22" i="524" s="1"/>
  <c r="L30" i="524"/>
  <c r="F39" i="472"/>
  <c r="I46" i="472"/>
  <c r="F46" i="472"/>
  <c r="F26" i="472"/>
  <c r="I32" i="472"/>
  <c r="F40" i="472" l="1"/>
  <c r="F47" i="472" s="1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I47" i="472"/>
  <c r="E16" i="454" l="1"/>
  <c r="D16" i="454"/>
  <c r="D14" i="454" l="1"/>
  <c r="D11" i="512" s="1"/>
  <c r="D11" i="450" s="1"/>
  <c r="D13" i="454"/>
  <c r="E13" i="454"/>
  <c r="E15" i="454"/>
  <c r="E12" i="512" s="1"/>
  <c r="E12" i="450" s="1"/>
  <c r="G12" i="450" s="1"/>
  <c r="E14" i="454"/>
  <c r="F12" i="512" l="1"/>
  <c r="E11" i="512"/>
  <c r="E11" i="450" s="1"/>
  <c r="G11" i="450" s="1"/>
  <c r="E19" i="454"/>
  <c r="D10" i="512"/>
  <c r="D10" i="450" s="1"/>
  <c r="D19" i="454"/>
  <c r="H17" i="454"/>
  <c r="H15" i="454"/>
  <c r="H16" i="454"/>
  <c r="H14" i="454"/>
  <c r="H13" i="454"/>
  <c r="E10" i="512" l="1"/>
  <c r="H12" i="512"/>
  <c r="F10" i="513"/>
  <c r="F11" i="512"/>
  <c r="H19" i="454"/>
  <c r="D13" i="512"/>
  <c r="E10" i="450" l="1"/>
  <c r="G10" i="450" s="1"/>
  <c r="N21" i="513"/>
  <c r="R21" i="513"/>
  <c r="H21" i="513"/>
  <c r="J21" i="513"/>
  <c r="K21" i="513"/>
  <c r="M21" i="513"/>
  <c r="Q21" i="513"/>
  <c r="I21" i="513"/>
  <c r="O21" i="513"/>
  <c r="L21" i="513"/>
  <c r="G21" i="513"/>
  <c r="P21" i="513"/>
  <c r="H11" i="512"/>
  <c r="F9" i="513"/>
  <c r="F10" i="512" l="1"/>
  <c r="F8" i="513" s="1"/>
  <c r="T8" i="513" s="1"/>
  <c r="R20" i="513"/>
  <c r="H20" i="513"/>
  <c r="L20" i="513"/>
  <c r="J20" i="513"/>
  <c r="G20" i="513"/>
  <c r="Q20" i="513"/>
  <c r="M20" i="513"/>
  <c r="P20" i="513"/>
  <c r="I20" i="513"/>
  <c r="N20" i="513"/>
  <c r="K20" i="513"/>
  <c r="O20" i="513"/>
  <c r="S21" i="513"/>
  <c r="E14" i="450"/>
  <c r="F13" i="512" l="1"/>
  <c r="H10" i="512"/>
  <c r="J19" i="513"/>
  <c r="M19" i="513"/>
  <c r="I19" i="513"/>
  <c r="K19" i="513"/>
  <c r="N19" i="513"/>
  <c r="L19" i="513"/>
  <c r="Q19" i="513"/>
  <c r="P19" i="513"/>
  <c r="O19" i="513"/>
  <c r="R19" i="513"/>
  <c r="G19" i="513"/>
  <c r="H19" i="513"/>
  <c r="S20" i="513"/>
  <c r="P13" i="513"/>
  <c r="R13" i="513"/>
  <c r="Q13" i="513"/>
  <c r="K13" i="513"/>
  <c r="T10" i="513"/>
  <c r="J13" i="513"/>
  <c r="T9" i="513"/>
  <c r="I13" i="513"/>
  <c r="G13" i="513"/>
  <c r="N13" i="513"/>
  <c r="L13" i="513"/>
  <c r="M13" i="513"/>
  <c r="O13" i="513"/>
  <c r="H13" i="513"/>
  <c r="C14" i="450"/>
  <c r="S19" i="513" l="1"/>
  <c r="S13" i="513"/>
  <c r="R23" i="513"/>
  <c r="Q23" i="513"/>
  <c r="L23" i="513"/>
  <c r="I23" i="513"/>
  <c r="J23" i="513"/>
  <c r="G23" i="513"/>
  <c r="N23" i="513"/>
  <c r="M23" i="513"/>
  <c r="K23" i="513"/>
  <c r="P23" i="513"/>
  <c r="O23" i="513"/>
  <c r="H23" i="513"/>
  <c r="D14" i="450" l="1"/>
  <c r="E13" i="512" l="1"/>
  <c r="F13" i="513"/>
  <c r="G14" i="450"/>
  <c r="G12" i="513" l="1"/>
  <c r="H13" i="512"/>
  <c r="D12" i="498" s="1"/>
  <c r="E12" i="498" s="1"/>
  <c r="T13" i="513"/>
  <c r="H12" i="513" l="1"/>
  <c r="S23" i="513"/>
  <c r="F12" i="498" s="1"/>
  <c r="G12" i="498" s="1"/>
  <c r="J13" i="498" s="1"/>
  <c r="I13" i="498" l="1"/>
  <c r="I12" i="513"/>
  <c r="E20" i="498"/>
  <c r="D20" i="498"/>
  <c r="J12" i="513" l="1"/>
  <c r="F20" i="498"/>
  <c r="K12" i="513" l="1"/>
  <c r="I20" i="498"/>
  <c r="E13" i="499" s="1"/>
  <c r="J20" i="498"/>
  <c r="E15" i="499" s="1"/>
  <c r="G20" i="498"/>
  <c r="L12" i="513" l="1"/>
  <c r="E17" i="499"/>
  <c r="G13" i="499"/>
  <c r="E14" i="499"/>
  <c r="F13" i="499"/>
  <c r="M12" i="513" l="1"/>
  <c r="J12" i="500"/>
  <c r="G17" i="499"/>
  <c r="F17" i="499"/>
  <c r="F14" i="499"/>
  <c r="G14" i="499"/>
  <c r="H16" i="532" l="1"/>
  <c r="I16" i="532" s="1"/>
  <c r="J16" i="532" s="1"/>
  <c r="K16" i="532" s="1"/>
  <c r="K12" i="500"/>
  <c r="N12" i="513"/>
  <c r="J16" i="500"/>
  <c r="J13" i="500"/>
  <c r="H33" i="532" l="1"/>
  <c r="H34" i="532"/>
  <c r="H18" i="532"/>
  <c r="I18" i="532" s="1"/>
  <c r="J18" i="532" s="1"/>
  <c r="K18" i="532" s="1"/>
  <c r="O12" i="513"/>
  <c r="L12" i="500"/>
  <c r="K13" i="500"/>
  <c r="K16" i="500"/>
  <c r="I33" i="532" l="1"/>
  <c r="I35" i="532" s="1"/>
  <c r="J35" i="532" s="1"/>
  <c r="K35" i="532" s="1"/>
  <c r="P12" i="513"/>
  <c r="L16" i="500"/>
  <c r="L13" i="500"/>
  <c r="E16" i="499"/>
  <c r="F15" i="499"/>
  <c r="G15" i="499"/>
  <c r="Q12" i="513" l="1"/>
  <c r="J15" i="500"/>
  <c r="F16" i="499"/>
  <c r="G16" i="499"/>
  <c r="H28" i="532" l="1"/>
  <c r="I28" i="532" s="1"/>
  <c r="H27" i="532"/>
  <c r="I27" i="532" s="1"/>
  <c r="H29" i="532"/>
  <c r="I29" i="532" s="1"/>
  <c r="R12" i="513"/>
  <c r="J14" i="500"/>
  <c r="K15" i="500"/>
  <c r="I30" i="532" l="1"/>
  <c r="J30" i="532" s="1"/>
  <c r="K30" i="532" s="1"/>
  <c r="H22" i="532"/>
  <c r="I22" i="532" s="1"/>
  <c r="H23" i="532"/>
  <c r="H21" i="532"/>
  <c r="I21" i="532" s="1"/>
  <c r="L15" i="500"/>
  <c r="K14" i="500"/>
  <c r="I24" i="532" l="1"/>
  <c r="J24" i="532" s="1"/>
  <c r="K24" i="532" s="1"/>
  <c r="L14" i="500"/>
  <c r="K17" i="500"/>
  <c r="L17" i="500" s="1"/>
  <c r="E12" i="552" l="1"/>
  <c r="E15" i="552" l="1"/>
  <c r="F15" i="552" s="1"/>
  <c r="E13" i="552"/>
  <c r="F13" i="552" s="1"/>
  <c r="E14" i="552"/>
  <c r="F14" i="552" s="1"/>
  <c r="E16" i="552"/>
  <c r="F16" i="552" s="1"/>
  <c r="F12" i="552"/>
  <c r="H12" i="552" l="1"/>
  <c r="H16" i="552" l="1"/>
  <c r="H13" i="552"/>
  <c r="H14" i="552"/>
  <c r="I14" i="552" s="1"/>
  <c r="H15" i="552"/>
  <c r="I12" i="552"/>
  <c r="Q12" i="552"/>
  <c r="Q14" i="552" l="1"/>
  <c r="S14" i="552" s="1"/>
  <c r="I13" i="552"/>
  <c r="Q13" i="552"/>
  <c r="S13" i="552" s="1"/>
  <c r="S12" i="552"/>
  <c r="I15" i="552"/>
  <c r="Q15" i="552"/>
  <c r="S15" i="552" s="1"/>
  <c r="I16" i="552"/>
  <c r="Q16" i="552"/>
  <c r="S16" i="552" s="1"/>
  <c r="Q17" i="552" l="1"/>
  <c r="S17" i="552"/>
  <c r="F11" i="524" l="1"/>
  <c r="F9" i="524" l="1"/>
  <c r="H19" i="552" l="1"/>
  <c r="H26" i="552" s="1"/>
  <c r="E19" i="552"/>
  <c r="I19" i="552" l="1"/>
  <c r="I26" i="552" s="1"/>
  <c r="H22" i="552"/>
  <c r="H29" i="552" s="1"/>
  <c r="H23" i="552"/>
  <c r="H30" i="552" s="1"/>
  <c r="H20" i="552"/>
  <c r="H27" i="552" s="1"/>
  <c r="H21" i="552"/>
  <c r="H28" i="552" s="1"/>
  <c r="Q19" i="552"/>
  <c r="E22" i="552"/>
  <c r="E23" i="552"/>
  <c r="E20" i="552"/>
  <c r="E21" i="552"/>
  <c r="F19" i="552"/>
  <c r="F26" i="552" s="1"/>
  <c r="E26" i="552"/>
  <c r="I16" i="525"/>
  <c r="I20" i="525"/>
  <c r="I18" i="525"/>
  <c r="I19" i="525"/>
  <c r="H26" i="533" s="1"/>
  <c r="I17" i="525"/>
  <c r="H28" i="531" l="1"/>
  <c r="I28" i="531" s="1"/>
  <c r="H24" i="533"/>
  <c r="I24" i="533" s="1"/>
  <c r="J19" i="525"/>
  <c r="K19" i="525" s="1"/>
  <c r="H29" i="531"/>
  <c r="I29" i="531" s="1"/>
  <c r="H27" i="531"/>
  <c r="I27" i="531" s="1"/>
  <c r="H25" i="533"/>
  <c r="I25" i="533" s="1"/>
  <c r="I26" i="533"/>
  <c r="J18" i="525"/>
  <c r="K18" i="525" s="1"/>
  <c r="H18" i="533"/>
  <c r="I18" i="533" s="1"/>
  <c r="H19" i="533"/>
  <c r="I19" i="533" s="1"/>
  <c r="H20" i="533"/>
  <c r="H23" i="531"/>
  <c r="I21" i="527"/>
  <c r="H21" i="531"/>
  <c r="I21" i="531" s="1"/>
  <c r="H22" i="531"/>
  <c r="I22" i="531" s="1"/>
  <c r="F22" i="552"/>
  <c r="F29" i="552" s="1"/>
  <c r="E29" i="552"/>
  <c r="H19" i="527"/>
  <c r="H15" i="533"/>
  <c r="I15" i="533" s="1"/>
  <c r="J15" i="533" s="1"/>
  <c r="K15" i="533" s="1"/>
  <c r="J17" i="525"/>
  <c r="K17" i="525" s="1"/>
  <c r="H18" i="531"/>
  <c r="I18" i="531" s="1"/>
  <c r="J18" i="531" s="1"/>
  <c r="K18" i="531" s="1"/>
  <c r="F20" i="552"/>
  <c r="F27" i="552" s="1"/>
  <c r="E27" i="552"/>
  <c r="I22" i="552"/>
  <c r="I29" i="552" s="1"/>
  <c r="Q22" i="552"/>
  <c r="E30" i="552"/>
  <c r="F23" i="552"/>
  <c r="F30" i="552" s="1"/>
  <c r="H34" i="531"/>
  <c r="J20" i="525"/>
  <c r="K20" i="525" s="1"/>
  <c r="J23" i="527"/>
  <c r="H33" i="531"/>
  <c r="I33" i="531" s="1"/>
  <c r="I35" i="531" s="1"/>
  <c r="J35" i="531" s="1"/>
  <c r="K35" i="531" s="1"/>
  <c r="H30" i="533"/>
  <c r="I30" i="533" s="1"/>
  <c r="I32" i="533" s="1"/>
  <c r="J32" i="533" s="1"/>
  <c r="K32" i="533" s="1"/>
  <c r="H31" i="533"/>
  <c r="G17" i="527"/>
  <c r="J16" i="525"/>
  <c r="H16" i="531"/>
  <c r="I16" i="531" s="1"/>
  <c r="J16" i="531" s="1"/>
  <c r="K16" i="531" s="1"/>
  <c r="H13" i="533"/>
  <c r="I13" i="533" s="1"/>
  <c r="J13" i="533" s="1"/>
  <c r="K13" i="533" s="1"/>
  <c r="Q26" i="552"/>
  <c r="S19" i="552"/>
  <c r="I21" i="552"/>
  <c r="I28" i="552" s="1"/>
  <c r="Q21" i="552"/>
  <c r="I20" i="552"/>
  <c r="I27" i="552" s="1"/>
  <c r="Q20" i="552"/>
  <c r="E28" i="552"/>
  <c r="F21" i="552"/>
  <c r="F28" i="552" s="1"/>
  <c r="I23" i="552"/>
  <c r="I30" i="552" s="1"/>
  <c r="Q23" i="552"/>
  <c r="K16" i="525" l="1"/>
  <c r="I21" i="533"/>
  <c r="J21" i="533" s="1"/>
  <c r="K21" i="533" s="1"/>
  <c r="S21" i="552"/>
  <c r="S28" i="552" s="1"/>
  <c r="Q28" i="552"/>
  <c r="S26" i="552"/>
  <c r="J27" i="527"/>
  <c r="H46" i="533"/>
  <c r="I46" i="533" s="1"/>
  <c r="J46" i="533" s="1"/>
  <c r="J29" i="527"/>
  <c r="I24" i="531"/>
  <c r="J24" i="531" s="1"/>
  <c r="K24" i="531" s="1"/>
  <c r="I29" i="527"/>
  <c r="H44" i="533"/>
  <c r="I27" i="527"/>
  <c r="I30" i="531"/>
  <c r="J30" i="531" s="1"/>
  <c r="K30" i="531" s="1"/>
  <c r="S20" i="552"/>
  <c r="S27" i="552" s="1"/>
  <c r="Q27" i="552"/>
  <c r="J21" i="525"/>
  <c r="K21" i="525" s="1"/>
  <c r="S23" i="552"/>
  <c r="S30" i="552" s="1"/>
  <c r="Q30" i="552"/>
  <c r="S22" i="552"/>
  <c r="S29" i="552" s="1"/>
  <c r="Q29" i="552"/>
  <c r="H29" i="527"/>
  <c r="H27" i="527"/>
  <c r="H43" i="533"/>
  <c r="I43" i="533" s="1"/>
  <c r="J43" i="533" s="1"/>
  <c r="I27" i="533"/>
  <c r="J27" i="533" s="1"/>
  <c r="K27" i="533" s="1"/>
  <c r="G29" i="527"/>
  <c r="H42" i="533"/>
  <c r="I42" i="533" s="1"/>
  <c r="G27" i="527"/>
  <c r="Q24" i="552"/>
  <c r="Q31" i="552" l="1"/>
  <c r="J42" i="533"/>
  <c r="I44" i="533"/>
  <c r="J44" i="533" s="1"/>
  <c r="H45" i="533"/>
  <c r="I45" i="533" s="1"/>
  <c r="J45" i="533" s="1"/>
  <c r="S24" i="552"/>
  <c r="S31" i="552"/>
  <c r="I47" i="533" l="1"/>
  <c r="J47" i="5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3" authorId="0" shapeId="0" xr:uid="{02011B2E-7E49-4EAC-B5B3-0BE6A1552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From 2020
 IRP Demand Forecast Medium Scenario</t>
        </r>
      </text>
    </comment>
    <comment ref="H38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A10BD11F-A4D5-418C-9ADA-0C3DF5A1FF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Proposed Tax Increment</t>
        </r>
      </text>
    </comment>
    <comment ref="L22" authorId="0" shapeId="0" xr:uid="{4972CF53-B29F-4AE4-AA93-B7EE235A1E3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<sst xmlns="http://schemas.openxmlformats.org/spreadsheetml/2006/main" count="1235" uniqueCount="400">
  <si>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</si>
  <si>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</si>
  <si>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</si>
  <si>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</si>
  <si>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</si>
  <si>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</si>
  <si>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</si>
  <si>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</si>
  <si>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</si>
  <si>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</si>
  <si>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</si>
  <si>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</si>
  <si>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</si>
  <si>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</si>
  <si>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</si>
  <si>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</si>
  <si>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</si>
  <si>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</si>
  <si>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</si>
  <si>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</si>
  <si>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</si>
  <si>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</si>
  <si>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</si>
  <si>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</si>
  <si>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</si>
  <si>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</si>
  <si>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</si>
  <si>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</si>
  <si>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</si>
  <si>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</si>
  <si>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</si>
  <si>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</si>
  <si>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</si>
  <si>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</si>
  <si>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</si>
  <si>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</si>
  <si>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</si>
  <si>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</si>
  <si>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</si>
  <si>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</si>
  <si>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</si>
  <si>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</si>
  <si>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</si>
  <si>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</si>
  <si>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</si>
  <si>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Market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</si>
  <si>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</si>
  <si>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</si>
  <si>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</si>
  <si>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</si>
  <si>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</si>
  <si>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</si>
  <si>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</si>
  <si>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</si>
  <si>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</si>
  <si>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</si>
  <si>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</si>
  <si>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</si>
  <si>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</si>
  <si>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</si>
  <si>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</si>
  <si>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</si>
  <si>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</si>
  <si>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</si>
  <si>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</si>
  <si>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</si>
  <si>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</si>
  <si>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</si>
  <si>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</si>
  <si>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</si>
  <si>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</si>
  <si>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</si>
  <si>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</si>
  <si>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</si>
  <si>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</si>
  <si>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</si>
  <si>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</si>
  <si>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</si>
  <si>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</si>
  <si>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>Typical</t>
  </si>
  <si>
    <t>Monthly</t>
  </si>
  <si>
    <t>(f)</t>
  </si>
  <si>
    <t xml:space="preserve">  CORE MARKET RATE SCHEDULES</t>
  </si>
  <si>
    <t>Industrial Interr.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</si>
  <si>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</si>
  <si>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</si>
  <si>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</si>
  <si>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</si>
  <si>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</si>
  <si>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</si>
  <si>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</si>
  <si>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</si>
  <si>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</si>
  <si>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</si>
  <si>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</si>
  <si>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</si>
  <si>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</si>
  <si>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</si>
  <si>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</si>
  <si>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</si>
  <si>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</si>
  <si>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</si>
  <si>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All Other Core</t>
  </si>
  <si>
    <t>Rate Schedule 503</t>
  </si>
  <si>
    <t>Rate Schedule 504</t>
  </si>
  <si>
    <t>Rate Schedule 511</t>
  </si>
  <si>
    <t>Rate Schedule 505</t>
  </si>
  <si>
    <t>Rate Schedule 570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</si>
  <si>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</si>
  <si>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</si>
  <si>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</si>
  <si>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</si>
  <si>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</si>
  <si>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</si>
  <si>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</si>
  <si>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</si>
  <si>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</si>
  <si>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</si>
  <si>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</si>
  <si>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</si>
  <si>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</si>
  <si>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</si>
  <si>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</si>
  <si>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</si>
  <si>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</si>
  <si>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</si>
  <si>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</si>
  <si>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</si>
  <si>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</si>
  <si>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</si>
  <si>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</si>
  <si>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</si>
  <si>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</si>
  <si>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</si>
  <si>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</si>
  <si>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Reverse Prior Temporary Rate Adj.</t>
  </si>
  <si>
    <t>Gas Cost Related Temporary Rate Adj.</t>
  </si>
  <si>
    <t>9xx</t>
  </si>
  <si>
    <t xml:space="preserve">TTA </t>
  </si>
  <si>
    <t xml:space="preserve">     Distribution</t>
  </si>
  <si>
    <t>Subtotal Non-core</t>
  </si>
  <si>
    <t>CORE &amp; NON-CORE</t>
  </si>
  <si>
    <t>CORE Gas Cost</t>
  </si>
  <si>
    <t>Core Market Commodity Changes</t>
  </si>
  <si>
    <t>Core Market Demand Cost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</si>
  <si>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</si>
  <si>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</si>
  <si>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</si>
  <si>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</si>
  <si>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</si>
  <si>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</si>
  <si>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</si>
  <si>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</si>
  <si>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</si>
  <si>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</si>
  <si>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</si>
  <si>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</si>
  <si>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</si>
  <si>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</si>
  <si>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</si>
  <si>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</si>
  <si>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</si>
  <si>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</si>
  <si>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</si>
  <si>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</si>
  <si>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</si>
  <si>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</si>
  <si>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</si>
  <si>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</si>
  <si>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</si>
  <si>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</si>
  <si>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</si>
  <si>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Firm Only</t>
  </si>
  <si>
    <t>Gas Cost</t>
  </si>
  <si>
    <t>FOR TWELVE MONTHS ENDED 6/30/08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</si>
  <si>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</si>
  <si>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</si>
  <si>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</si>
  <si>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</si>
  <si>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</si>
  <si>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</si>
  <si>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</si>
  <si>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</si>
  <si>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</si>
  <si>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</si>
  <si>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</si>
  <si>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</si>
  <si>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</si>
  <si>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</si>
  <si>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</si>
  <si>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</si>
  <si>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</si>
  <si>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</si>
  <si>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</si>
  <si>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</si>
  <si>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</si>
  <si>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</si>
  <si>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</si>
  <si>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</si>
  <si>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</si>
  <si>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</si>
  <si>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</si>
  <si>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</si>
  <si>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</si>
  <si>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</si>
  <si>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</si>
  <si>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</si>
  <si>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PROPOSED TYPICAL MONTHLY BILL BY  CLASS</t>
  </si>
  <si>
    <t>1-2</t>
  </si>
  <si>
    <t>TABLE OF CONTENTS</t>
  </si>
  <si>
    <t>TTA Proposed Typical Monthly Bill by Class</t>
  </si>
  <si>
    <t>Forecasted</t>
  </si>
  <si>
    <t>TTA Calculation of Per Therm Rates to Amortize Deferred Accounts</t>
  </si>
  <si>
    <t>(d) from TTA Exhibit A, Page 7 of 11</t>
  </si>
  <si>
    <t>Actual</t>
  </si>
  <si>
    <t>1 Year</t>
  </si>
  <si>
    <t>TTA &amp; PGA</t>
  </si>
  <si>
    <t>WACOG Effective November 1, 2020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</si>
  <si>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</si>
  <si>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</si>
  <si>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</si>
  <si>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</si>
  <si>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</si>
  <si>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</si>
  <si>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Com-Ind Dual Service, Schedule 511</t>
  </si>
  <si>
    <t>Industrial Interruptible, Schedule 570</t>
  </si>
  <si>
    <t>First 30,000 therms</t>
  </si>
  <si>
    <t>Over 30,000 therms</t>
  </si>
  <si>
    <t>Type of Service</t>
  </si>
  <si>
    <t>Basic</t>
  </si>
  <si>
    <t>Service Charge</t>
  </si>
  <si>
    <t>Billing Rates</t>
  </si>
  <si>
    <t>Total 505</t>
  </si>
  <si>
    <t>Total 511</t>
  </si>
  <si>
    <t>Total 570</t>
  </si>
  <si>
    <t>Average Bill</t>
  </si>
  <si>
    <t>Therm Used</t>
  </si>
  <si>
    <t>e=c+(b*d)</t>
  </si>
  <si>
    <t>PGA Effects</t>
  </si>
  <si>
    <t>PGA Effect</t>
  </si>
  <si>
    <t>g=c+(b*f)</t>
  </si>
  <si>
    <t>Bill</t>
  </si>
  <si>
    <t>Difference</t>
  </si>
  <si>
    <t>% Bill Change</t>
  </si>
  <si>
    <t>TTA Effects</t>
  </si>
  <si>
    <t>PGA &amp; TTA PROPOSED TYPICAL MONTHLY BILL BY  CLASS</t>
  </si>
  <si>
    <t>TTA Effect</t>
  </si>
  <si>
    <t>PGA &amp; TTA Effect</t>
  </si>
  <si>
    <t>PGA &amp; TTA Effects</t>
  </si>
  <si>
    <t>CPA Calculation of Per Therm Rates to Amortize Deferred Accounts</t>
  </si>
  <si>
    <t>CPA Derivation of Proposed Rate Level Within</t>
  </si>
  <si>
    <t>CPA Amount of Change by Rate Schedule</t>
  </si>
  <si>
    <t>CPA Proposed Typical Monthly Bill by Class</t>
  </si>
  <si>
    <t>CPA CALCULATION OF PER THERM RATES TO AMORTIZE DEFERRED ACCOUNTS</t>
  </si>
  <si>
    <t>CPA Exhibit A</t>
  </si>
  <si>
    <t>Conservation Related Temporary Rate Adj.</t>
  </si>
  <si>
    <t>Conservation Program Deferrals</t>
  </si>
  <si>
    <t>CPA DERIVATION OF PROPOSED RATE LEVEL WITHIN</t>
  </si>
  <si>
    <t>RATE ADDITION SCHEDULE NO. 596</t>
  </si>
  <si>
    <t>Reverse Prior Conservation Rate Adj.</t>
  </si>
  <si>
    <t>Incremental R/S 596 Rate Change</t>
  </si>
  <si>
    <t>Posted R/S 596 Tariff Rate</t>
  </si>
  <si>
    <t>CPA AMOUNT OF CHANGE BY RATE SCHEDULE</t>
  </si>
  <si>
    <t>Conservation</t>
  </si>
  <si>
    <t>CPA PROPOSED TYPICAL MONTHLY BILL BY  CLASS</t>
  </si>
  <si>
    <t>CPA Effect</t>
  </si>
  <si>
    <t>CPA Effects</t>
  </si>
  <si>
    <t>CORE Conservation</t>
  </si>
  <si>
    <t xml:space="preserve">Commercial Conservation Program </t>
  </si>
  <si>
    <t>Low Income Weatherization Program</t>
  </si>
  <si>
    <t>Washington Conservation Administration &amp; Program Delivery Fees</t>
  </si>
  <si>
    <t xml:space="preserve">Washington Residential Conservation Program </t>
  </si>
  <si>
    <t>Consolidated Technical Adjustments - Conservation</t>
  </si>
  <si>
    <t>Consolidation of accounts related to core conservation.</t>
  </si>
  <si>
    <t>CONSERVATION</t>
  </si>
  <si>
    <t>(Source:  WAC 480-90-233 Monthly Deferral Reporting for period ending 7/31/2022)</t>
  </si>
  <si>
    <t>Deferral Balances at 7/31/2022</t>
  </si>
  <si>
    <t>Balance 7/31/2022</t>
  </si>
  <si>
    <t xml:space="preserve">PGA </t>
  </si>
  <si>
    <t>Balance 7/31/22</t>
  </si>
  <si>
    <t>Account Balance 7/31/2022</t>
  </si>
  <si>
    <t>Interest Assignments &amp; Amortization through 10/31/2022</t>
  </si>
  <si>
    <t>Estimated Amortization Thru 10/31/2022 on Balances Currently Amortizing</t>
  </si>
  <si>
    <t>Total Monthly TTA Amortization</t>
  </si>
  <si>
    <t>Total Monthly CPA Amortization</t>
  </si>
  <si>
    <t>INTEREST CALCULATIONS FOR AMORTIZATION PERIOD 11/1/2022 TO 10/31/2023</t>
  </si>
  <si>
    <t>10/31/2022
Balance</t>
  </si>
  <si>
    <t>BASED UPON THE  TWELVE MONTHS ENDED 7/31/2022</t>
  </si>
  <si>
    <t>5</t>
  </si>
  <si>
    <t>Unprotected Tax Amount of Change by Rate Schedule</t>
  </si>
  <si>
    <t>Unprotected Tax Proposed Typical Monthly Bill by Class</t>
  </si>
  <si>
    <t>Unprotected Tax Derivation of Proposed Rate Adjustment</t>
  </si>
  <si>
    <t xml:space="preserve">  (f)</t>
  </si>
  <si>
    <t>Transport, Schedule 663</t>
  </si>
  <si>
    <t>First 100,000 therms</t>
  </si>
  <si>
    <t>Next 200,000 therms</t>
  </si>
  <si>
    <t>Over 500,000 therms</t>
  </si>
  <si>
    <t>663 Total</t>
  </si>
  <si>
    <t>UPT Exhibit A</t>
  </si>
  <si>
    <t>Unprotected</t>
  </si>
  <si>
    <t>Current Unpro. Tax Rates</t>
  </si>
  <si>
    <t>Proposed Tax Increment</t>
  </si>
  <si>
    <t>Proposed Tax Costs Collected</t>
  </si>
  <si>
    <t>UNPROTECTED TAX AMOUNT OF CHANGE BY RATE SCHEDULE</t>
  </si>
  <si>
    <t>Tax</t>
  </si>
  <si>
    <t>UPT PROPOSED TYPICAL MONTHLY BILL BY  CLASS</t>
  </si>
  <si>
    <t>UPT Effect</t>
  </si>
  <si>
    <t>UPT Effects</t>
  </si>
  <si>
    <t>2022 Unprotected Tax Cost Allocation</t>
  </si>
  <si>
    <t>UNPROTECTED TAX DERIVATION OF PROPOSED RATE ADJUSTMENT</t>
  </si>
  <si>
    <t>Lrg Volumes</t>
  </si>
  <si>
    <t>Distribution</t>
  </si>
  <si>
    <t>6</t>
  </si>
  <si>
    <t>7</t>
  </si>
  <si>
    <t xml:space="preserve">Non-Core Customers </t>
  </si>
  <si>
    <t>8</t>
  </si>
  <si>
    <t>Total  Proposed Rate - Schedule 582</t>
  </si>
  <si>
    <t>Unprotected Rate Adjustment Effective 11/1/2021</t>
  </si>
  <si>
    <t>State:</t>
  </si>
  <si>
    <t>Description:</t>
  </si>
  <si>
    <t>Account number:</t>
  </si>
  <si>
    <t>Class of customers:</t>
  </si>
  <si>
    <t>Deferral period:</t>
  </si>
  <si>
    <t>N/A</t>
  </si>
  <si>
    <t>Amortization period:</t>
  </si>
  <si>
    <t>Narrative:</t>
  </si>
  <si>
    <t>Debit (Credit)</t>
  </si>
  <si>
    <t>Month/ Year</t>
  </si>
  <si>
    <t>Therms</t>
  </si>
  <si>
    <t>Adjustments</t>
  </si>
  <si>
    <t>Deferred Balance</t>
  </si>
  <si>
    <t>Balance transferred from 47WA.2292</t>
  </si>
  <si>
    <t>Various</t>
  </si>
  <si>
    <t>Prorated</t>
  </si>
  <si>
    <t>est.</t>
  </si>
  <si>
    <t>Unprotected Excess Deferred Income Taxes-Base</t>
  </si>
  <si>
    <t>47WA.2540.20483 &amp; .20484</t>
  </si>
  <si>
    <t>8/1/18 to 7/31/28</t>
  </si>
  <si>
    <t>Amortization of previously deferred Unproteccted Excess Deferred Income Taxes</t>
  </si>
  <si>
    <t>Year 1</t>
  </si>
  <si>
    <t>Year 2</t>
  </si>
  <si>
    <t>Year 3</t>
  </si>
  <si>
    <t>Year 4</t>
  </si>
  <si>
    <t>Original bal.</t>
  </si>
  <si>
    <t>diff.</t>
  </si>
  <si>
    <t>Year 5</t>
  </si>
  <si>
    <t>(Commodity and Demand)</t>
  </si>
  <si>
    <t>Rate Schedule Changes for Schedules 503, 504, 505, 511, &amp; 570</t>
  </si>
  <si>
    <t>Without Revenue Sensitive Costs</t>
  </si>
  <si>
    <t>With Revenue Sensitive Costs</t>
  </si>
  <si>
    <t>Summary of Changes</t>
  </si>
  <si>
    <t>Rate Schedules</t>
  </si>
  <si>
    <t xml:space="preserve">Present   </t>
  </si>
  <si>
    <t>Commodity</t>
  </si>
  <si>
    <t>Total Gas</t>
  </si>
  <si>
    <t>Cost Rate</t>
  </si>
  <si>
    <t>Revenue Change</t>
  </si>
  <si>
    <t>Revenue at Present Rates</t>
  </si>
  <si>
    <t>Volume</t>
  </si>
  <si>
    <t>Revenue at Proposed Rates</t>
  </si>
  <si>
    <t>47WA.1910.01253</t>
  </si>
  <si>
    <t>47WA.1910.01254</t>
  </si>
  <si>
    <t>47WA.1910.01286</t>
  </si>
  <si>
    <t>WA Consolidated Technical Adjustments-Gas Cost</t>
  </si>
  <si>
    <t>Schedule 595 - WACOG Adj. Nov. 1, 2021</t>
  </si>
  <si>
    <t>2022 PGA Gas Demand Cost Allocation</t>
  </si>
  <si>
    <t>CNGC Advice W22-09-01</t>
  </si>
  <si>
    <t>Schedule 595 - WACOG Adj. Nov. 1, 2022</t>
  </si>
  <si>
    <t>47WA.1823.47020430</t>
  </si>
  <si>
    <t>47WA.1823.47020431</t>
  </si>
  <si>
    <t>47WA.1823.47020444</t>
  </si>
  <si>
    <t>47WA.1823.47020449</t>
  </si>
  <si>
    <t>47WA.1823.47020478</t>
  </si>
  <si>
    <t>(c) from 2021 TTA Exhibit A , Page 7 of 11</t>
  </si>
  <si>
    <t>Page 3 of 10</t>
  </si>
  <si>
    <t>Page 4 of 10</t>
  </si>
  <si>
    <t>Page 5 of 10</t>
  </si>
  <si>
    <t>Page 6 of 10</t>
  </si>
  <si>
    <t>Page 7 of 10</t>
  </si>
  <si>
    <t>Page 8 of 10</t>
  </si>
  <si>
    <t>Page 9 of 10</t>
  </si>
  <si>
    <t>Page 10 of 10</t>
  </si>
  <si>
    <t>CNGC Advice W22-09-02</t>
  </si>
  <si>
    <t>Page 1 of 4</t>
  </si>
  <si>
    <t>Page 2 of 4</t>
  </si>
  <si>
    <t>Page 3 of 4</t>
  </si>
  <si>
    <t>Page 4 of 4</t>
  </si>
  <si>
    <t>Estimated 2022</t>
  </si>
  <si>
    <t>12- months</t>
  </si>
  <si>
    <t>W22-09-04</t>
  </si>
  <si>
    <t>UG-210755</t>
  </si>
  <si>
    <t>Incremental R/S 595 Rate Change</t>
  </si>
  <si>
    <t>Posted R/S 595 Tariff Rate</t>
  </si>
  <si>
    <t>ESTIMATED BALANCES FOR DEFERRED ACCOUNTS PERIOD ENDING: 10/31/2022</t>
  </si>
  <si>
    <t>Total  Core</t>
  </si>
  <si>
    <t>Bills and Revenues Based Upon the Twelve Months Ended 7/31/22</t>
  </si>
  <si>
    <t>10/1/2022*</t>
  </si>
  <si>
    <t>*Includes rates from CRM filing made on September 1, 2022, UG-220664</t>
  </si>
  <si>
    <t>RATE ADDITION SCHEDULE NO. 595</t>
  </si>
  <si>
    <t>Summary-WA Gas Cost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</si>
</sst>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0.00000_);\(0.00000\)"/>
    <numFmt numFmtId="207" formatCode="0.00000%"/>
    <numFmt numFmtId="208" formatCode="&quot;$&quot;#,##0"/>
    <numFmt numFmtId="209" formatCode="&quot;$&quot;#,##0.00"/>
    <numFmt numFmtId="210" formatCode="[$-409]mmm\-yy;@"/>
    <numFmt numFmtId="211" formatCode="0.000000"/>
  </numFmts>
  <fonts count="120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511">
    <xf numFmtId="164" fontId="0" fillId="0" borderId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164" fontId="14" fillId="0" borderId="0"/>
    <xf numFmtId="10" fontId="14" fillId="0" borderId="0"/>
    <xf numFmtId="10" fontId="14" fillId="0" borderId="0"/>
    <xf numFmtId="39" fontId="15" fillId="0" borderId="0"/>
    <xf numFmtId="164" fontId="14" fillId="0" borderId="0"/>
    <xf numFmtId="170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7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8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25">
      <alignment horizontal="left" vertical="center"/>
    </xf>
    <xf numFmtId="179" fontId="36" fillId="0" borderId="0">
      <alignment horizontal="right" vertical="center"/>
    </xf>
    <xf numFmtId="180" fontId="22" fillId="0" borderId="0">
      <alignment horizontal="right" vertical="center"/>
    </xf>
    <xf numFmtId="180" fontId="35" fillId="0" borderId="0">
      <alignment horizontal="right" vertical="center"/>
    </xf>
    <xf numFmtId="181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26" applyNumberFormat="0" applyAlignment="0" applyProtection="0"/>
    <xf numFmtId="0" fontId="38" fillId="26" borderId="26" applyNumberFormat="0" applyAlignment="0" applyProtection="0"/>
    <xf numFmtId="0" fontId="38" fillId="26" borderId="26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1" fontId="40" fillId="0" borderId="28">
      <alignment vertical="top"/>
    </xf>
    <xf numFmtId="182" fontId="37" fillId="0" borderId="0" applyBorder="0">
      <alignment horizontal="right"/>
    </xf>
    <xf numFmtId="182" fontId="37" fillId="0" borderId="23" applyAlignment="0">
      <alignment horizontal="right"/>
    </xf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22" fillId="0" borderId="0"/>
    <xf numFmtId="186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6" fontId="22" fillId="0" borderId="0"/>
    <xf numFmtId="189" fontId="46" fillId="29" borderId="0" applyBorder="0">
      <protection locked="0"/>
    </xf>
    <xf numFmtId="181" fontId="47" fillId="0" borderId="0">
      <alignment horizontal="right"/>
    </xf>
    <xf numFmtId="190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80" fontId="51" fillId="0" borderId="0">
      <alignment horizontal="right" vertical="center"/>
    </xf>
    <xf numFmtId="180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26" applyNumberFormat="0" applyAlignment="0" applyProtection="0"/>
    <xf numFmtId="0" fontId="59" fillId="11" borderId="26" applyNumberFormat="0" applyAlignment="0" applyProtection="0"/>
    <xf numFmtId="0" fontId="59" fillId="11" borderId="26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93" fontId="63" fillId="0" borderId="0"/>
    <xf numFmtId="194" fontId="22" fillId="0" borderId="0"/>
    <xf numFmtId="195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67" fillId="30" borderId="0" applyBorder="0" applyAlignment="0">
      <protection hidden="1"/>
    </xf>
    <xf numFmtId="1" fontId="67" fillId="30" borderId="0">
      <alignment horizontal="center"/>
    </xf>
    <xf numFmtId="196" fontId="46" fillId="0" borderId="0"/>
    <xf numFmtId="193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9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200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8"/>
    <xf numFmtId="0" fontId="73" fillId="0" borderId="0"/>
    <xf numFmtId="0" fontId="73" fillId="0" borderId="0"/>
    <xf numFmtId="0" fontId="73" fillId="0" borderId="0"/>
    <xf numFmtId="178" fontId="19" fillId="38" borderId="0"/>
    <xf numFmtId="196" fontId="74" fillId="0" borderId="0"/>
    <xf numFmtId="193" fontId="37" fillId="39" borderId="0"/>
    <xf numFmtId="186" fontId="75" fillId="0" borderId="0"/>
    <xf numFmtId="201" fontId="76" fillId="30" borderId="3" applyAlignment="0"/>
    <xf numFmtId="196" fontId="77" fillId="40" borderId="0" applyFont="0" applyBorder="0" applyAlignment="0">
      <alignment vertical="top" wrapText="1"/>
    </xf>
    <xf numFmtId="196" fontId="78" fillId="40" borderId="0" applyFont="0" applyAlignment="0">
      <alignment horizontal="justify" vertical="top" wrapText="1"/>
    </xf>
    <xf numFmtId="196" fontId="79" fillId="40" borderId="0">
      <alignment vertical="top" wrapText="1"/>
    </xf>
    <xf numFmtId="196" fontId="80" fillId="40" borderId="39" applyBorder="0">
      <alignment horizontal="right" vertical="top" wrapText="1"/>
    </xf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25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182" fontId="37" fillId="0" borderId="41"/>
    <xf numFmtId="194" fontId="40" fillId="0" borderId="41" applyAlignment="0"/>
    <xf numFmtId="195" fontId="40" fillId="0" borderId="41" applyAlignment="0"/>
    <xf numFmtId="196" fontId="40" fillId="0" borderId="41" applyAlignment="0">
      <alignment horizontal="right"/>
    </xf>
    <xf numFmtId="178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37" fillId="42" borderId="28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5" fontId="37" fillId="42" borderId="28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85" fontId="76" fillId="30" borderId="7" applyNumberFormat="0" applyBorder="0" applyAlignment="0"/>
    <xf numFmtId="175" fontId="24" fillId="31" borderId="3" applyAlignment="0">
      <alignment horizontal="right"/>
    </xf>
    <xf numFmtId="175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4" fillId="5" borderId="17" applyNumberFormat="0" applyAlignment="0" applyProtection="0"/>
    <xf numFmtId="0" fontId="11" fillId="43" borderId="42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7" applyNumberFormat="0" applyAlignment="0" applyProtection="0"/>
    <xf numFmtId="0" fontId="4" fillId="0" borderId="0"/>
    <xf numFmtId="164" fontId="16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65">
    <xf numFmtId="164" fontId="0" fillId="0" borderId="0" xfId="0"/>
    <xf numFmtId="168" fontId="28" fillId="0" borderId="0" xfId="1" applyNumberFormat="1" applyFont="1" applyFill="1" applyBorder="1"/>
    <xf numFmtId="164" fontId="28" fillId="0" borderId="0" xfId="0" applyFont="1" applyFill="1"/>
    <xf numFmtId="164" fontId="88" fillId="0" borderId="0" xfId="0" applyFont="1" applyFill="1" applyAlignment="1" applyProtection="1">
      <alignment horizontal="left"/>
    </xf>
    <xf numFmtId="164" fontId="28" fillId="0" borderId="0" xfId="0" applyFont="1" applyFill="1" applyAlignment="1" applyProtection="1">
      <alignment horizontal="center"/>
    </xf>
    <xf numFmtId="164" fontId="28" fillId="0" borderId="1" xfId="0" applyFont="1" applyFill="1" applyBorder="1"/>
    <xf numFmtId="164" fontId="28" fillId="0" borderId="0" xfId="0" quotePrefix="1" applyFont="1" applyFill="1" applyAlignment="1" applyProtection="1">
      <alignment horizontal="center"/>
    </xf>
    <xf numFmtId="164" fontId="28" fillId="0" borderId="0" xfId="0" applyFont="1" applyFill="1" applyBorder="1" applyAlignment="1" applyProtection="1">
      <alignment horizontal="left"/>
    </xf>
    <xf numFmtId="164" fontId="28" fillId="0" borderId="0" xfId="0" applyFont="1" applyFill="1" applyBorder="1" applyAlignment="1" applyProtection="1">
      <alignment horizontal="centerContinuous"/>
    </xf>
    <xf numFmtId="37" fontId="28" fillId="0" borderId="0" xfId="0" applyNumberFormat="1" applyFont="1" applyFill="1" applyProtection="1"/>
    <xf numFmtId="164" fontId="28" fillId="0" borderId="1" xfId="0" applyFont="1" applyFill="1" applyBorder="1" applyAlignment="1" applyProtection="1">
      <alignment horizontal="left"/>
    </xf>
    <xf numFmtId="7" fontId="88" fillId="0" borderId="0" xfId="0" applyNumberFormat="1" applyFont="1" applyFill="1" applyAlignment="1" applyProtection="1">
      <alignment horizontal="right"/>
    </xf>
    <xf numFmtId="164" fontId="28" fillId="0" borderId="0" xfId="0" applyFont="1" applyFill="1" applyBorder="1"/>
    <xf numFmtId="37" fontId="28" fillId="0" borderId="0" xfId="0" applyNumberFormat="1" applyFont="1" applyFill="1" applyBorder="1" applyProtection="1"/>
    <xf numFmtId="168" fontId="28" fillId="0" borderId="0" xfId="1" applyNumberFormat="1" applyFont="1" applyFill="1"/>
    <xf numFmtId="164" fontId="28" fillId="0" borderId="0" xfId="20" applyFont="1" applyFill="1" applyAlignment="1" applyProtection="1">
      <alignment horizontal="left"/>
    </xf>
    <xf numFmtId="174" fontId="28" fillId="0" borderId="0" xfId="20" applyNumberFormat="1" applyFont="1" applyFill="1"/>
    <xf numFmtId="164" fontId="28" fillId="0" borderId="0" xfId="20" applyFont="1" applyFill="1" applyBorder="1"/>
    <xf numFmtId="164" fontId="89" fillId="0" borderId="0" xfId="0" applyFont="1" applyFill="1" applyAlignment="1" applyProtection="1">
      <alignment horizontal="center"/>
    </xf>
    <xf numFmtId="164" fontId="89" fillId="0" borderId="0" xfId="0" applyFont="1" applyFill="1" applyAlignment="1">
      <alignment horizontal="center"/>
    </xf>
    <xf numFmtId="7" fontId="28" fillId="0" borderId="0" xfId="0" applyNumberFormat="1" applyFont="1" applyFill="1" applyProtection="1"/>
    <xf numFmtId="17" fontId="28" fillId="0" borderId="0" xfId="0" applyNumberFormat="1" applyFont="1" applyFill="1" applyBorder="1" applyAlignment="1" applyProtection="1">
      <alignment horizontal="left"/>
    </xf>
    <xf numFmtId="17" fontId="28" fillId="0" borderId="0" xfId="0" quotePrefix="1" applyNumberFormat="1" applyFont="1" applyFill="1" applyBorder="1" applyAlignment="1" applyProtection="1">
      <alignment horizontal="left"/>
    </xf>
    <xf numFmtId="164" fontId="28" fillId="0" borderId="0" xfId="0" applyFont="1" applyFill="1" applyBorder="1" applyAlignment="1"/>
    <xf numFmtId="164" fontId="28" fillId="0" borderId="0" xfId="0" applyFont="1" applyFill="1" applyBorder="1" applyAlignment="1">
      <alignment horizontal="right"/>
    </xf>
    <xf numFmtId="164" fontId="28" fillId="0" borderId="0" xfId="0" applyFont="1" applyFill="1" applyBorder="1" applyAlignment="1" applyProtection="1"/>
    <xf numFmtId="164" fontId="28" fillId="0" borderId="0" xfId="0" applyFont="1" applyFill="1" applyBorder="1" applyAlignment="1" applyProtection="1">
      <alignment horizontal="right"/>
    </xf>
    <xf numFmtId="166" fontId="28" fillId="0" borderId="0" xfId="5" applyNumberFormat="1" applyFont="1" applyFill="1"/>
    <xf numFmtId="164" fontId="28" fillId="0" borderId="0" xfId="0" applyFont="1" applyFill="1" applyAlignment="1" applyProtection="1">
      <alignment horizontal="fill"/>
    </xf>
    <xf numFmtId="39" fontId="28" fillId="0" borderId="0" xfId="7" applyFont="1" applyFill="1" applyAlignment="1">
      <alignment horizontal="right"/>
    </xf>
    <xf numFmtId="38" fontId="28" fillId="0" borderId="0" xfId="6" applyNumberFormat="1" applyFont="1" applyFill="1" applyAlignment="1" applyProtection="1">
      <alignment horizontal="left"/>
      <protection locked="0"/>
    </xf>
    <xf numFmtId="7" fontId="28" fillId="0" borderId="0" xfId="0" applyNumberFormat="1" applyFont="1" applyFill="1" applyBorder="1" applyProtection="1"/>
    <xf numFmtId="173" fontId="28" fillId="0" borderId="0" xfId="2" applyNumberFormat="1" applyFont="1" applyFill="1"/>
    <xf numFmtId="10" fontId="28" fillId="0" borderId="0" xfId="14" applyNumberFormat="1" applyFont="1" applyFill="1" applyBorder="1" applyProtection="1"/>
    <xf numFmtId="164" fontId="28" fillId="0" borderId="0" xfId="4" applyFont="1" applyFill="1"/>
    <xf numFmtId="164" fontId="28" fillId="0" borderId="5" xfId="4" applyFont="1" applyFill="1" applyBorder="1" applyAlignment="1" applyProtection="1">
      <alignment horizontal="center"/>
    </xf>
    <xf numFmtId="164" fontId="28" fillId="0" borderId="0" xfId="4" applyFont="1" applyFill="1" applyBorder="1" applyAlignment="1" applyProtection="1">
      <alignment horizontal="center"/>
    </xf>
    <xf numFmtId="164" fontId="28" fillId="0" borderId="9" xfId="4" applyFont="1" applyFill="1" applyBorder="1"/>
    <xf numFmtId="164" fontId="28" fillId="0" borderId="9" xfId="4" applyFont="1" applyFill="1" applyBorder="1" applyAlignment="1" applyProtection="1">
      <alignment horizontal="center"/>
    </xf>
    <xf numFmtId="164" fontId="28" fillId="0" borderId="0" xfId="4" applyFont="1" applyFill="1" applyBorder="1"/>
    <xf numFmtId="164" fontId="28" fillId="0" borderId="0" xfId="4" applyFont="1" applyFill="1" applyAlignment="1" applyProtection="1">
      <alignment horizontal="left"/>
    </xf>
    <xf numFmtId="164" fontId="28" fillId="0" borderId="0" xfId="4" quotePrefix="1" applyFont="1" applyFill="1" applyAlignment="1" applyProtection="1">
      <alignment horizontal="left"/>
    </xf>
    <xf numFmtId="164" fontId="28" fillId="0" borderId="0" xfId="4" quotePrefix="1" applyFont="1" applyFill="1" applyAlignment="1">
      <alignment horizontal="left"/>
    </xf>
    <xf numFmtId="43" fontId="28" fillId="0" borderId="0" xfId="1" applyNumberFormat="1" applyFont="1" applyFill="1"/>
    <xf numFmtId="164" fontId="28" fillId="0" borderId="0" xfId="4" quotePrefix="1" applyFont="1" applyFill="1" applyAlignment="1">
      <alignment horizontal="center"/>
    </xf>
    <xf numFmtId="164" fontId="28" fillId="0" borderId="0" xfId="4" applyFont="1" applyFill="1" applyAlignment="1">
      <alignment horizontal="center"/>
    </xf>
    <xf numFmtId="164" fontId="88" fillId="0" borderId="0" xfId="4" applyFont="1" applyFill="1" applyBorder="1"/>
    <xf numFmtId="164" fontId="28" fillId="0" borderId="0" xfId="4" applyFont="1" applyFill="1" applyBorder="1" applyAlignment="1" applyProtection="1">
      <alignment horizontal="left" indent="1"/>
    </xf>
    <xf numFmtId="164" fontId="88" fillId="0" borderId="0" xfId="20" applyFont="1" applyFill="1"/>
    <xf numFmtId="164" fontId="28" fillId="0" borderId="0" xfId="20" applyFont="1" applyFill="1" applyAlignment="1">
      <alignment horizontal="center"/>
    </xf>
    <xf numFmtId="10" fontId="88" fillId="0" borderId="0" xfId="14" applyNumberFormat="1" applyFont="1" applyFill="1"/>
    <xf numFmtId="168" fontId="88" fillId="0" borderId="0" xfId="1" applyNumberFormat="1" applyFont="1" applyFill="1"/>
    <xf numFmtId="164" fontId="91" fillId="0" borderId="0" xfId="0" applyFont="1" applyFill="1" applyAlignment="1" applyProtection="1">
      <alignment horizontal="left"/>
    </xf>
    <xf numFmtId="164" fontId="91" fillId="0" borderId="0" xfId="0" applyFont="1" applyFill="1"/>
    <xf numFmtId="164" fontId="91" fillId="0" borderId="0" xfId="0" applyFont="1" applyFill="1" applyAlignment="1">
      <alignment horizontal="center"/>
    </xf>
    <xf numFmtId="164" fontId="88" fillId="0" borderId="0" xfId="0" applyFont="1" applyFill="1" applyBorder="1"/>
    <xf numFmtId="164" fontId="88" fillId="0" borderId="1" xfId="0" applyFont="1" applyFill="1" applyBorder="1"/>
    <xf numFmtId="164" fontId="28" fillId="0" borderId="1" xfId="0" applyFont="1" applyFill="1" applyBorder="1" applyAlignment="1" applyProtection="1">
      <alignment horizontal="center"/>
    </xf>
    <xf numFmtId="164" fontId="28" fillId="0" borderId="0" xfId="0" applyFont="1" applyFill="1" applyBorder="1" applyAlignment="1" applyProtection="1">
      <alignment horizontal="center" wrapText="1"/>
    </xf>
    <xf numFmtId="164" fontId="88" fillId="0" borderId="0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/>
    </xf>
    <xf numFmtId="164" fontId="28" fillId="0" borderId="0" xfId="4" applyFont="1" applyFill="1" applyAlignment="1" applyProtection="1">
      <alignment horizontal="center"/>
    </xf>
    <xf numFmtId="172" fontId="28" fillId="0" borderId="0" xfId="2" applyNumberFormat="1" applyFont="1" applyFill="1"/>
    <xf numFmtId="173" fontId="28" fillId="0" borderId="0" xfId="2" applyNumberFormat="1" applyFont="1" applyFill="1" applyBorder="1"/>
    <xf numFmtId="44" fontId="28" fillId="0" borderId="0" xfId="2" applyFont="1" applyFill="1" applyProtection="1"/>
    <xf numFmtId="37" fontId="88" fillId="0" borderId="0" xfId="0" applyNumberFormat="1" applyFont="1" applyFill="1" applyBorder="1" applyAlignment="1" applyProtection="1">
      <alignment horizontal="center"/>
    </xf>
    <xf numFmtId="44" fontId="28" fillId="0" borderId="0" xfId="2" applyFont="1" applyFill="1"/>
    <xf numFmtId="164" fontId="92" fillId="0" borderId="0" xfId="20" quotePrefix="1" applyFont="1" applyFill="1" applyAlignment="1">
      <alignment horizontal="left"/>
    </xf>
    <xf numFmtId="166" fontId="28" fillId="0" borderId="17" xfId="15" applyNumberFormat="1" applyFont="1" applyFill="1"/>
    <xf numFmtId="37" fontId="88" fillId="0" borderId="6" xfId="4" applyNumberFormat="1" applyFont="1" applyFill="1" applyBorder="1" applyProtection="1"/>
    <xf numFmtId="7" fontId="28" fillId="0" borderId="0" xfId="1" applyNumberFormat="1" applyFont="1" applyFill="1" applyBorder="1"/>
    <xf numFmtId="43" fontId="28" fillId="0" borderId="0" xfId="1" applyFont="1" applyFill="1"/>
    <xf numFmtId="164" fontId="28" fillId="0" borderId="11" xfId="4" applyFont="1" applyFill="1" applyBorder="1" applyAlignment="1" applyProtection="1">
      <alignment horizontal="left"/>
    </xf>
    <xf numFmtId="164" fontId="28" fillId="0" borderId="9" xfId="4" applyFont="1" applyFill="1" applyBorder="1" applyAlignment="1">
      <alignment horizontal="center"/>
    </xf>
    <xf numFmtId="164" fontId="28" fillId="0" borderId="1" xfId="0" applyFont="1" applyFill="1" applyBorder="1" applyAlignment="1">
      <alignment horizontal="center" vertical="center" wrapText="1"/>
    </xf>
    <xf numFmtId="164" fontId="28" fillId="0" borderId="1" xfId="0" quotePrefix="1" applyFont="1" applyFill="1" applyBorder="1" applyAlignment="1">
      <alignment horizontal="center" wrapText="1"/>
    </xf>
    <xf numFmtId="164" fontId="28" fillId="0" borderId="1" xfId="0" applyFont="1" applyFill="1" applyBorder="1" applyAlignment="1">
      <alignment horizontal="center" wrapText="1"/>
    </xf>
    <xf numFmtId="164" fontId="88" fillId="0" borderId="0" xfId="0" applyFont="1" applyFill="1" applyAlignment="1">
      <alignment horizontal="right"/>
    </xf>
    <xf numFmtId="164" fontId="88" fillId="0" borderId="0" xfId="4" applyFont="1" applyFill="1" applyAlignment="1" applyProtection="1"/>
    <xf numFmtId="164" fontId="28" fillId="0" borderId="0" xfId="4" applyFont="1" applyFill="1" applyAlignment="1">
      <alignment horizontal="left"/>
    </xf>
    <xf numFmtId="164" fontId="28" fillId="0" borderId="4" xfId="4" applyFont="1" applyFill="1" applyBorder="1" applyAlignment="1">
      <alignment horizontal="center"/>
    </xf>
    <xf numFmtId="164" fontId="28" fillId="0" borderId="2" xfId="4" applyFont="1" applyFill="1" applyBorder="1"/>
    <xf numFmtId="164" fontId="28" fillId="0" borderId="4" xfId="4" applyFont="1" applyFill="1" applyBorder="1" applyAlignment="1" applyProtection="1">
      <alignment horizontal="center"/>
    </xf>
    <xf numFmtId="164" fontId="28" fillId="0" borderId="4" xfId="4" applyFont="1" applyFill="1" applyBorder="1"/>
    <xf numFmtId="164" fontId="28" fillId="0" borderId="5" xfId="4" applyFont="1" applyFill="1" applyBorder="1" applyAlignment="1">
      <alignment horizontal="center"/>
    </xf>
    <xf numFmtId="164" fontId="28" fillId="0" borderId="6" xfId="4" applyFont="1" applyFill="1" applyBorder="1" applyAlignment="1" applyProtection="1">
      <alignment horizontal="center"/>
    </xf>
    <xf numFmtId="164" fontId="28" fillId="0" borderId="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/>
    </xf>
    <xf numFmtId="164" fontId="28" fillId="0" borderId="3" xfId="4" applyFont="1" applyFill="1" applyBorder="1"/>
    <xf numFmtId="164" fontId="28" fillId="0" borderId="16" xfId="4" applyFont="1" applyFill="1" applyBorder="1"/>
    <xf numFmtId="164" fontId="28" fillId="0" borderId="16" xfId="4" applyFont="1" applyFill="1" applyBorder="1" applyAlignment="1">
      <alignment horizontal="center"/>
    </xf>
    <xf numFmtId="164" fontId="28" fillId="0" borderId="12" xfId="4" applyFont="1" applyFill="1" applyBorder="1" applyAlignment="1" applyProtection="1">
      <alignment horizontal="left" indent="1"/>
    </xf>
    <xf numFmtId="37" fontId="28" fillId="0" borderId="5" xfId="4" applyNumberFormat="1" applyFont="1" applyFill="1" applyBorder="1" applyProtection="1"/>
    <xf numFmtId="37" fontId="28" fillId="0" borderId="0" xfId="4" applyNumberFormat="1" applyFont="1" applyFill="1" applyBorder="1" applyProtection="1"/>
    <xf numFmtId="37" fontId="28" fillId="0" borderId="6" xfId="4" applyNumberFormat="1" applyFont="1" applyFill="1" applyBorder="1" applyProtection="1"/>
    <xf numFmtId="164" fontId="88" fillId="0" borderId="3" xfId="4" applyFont="1" applyFill="1" applyBorder="1" applyAlignment="1" applyProtection="1">
      <alignment horizontal="left" indent="1"/>
    </xf>
    <xf numFmtId="164" fontId="88" fillId="0" borderId="8" xfId="4" applyFont="1" applyFill="1" applyBorder="1"/>
    <xf numFmtId="164" fontId="88" fillId="0" borderId="8" xfId="4" applyFont="1" applyFill="1" applyBorder="1" applyAlignment="1">
      <alignment horizontal="center"/>
    </xf>
    <xf numFmtId="37" fontId="88" fillId="0" borderId="10" xfId="4" applyNumberFormat="1" applyFont="1" applyFill="1" applyBorder="1" applyProtection="1"/>
    <xf numFmtId="37" fontId="88" fillId="0" borderId="0" xfId="4" applyNumberFormat="1" applyFont="1" applyFill="1" applyBorder="1" applyProtection="1"/>
    <xf numFmtId="164" fontId="88" fillId="0" borderId="0" xfId="4" applyFont="1" applyFill="1"/>
    <xf numFmtId="164" fontId="28" fillId="0" borderId="0" xfId="4" applyFont="1" applyFill="1" applyBorder="1" applyProtection="1"/>
    <xf numFmtId="164" fontId="28" fillId="0" borderId="12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/>
    <xf numFmtId="164" fontId="28" fillId="0" borderId="0" xfId="4" applyFont="1" applyFill="1" applyBorder="1" applyAlignment="1" applyProtection="1">
      <alignment horizontal="left"/>
    </xf>
    <xf numFmtId="164" fontId="88" fillId="0" borderId="0" xfId="4" applyFont="1" applyFill="1" applyBorder="1" applyAlignment="1" applyProtection="1">
      <alignment horizontal="left" indent="1"/>
    </xf>
    <xf numFmtId="164" fontId="88" fillId="0" borderId="10" xfId="4" applyFont="1" applyFill="1" applyBorder="1" applyAlignment="1">
      <alignment horizontal="center"/>
    </xf>
    <xf numFmtId="37" fontId="28" fillId="0" borderId="0" xfId="4" applyNumberFormat="1" applyFont="1" applyFill="1" applyBorder="1"/>
    <xf numFmtId="37" fontId="28" fillId="0" borderId="0" xfId="4" applyNumberFormat="1" applyFont="1" applyFill="1" applyBorder="1" applyAlignment="1" applyProtection="1">
      <alignment horizontal="left"/>
    </xf>
    <xf numFmtId="164" fontId="88" fillId="0" borderId="7" xfId="4" applyFont="1" applyFill="1" applyBorder="1" applyAlignment="1" applyProtection="1">
      <alignment horizontal="left" indent="1"/>
    </xf>
    <xf numFmtId="164" fontId="88" fillId="0" borderId="13" xfId="4" applyFont="1" applyFill="1" applyBorder="1"/>
    <xf numFmtId="164" fontId="88" fillId="0" borderId="3" xfId="4" applyFont="1" applyFill="1" applyBorder="1"/>
    <xf numFmtId="164" fontId="28" fillId="0" borderId="1" xfId="4" applyFont="1" applyFill="1" applyBorder="1"/>
    <xf numFmtId="164" fontId="88" fillId="0" borderId="0" xfId="4" quotePrefix="1" applyFont="1" applyFill="1" applyBorder="1" applyAlignment="1">
      <alignment horizontal="left"/>
    </xf>
    <xf numFmtId="164" fontId="28" fillId="0" borderId="0" xfId="0" applyFont="1" applyFill="1"/>
    <xf numFmtId="164" fontId="88" fillId="0" borderId="0" xfId="0" applyFont="1" applyFill="1"/>
    <xf numFmtId="164" fontId="28" fillId="0" borderId="0" xfId="0" applyFont="1" applyFill="1" applyAlignment="1" applyProtection="1">
      <alignment horizontal="left"/>
    </xf>
    <xf numFmtId="164" fontId="28" fillId="0" borderId="0" xfId="20" applyFont="1" applyFill="1"/>
    <xf numFmtId="44" fontId="28" fillId="0" borderId="0" xfId="2" applyNumberFormat="1" applyFont="1" applyFill="1"/>
    <xf numFmtId="164" fontId="28" fillId="0" borderId="1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 wrapText="1"/>
    </xf>
    <xf numFmtId="0" fontId="28" fillId="0" borderId="0" xfId="3" applyFont="1" applyFill="1"/>
    <xf numFmtId="0" fontId="28" fillId="0" borderId="0" xfId="3" applyFont="1" applyFill="1" applyAlignment="1"/>
    <xf numFmtId="0" fontId="28" fillId="0" borderId="0" xfId="3" applyFont="1" applyFill="1" applyAlignment="1" applyProtection="1">
      <alignment horizontal="center"/>
    </xf>
    <xf numFmtId="0" fontId="28" fillId="0" borderId="0" xfId="3" applyFont="1" applyFill="1" applyBorder="1"/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center" wrapText="1"/>
    </xf>
    <xf numFmtId="0" fontId="28" fillId="0" borderId="0" xfId="3" applyFont="1" applyFill="1" applyAlignment="1">
      <alignment wrapText="1"/>
    </xf>
    <xf numFmtId="0" fontId="28" fillId="0" borderId="0" xfId="3" applyFont="1" applyFill="1" applyBorder="1" applyAlignment="1">
      <alignment horizontal="center"/>
    </xf>
    <xf numFmtId="0" fontId="28" fillId="0" borderId="0" xfId="3" applyFont="1" applyFill="1" applyBorder="1" applyAlignment="1" applyProtection="1">
      <alignment horizontal="center"/>
    </xf>
    <xf numFmtId="0" fontId="28" fillId="0" borderId="0" xfId="3" applyFont="1" applyFill="1" applyAlignment="1">
      <alignment horizontal="left"/>
    </xf>
    <xf numFmtId="177" fontId="28" fillId="0" borderId="0" xfId="14" applyNumberFormat="1" applyFont="1" applyFill="1" applyBorder="1" applyAlignment="1">
      <alignment horizontal="right"/>
    </xf>
    <xf numFmtId="0" fontId="28" fillId="0" borderId="0" xfId="3" applyFont="1" applyFill="1" applyAlignment="1">
      <alignment horizontal="right"/>
    </xf>
    <xf numFmtId="172" fontId="88" fillId="0" borderId="0" xfId="2" applyNumberFormat="1" applyFont="1" applyFill="1" applyBorder="1"/>
    <xf numFmtId="14" fontId="88" fillId="0" borderId="1" xfId="0" applyNumberFormat="1" applyFont="1" applyFill="1" applyBorder="1" applyAlignment="1">
      <alignment horizontal="center" wrapText="1"/>
    </xf>
    <xf numFmtId="44" fontId="28" fillId="0" borderId="0" xfId="0" applyNumberFormat="1" applyFont="1" applyFill="1" applyBorder="1" applyProtection="1"/>
    <xf numFmtId="17" fontId="88" fillId="0" borderId="0" xfId="0" applyNumberFormat="1" applyFont="1" applyFill="1" applyAlignment="1" applyProtection="1">
      <alignment horizontal="right"/>
    </xf>
    <xf numFmtId="10" fontId="91" fillId="0" borderId="0" xfId="0" applyNumberFormat="1" applyFont="1" applyFill="1" applyProtection="1"/>
    <xf numFmtId="167" fontId="91" fillId="0" borderId="0" xfId="0" applyNumberFormat="1" applyFont="1" applyFill="1" applyProtection="1"/>
    <xf numFmtId="173" fontId="88" fillId="0" borderId="0" xfId="2" applyNumberFormat="1" applyFont="1" applyFill="1"/>
    <xf numFmtId="172" fontId="88" fillId="0" borderId="0" xfId="2" applyNumberFormat="1" applyFont="1" applyFill="1"/>
    <xf numFmtId="37" fontId="28" fillId="0" borderId="0" xfId="2" applyNumberFormat="1" applyFont="1" applyFill="1"/>
    <xf numFmtId="176" fontId="88" fillId="0" borderId="0" xfId="14" applyNumberFormat="1" applyFont="1" applyFill="1"/>
    <xf numFmtId="37" fontId="28" fillId="0" borderId="3" xfId="4" applyNumberFormat="1" applyFont="1" applyFill="1" applyBorder="1" applyProtection="1"/>
    <xf numFmtId="164" fontId="88" fillId="0" borderId="0" xfId="4" quotePrefix="1" applyFont="1" applyFill="1" applyAlignment="1">
      <alignment horizontal="left"/>
    </xf>
    <xf numFmtId="43" fontId="28" fillId="0" borderId="0" xfId="1" applyNumberFormat="1" applyFont="1" applyFill="1" applyBorder="1" applyProtection="1"/>
    <xf numFmtId="10" fontId="88" fillId="0" borderId="0" xfId="1" applyNumberFormat="1" applyFont="1" applyFill="1" applyBorder="1" applyProtection="1"/>
    <xf numFmtId="10" fontId="28" fillId="0" borderId="0" xfId="4" applyNumberFormat="1" applyFont="1" applyFill="1" applyBorder="1" applyProtection="1"/>
    <xf numFmtId="10" fontId="28" fillId="0" borderId="0" xfId="1" applyNumberFormat="1" applyFont="1" applyFill="1" applyBorder="1" applyProtection="1"/>
    <xf numFmtId="4" fontId="28" fillId="0" borderId="0" xfId="0" applyNumberFormat="1" applyFont="1" applyFill="1" applyBorder="1"/>
    <xf numFmtId="39" fontId="28" fillId="0" borderId="0" xfId="0" applyNumberFormat="1" applyFont="1" applyFill="1" applyBorder="1"/>
    <xf numFmtId="3" fontId="95" fillId="44" borderId="10" xfId="0" applyNumberFormat="1" applyFont="1" applyFill="1" applyBorder="1"/>
    <xf numFmtId="37" fontId="28" fillId="0" borderId="9" xfId="0" applyNumberFormat="1" applyFont="1" applyFill="1" applyBorder="1" applyProtection="1"/>
    <xf numFmtId="37" fontId="28" fillId="0" borderId="13" xfId="0" applyNumberFormat="1" applyFont="1" applyFill="1" applyBorder="1" applyProtection="1"/>
    <xf numFmtId="37" fontId="88" fillId="0" borderId="3" xfId="4" applyNumberFormat="1" applyFont="1" applyFill="1" applyBorder="1" applyProtection="1"/>
    <xf numFmtId="204" fontId="28" fillId="0" borderId="5" xfId="4" applyNumberFormat="1" applyFont="1" applyFill="1" applyBorder="1"/>
    <xf numFmtId="37" fontId="28" fillId="0" borderId="15" xfId="4" applyNumberFormat="1" applyFont="1" applyFill="1" applyBorder="1" applyProtection="1"/>
    <xf numFmtId="37" fontId="88" fillId="0" borderId="1" xfId="4" applyNumberFormat="1" applyFont="1" applyFill="1" applyBorder="1" applyProtection="1"/>
    <xf numFmtId="164" fontId="88" fillId="0" borderId="0" xfId="0" quotePrefix="1" applyFont="1" applyFill="1" applyAlignment="1" applyProtection="1">
      <alignment horizontal="left"/>
    </xf>
    <xf numFmtId="169" fontId="91" fillId="0" borderId="0" xfId="0" applyNumberFormat="1" applyFont="1" applyFill="1" applyProtection="1"/>
    <xf numFmtId="164" fontId="88" fillId="0" borderId="1" xfId="0" applyFont="1" applyFill="1" applyBorder="1" applyAlignment="1" applyProtection="1">
      <alignment horizontal="center"/>
    </xf>
    <xf numFmtId="164" fontId="0" fillId="0" borderId="0" xfId="0" applyBorder="1"/>
    <xf numFmtId="0" fontId="28" fillId="0" borderId="0" xfId="3" applyFont="1" applyFill="1" applyBorder="1" applyAlignment="1">
      <alignment horizontal="center" wrapText="1"/>
    </xf>
    <xf numFmtId="205" fontId="28" fillId="0" borderId="0" xfId="0" applyNumberFormat="1" applyFont="1" applyFill="1" applyBorder="1"/>
    <xf numFmtId="164" fontId="88" fillId="0" borderId="0" xfId="0" applyFont="1" applyFill="1" applyAlignment="1">
      <alignment horizontal="center"/>
    </xf>
    <xf numFmtId="164" fontId="88" fillId="0" borderId="0" xfId="0" applyFont="1" applyFill="1" applyAlignment="1" applyProtection="1">
      <alignment horizontal="center"/>
    </xf>
    <xf numFmtId="17" fontId="28" fillId="44" borderId="0" xfId="0" applyNumberFormat="1" applyFont="1" applyFill="1" applyBorder="1"/>
    <xf numFmtId="168" fontId="90" fillId="44" borderId="0" xfId="15" applyNumberFormat="1" applyFont="1" applyFill="1" applyBorder="1" applyAlignment="1"/>
    <xf numFmtId="168" fontId="90" fillId="44" borderId="0" xfId="15" applyNumberFormat="1" applyFont="1" applyFill="1" applyBorder="1"/>
    <xf numFmtId="3" fontId="95" fillId="44" borderId="0" xfId="0" applyNumberFormat="1" applyFont="1" applyFill="1" applyBorder="1"/>
    <xf numFmtId="164" fontId="28" fillId="0" borderId="12" xfId="8" applyFont="1" applyFill="1" applyBorder="1" applyProtection="1"/>
    <xf numFmtId="164" fontId="28" fillId="0" borderId="15" xfId="8" applyFont="1" applyFill="1" applyBorder="1" applyProtection="1"/>
    <xf numFmtId="164" fontId="28" fillId="0" borderId="6" xfId="4" applyFont="1" applyFill="1" applyBorder="1" applyAlignment="1">
      <alignment horizontal="center"/>
    </xf>
    <xf numFmtId="164" fontId="16" fillId="0" borderId="0" xfId="51499" applyFill="1"/>
    <xf numFmtId="164" fontId="16" fillId="0" borderId="0" xfId="51499" applyFill="1" applyBorder="1"/>
    <xf numFmtId="168" fontId="0" fillId="0" borderId="0" xfId="51501" applyNumberFormat="1" applyFont="1" applyFill="1"/>
    <xf numFmtId="164" fontId="88" fillId="0" borderId="0" xfId="51499" applyFont="1" applyFill="1" applyBorder="1"/>
    <xf numFmtId="205" fontId="28" fillId="0" borderId="0" xfId="51499" applyNumberFormat="1" applyFont="1" applyFill="1" applyBorder="1"/>
    <xf numFmtId="164" fontId="16" fillId="0" borderId="0" xfId="51499" quotePrefix="1" applyFill="1" applyAlignment="1" applyProtection="1">
      <alignment horizontal="left"/>
    </xf>
    <xf numFmtId="164" fontId="16" fillId="0" borderId="0" xfId="51499" applyFill="1" applyAlignment="1" applyProtection="1">
      <alignment horizontal="left"/>
    </xf>
    <xf numFmtId="174" fontId="16" fillId="0" borderId="0" xfId="51499" applyNumberFormat="1" applyFill="1"/>
    <xf numFmtId="164" fontId="16" fillId="0" borderId="0" xfId="51499" quotePrefix="1" applyFill="1" applyAlignment="1">
      <alignment horizontal="centerContinuous"/>
    </xf>
    <xf numFmtId="164" fontId="98" fillId="0" borderId="53" xfId="51499" applyFont="1" applyFill="1" applyBorder="1"/>
    <xf numFmtId="164" fontId="98" fillId="0" borderId="0" xfId="51499" applyFont="1" applyFill="1"/>
    <xf numFmtId="164" fontId="98" fillId="0" borderId="9" xfId="51499" applyFont="1" applyFill="1" applyBorder="1"/>
    <xf numFmtId="164" fontId="98" fillId="0" borderId="51" xfId="51499" applyFont="1" applyFill="1" applyBorder="1"/>
    <xf numFmtId="10" fontId="98" fillId="0" borderId="9" xfId="51502" applyNumberFormat="1" applyFont="1" applyFill="1" applyBorder="1" applyProtection="1"/>
    <xf numFmtId="10" fontId="98" fillId="0" borderId="0" xfId="51499" applyNumberFormat="1" applyFont="1" applyFill="1"/>
    <xf numFmtId="164" fontId="16" fillId="0" borderId="0" xfId="51499" applyFill="1" applyAlignment="1" applyProtection="1">
      <alignment horizontal="center"/>
    </xf>
    <xf numFmtId="164" fontId="16" fillId="0" borderId="0" xfId="51499" applyFill="1" applyAlignment="1">
      <alignment horizontal="center"/>
    </xf>
    <xf numFmtId="164" fontId="23" fillId="0" borderId="0" xfId="51499" applyFont="1" applyFill="1" applyAlignment="1">
      <alignment horizontal="centerContinuous"/>
    </xf>
    <xf numFmtId="164" fontId="16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6" fillId="0" borderId="0" xfId="51499" applyNumberFormat="1" applyFill="1" applyProtection="1"/>
    <xf numFmtId="165" fontId="16" fillId="0" borderId="0" xfId="51499" applyNumberFormat="1" applyFill="1" applyBorder="1" applyProtection="1"/>
    <xf numFmtId="165" fontId="16" fillId="0" borderId="0" xfId="51499" applyNumberFormat="1" applyFill="1"/>
    <xf numFmtId="164" fontId="16" fillId="0" borderId="0" xfId="51499" applyFill="1" applyAlignment="1"/>
    <xf numFmtId="164" fontId="26" fillId="0" borderId="0" xfId="51499" applyFont="1" applyFill="1" applyAlignment="1">
      <alignment horizontal="center"/>
    </xf>
    <xf numFmtId="164" fontId="26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6" fillId="0" borderId="0" xfId="51499" quotePrefix="1" applyFont="1" applyFill="1" applyAlignment="1">
      <alignment horizontal="center"/>
    </xf>
    <xf numFmtId="164" fontId="26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6" fillId="0" borderId="0" xfId="51499" applyNumberFormat="1" applyFont="1" applyFill="1" applyAlignment="1" applyProtection="1">
      <alignment horizontal="center"/>
    </xf>
    <xf numFmtId="164" fontId="26" fillId="0" borderId="0" xfId="51499" quotePrefix="1" applyFont="1" applyFill="1" applyAlignment="1" applyProtection="1">
      <alignment horizontal="left"/>
    </xf>
    <xf numFmtId="165" fontId="26" fillId="0" borderId="0" xfId="51499" applyNumberFormat="1" applyFont="1" applyFill="1" applyProtection="1"/>
    <xf numFmtId="49" fontId="26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6" fillId="0" borderId="0" xfId="51499" applyFont="1" applyFill="1" applyAlignment="1" applyProtection="1">
      <alignment horizontal="left"/>
    </xf>
    <xf numFmtId="165" fontId="26" fillId="0" borderId="57" xfId="51499" applyNumberFormat="1" applyFont="1" applyFill="1" applyBorder="1" applyProtection="1"/>
    <xf numFmtId="164" fontId="26" fillId="0" borderId="49" xfId="51499" quotePrefix="1" applyFont="1" applyFill="1" applyBorder="1" applyAlignment="1">
      <alignment horizontal="center"/>
    </xf>
    <xf numFmtId="164" fontId="26" fillId="0" borderId="50" xfId="51499" applyFont="1" applyFill="1" applyBorder="1"/>
    <xf numFmtId="164" fontId="26" fillId="0" borderId="51" xfId="51499" quotePrefix="1" applyFont="1" applyFill="1" applyBorder="1" applyAlignment="1">
      <alignment horizontal="center"/>
    </xf>
    <xf numFmtId="164" fontId="26" fillId="0" borderId="53" xfId="51499" applyFont="1" applyFill="1" applyBorder="1"/>
    <xf numFmtId="164" fontId="26" fillId="0" borderId="54" xfId="51499" applyFont="1" applyFill="1" applyBorder="1"/>
    <xf numFmtId="164" fontId="26" fillId="0" borderId="55" xfId="51499" applyFont="1" applyFill="1" applyBorder="1"/>
    <xf numFmtId="164" fontId="26" fillId="0" borderId="12" xfId="51499" quotePrefix="1" applyFont="1" applyFill="1" applyBorder="1" applyAlignment="1">
      <alignment horizontal="left"/>
    </xf>
    <xf numFmtId="164" fontId="26" fillId="0" borderId="9" xfId="51499" applyFont="1" applyFill="1" applyBorder="1"/>
    <xf numFmtId="172" fontId="26" fillId="0" borderId="5" xfId="51500" applyNumberFormat="1" applyFont="1" applyFill="1" applyBorder="1"/>
    <xf numFmtId="164" fontId="26" fillId="0" borderId="0" xfId="51499" applyFont="1" applyFill="1" applyBorder="1"/>
    <xf numFmtId="172" fontId="100" fillId="0" borderId="9" xfId="51500" applyNumberFormat="1" applyFont="1" applyFill="1" applyBorder="1"/>
    <xf numFmtId="164" fontId="26" fillId="0" borderId="12" xfId="51499" applyFont="1" applyFill="1" applyBorder="1"/>
    <xf numFmtId="168" fontId="26" fillId="0" borderId="5" xfId="51501" applyNumberFormat="1" applyFont="1" applyFill="1" applyBorder="1"/>
    <xf numFmtId="168" fontId="26" fillId="0" borderId="9" xfId="51501" applyNumberFormat="1" applyFont="1" applyFill="1" applyBorder="1"/>
    <xf numFmtId="164" fontId="26" fillId="0" borderId="15" xfId="51499" applyFont="1" applyFill="1" applyBorder="1"/>
    <xf numFmtId="164" fontId="26" fillId="0" borderId="13" xfId="51499" applyFont="1" applyFill="1" applyBorder="1"/>
    <xf numFmtId="168" fontId="26" fillId="0" borderId="6" xfId="51501" applyNumberFormat="1" applyFont="1" applyFill="1" applyBorder="1"/>
    <xf numFmtId="164" fontId="26" fillId="0" borderId="1" xfId="51499" applyFont="1" applyFill="1" applyBorder="1"/>
    <xf numFmtId="168" fontId="26" fillId="0" borderId="13" xfId="51501" applyNumberFormat="1" applyFont="1" applyFill="1" applyBorder="1"/>
    <xf numFmtId="168" fontId="26" fillId="0" borderId="0" xfId="51501" applyNumberFormat="1" applyFont="1" applyFill="1" applyBorder="1"/>
    <xf numFmtId="164" fontId="26" fillId="0" borderId="56" xfId="51499" applyFont="1" applyFill="1" applyBorder="1"/>
    <xf numFmtId="164" fontId="26" fillId="0" borderId="51" xfId="51499" applyFont="1" applyFill="1" applyBorder="1"/>
    <xf numFmtId="168" fontId="26" fillId="0" borderId="49" xfId="51501" quotePrefix="1" applyNumberFormat="1" applyFont="1" applyFill="1" applyBorder="1" applyAlignment="1">
      <alignment horizontal="center"/>
    </xf>
    <xf numFmtId="164" fontId="26" fillId="0" borderId="51" xfId="51499" applyFont="1" applyFill="1" applyBorder="1" applyAlignment="1">
      <alignment horizontal="center"/>
    </xf>
    <xf numFmtId="164" fontId="26" fillId="0" borderId="52" xfId="51499" applyFont="1" applyFill="1" applyBorder="1"/>
    <xf numFmtId="168" fontId="26" fillId="0" borderId="54" xfId="51501" applyNumberFormat="1" applyFont="1" applyFill="1" applyBorder="1"/>
    <xf numFmtId="174" fontId="26" fillId="0" borderId="5" xfId="51501" applyNumberFormat="1" applyFont="1" applyFill="1" applyBorder="1"/>
    <xf numFmtId="174" fontId="26" fillId="0" borderId="9" xfId="51501" applyNumberFormat="1" applyFont="1" applyFill="1" applyBorder="1"/>
    <xf numFmtId="164" fontId="26" fillId="0" borderId="12" xfId="51499" quotePrefix="1" applyFont="1" applyFill="1" applyBorder="1"/>
    <xf numFmtId="207" fontId="26" fillId="0" borderId="5" xfId="51502" applyNumberFormat="1" applyFont="1" applyFill="1" applyBorder="1"/>
    <xf numFmtId="207" fontId="26" fillId="0" borderId="9" xfId="51502" applyNumberFormat="1" applyFont="1" applyFill="1" applyBorder="1"/>
    <xf numFmtId="9" fontId="26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6" fillId="0" borderId="9" xfId="51500" applyNumberFormat="1" applyFont="1" applyFill="1" applyBorder="1"/>
    <xf numFmtId="168" fontId="26" fillId="0" borderId="9" xfId="51499" applyNumberFormat="1" applyFont="1" applyFill="1" applyBorder="1"/>
    <xf numFmtId="164" fontId="26" fillId="0" borderId="0" xfId="51499" applyFont="1" applyFill="1" applyAlignment="1">
      <alignment horizontal="centerContinuous"/>
    </xf>
    <xf numFmtId="164" fontId="26" fillId="0" borderId="0" xfId="51499" applyFont="1" applyFill="1" applyAlignment="1" applyProtection="1">
      <alignment horizontal="centerContinuous"/>
    </xf>
    <xf numFmtId="174" fontId="26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6" fillId="0" borderId="0" xfId="51499" applyNumberFormat="1" applyFont="1" applyFill="1"/>
    <xf numFmtId="164" fontId="26" fillId="0" borderId="53" xfId="51499" applyFont="1" applyFill="1" applyBorder="1" applyAlignment="1" applyProtection="1">
      <alignment horizontal="center"/>
    </xf>
    <xf numFmtId="164" fontId="26" fillId="0" borderId="54" xfId="51499" applyFont="1" applyFill="1" applyBorder="1" applyAlignment="1" applyProtection="1">
      <alignment horizontal="center"/>
    </xf>
    <xf numFmtId="174" fontId="26" fillId="0" borderId="53" xfId="51499" applyNumberFormat="1" applyFont="1" applyFill="1" applyBorder="1" applyAlignment="1">
      <alignment horizontal="centerContinuous"/>
    </xf>
    <xf numFmtId="164" fontId="26" fillId="0" borderId="5" xfId="51499" applyFont="1" applyFill="1" applyBorder="1" applyAlignment="1" applyProtection="1">
      <alignment horizontal="left"/>
    </xf>
    <xf numFmtId="164" fontId="26" fillId="0" borderId="9" xfId="51499" quotePrefix="1" applyFont="1" applyFill="1" applyBorder="1"/>
    <xf numFmtId="164" fontId="26" fillId="0" borderId="9" xfId="51499" applyFont="1" applyFill="1" applyBorder="1" applyAlignment="1" applyProtection="1">
      <alignment horizontal="center"/>
    </xf>
    <xf numFmtId="164" fontId="26" fillId="0" borderId="5" xfId="51499" applyFont="1" applyFill="1" applyBorder="1"/>
    <xf numFmtId="164" fontId="26" fillId="0" borderId="5" xfId="51499" applyFont="1" applyFill="1" applyBorder="1" applyAlignment="1" applyProtection="1">
      <alignment horizontal="center"/>
    </xf>
    <xf numFmtId="174" fontId="26" fillId="0" borderId="9" xfId="51499" applyNumberFormat="1" applyFont="1" applyFill="1" applyBorder="1" applyAlignment="1">
      <alignment horizontal="centerContinuous"/>
    </xf>
    <xf numFmtId="164" fontId="26" fillId="0" borderId="9" xfId="51499" applyFont="1" applyFill="1" applyBorder="1" applyAlignment="1">
      <alignment horizontal="centerContinuous"/>
    </xf>
    <xf numFmtId="164" fontId="26" fillId="0" borderId="0" xfId="51499" applyFont="1" applyFill="1" applyBorder="1" applyAlignment="1" applyProtection="1">
      <alignment horizontal="centerContinuous"/>
    </xf>
    <xf numFmtId="174" fontId="26" fillId="0" borderId="9" xfId="51499" applyNumberFormat="1" applyFont="1" applyFill="1" applyBorder="1" applyAlignment="1" applyProtection="1">
      <alignment horizontal="center"/>
    </xf>
    <xf numFmtId="164" fontId="100" fillId="0" borderId="50" xfId="51499" applyFont="1" applyFill="1" applyBorder="1" applyAlignment="1" applyProtection="1">
      <alignment horizontal="left"/>
    </xf>
    <xf numFmtId="164" fontId="26" fillId="0" borderId="49" xfId="51499" applyFont="1" applyFill="1" applyBorder="1"/>
    <xf numFmtId="37" fontId="26" fillId="0" borderId="49" xfId="51499" applyNumberFormat="1" applyFont="1" applyFill="1" applyBorder="1" applyProtection="1"/>
    <xf numFmtId="174" fontId="26" fillId="0" borderId="50" xfId="51499" applyNumberFormat="1" applyFont="1" applyFill="1" applyBorder="1"/>
    <xf numFmtId="164" fontId="26" fillId="0" borderId="0" xfId="51499" applyFont="1" applyFill="1" applyBorder="1" applyAlignment="1" applyProtection="1">
      <alignment horizontal="left"/>
    </xf>
    <xf numFmtId="174" fontId="26" fillId="0" borderId="9" xfId="51499" applyNumberFormat="1" applyFont="1" applyFill="1" applyBorder="1"/>
    <xf numFmtId="164" fontId="26" fillId="0" borderId="5" xfId="51499" applyFont="1" applyFill="1" applyBorder="1" applyProtection="1"/>
    <xf numFmtId="164" fontId="26" fillId="0" borderId="9" xfId="51499" quotePrefix="1" applyFont="1" applyFill="1" applyBorder="1" applyAlignment="1">
      <alignment horizontal="left"/>
    </xf>
    <xf numFmtId="37" fontId="26" fillId="0" borderId="9" xfId="51499" applyNumberFormat="1" applyFont="1" applyFill="1" applyBorder="1" applyProtection="1"/>
    <xf numFmtId="37" fontId="26" fillId="0" borderId="5" xfId="51499" applyNumberFormat="1" applyFont="1" applyFill="1" applyBorder="1" applyProtection="1"/>
    <xf numFmtId="174" fontId="26" fillId="0" borderId="9" xfId="51501" applyNumberFormat="1" applyFont="1" applyFill="1" applyBorder="1" applyProtection="1"/>
    <xf numFmtId="164" fontId="26" fillId="0" borderId="6" xfId="51499" applyFont="1" applyFill="1" applyBorder="1" applyProtection="1"/>
    <xf numFmtId="37" fontId="26" fillId="0" borderId="51" xfId="51499" applyNumberFormat="1" applyFont="1" applyFill="1" applyBorder="1" applyProtection="1"/>
    <xf numFmtId="37" fontId="26" fillId="0" borderId="50" xfId="51499" applyNumberFormat="1" applyFont="1" applyFill="1" applyBorder="1" applyProtection="1"/>
    <xf numFmtId="174" fontId="26" fillId="0" borderId="49" xfId="51499" applyNumberFormat="1" applyFont="1" applyFill="1" applyBorder="1" applyProtection="1"/>
    <xf numFmtId="168" fontId="26" fillId="0" borderId="1" xfId="51503" applyNumberFormat="1" applyFont="1" applyFill="1" applyBorder="1" applyProtection="1"/>
    <xf numFmtId="168" fontId="26" fillId="0" borderId="1" xfId="51503" applyNumberFormat="1" applyFont="1" applyFill="1" applyBorder="1"/>
    <xf numFmtId="10" fontId="26" fillId="0" borderId="1" xfId="51505" applyNumberFormat="1" applyFont="1" applyFill="1" applyBorder="1" applyProtection="1"/>
    <xf numFmtId="168" fontId="100" fillId="0" borderId="0" xfId="51503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6" fillId="0" borderId="0" xfId="51506" applyFont="1" applyFill="1" applyAlignment="1" applyProtection="1">
      <alignment horizontal="center"/>
    </xf>
    <xf numFmtId="164" fontId="26" fillId="0" borderId="0" xfId="51506" applyFont="1" applyFill="1"/>
    <xf numFmtId="7" fontId="26" fillId="0" borderId="0" xfId="51506" applyNumberFormat="1" applyFont="1" applyFill="1" applyProtection="1"/>
    <xf numFmtId="165" fontId="26" fillId="0" borderId="0" xfId="51506" applyNumberFormat="1" applyFont="1" applyFill="1" applyProtection="1"/>
    <xf numFmtId="164" fontId="26" fillId="0" borderId="0" xfId="0" applyFont="1" applyFill="1"/>
    <xf numFmtId="164" fontId="26" fillId="0" borderId="0" xfId="0" applyFont="1" applyFill="1" applyBorder="1"/>
    <xf numFmtId="164" fontId="26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Continuous"/>
    </xf>
    <xf numFmtId="164" fontId="26" fillId="0" borderId="0" xfId="0" applyFont="1" applyFill="1" applyAlignment="1">
      <alignment horizontal="centerContinuous"/>
    </xf>
    <xf numFmtId="164" fontId="26" fillId="0" borderId="0" xfId="0" applyFont="1" applyFill="1" applyBorder="1" applyAlignment="1">
      <alignment horizontal="centerContinuous"/>
    </xf>
    <xf numFmtId="164" fontId="26" fillId="0" borderId="0" xfId="0" applyFont="1" applyFill="1" applyAlignment="1">
      <alignment horizontal="right" readingOrder="1"/>
    </xf>
    <xf numFmtId="164" fontId="26" fillId="0" borderId="0" xfId="0" applyFont="1" applyFill="1" applyAlignment="1">
      <alignment horizontal="center"/>
    </xf>
    <xf numFmtId="164" fontId="2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 wrapText="1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Fill="1" applyBorder="1" applyAlignment="1">
      <alignment horizontal="center" wrapText="1"/>
    </xf>
    <xf numFmtId="164" fontId="26" fillId="0" borderId="0" xfId="0" quotePrefix="1" applyFont="1" applyFill="1" applyAlignment="1">
      <alignment horizontal="center" wrapText="1"/>
    </xf>
    <xf numFmtId="164" fontId="26" fillId="0" borderId="21" xfId="0" applyFont="1" applyFill="1" applyBorder="1" applyAlignment="1" applyProtection="1">
      <alignment horizontal="center" wrapText="1"/>
    </xf>
    <xf numFmtId="164" fontId="26" fillId="0" borderId="0" xfId="0" quotePrefix="1" applyFont="1" applyFill="1" applyBorder="1" applyAlignment="1" applyProtection="1">
      <alignment horizontal="center" wrapText="1"/>
    </xf>
    <xf numFmtId="164" fontId="26" fillId="0" borderId="1" xfId="0" applyFont="1" applyFill="1" applyBorder="1" applyAlignment="1" applyProtection="1">
      <alignment horizontal="center"/>
    </xf>
    <xf numFmtId="164" fontId="26" fillId="0" borderId="43" xfId="0" applyFont="1" applyFill="1" applyBorder="1" applyAlignment="1" applyProtection="1">
      <alignment horizontal="center"/>
    </xf>
    <xf numFmtId="172" fontId="26" fillId="0" borderId="0" xfId="2" applyNumberFormat="1" applyFont="1" applyFill="1" applyBorder="1" applyAlignment="1" applyProtection="1">
      <alignment horizontal="center"/>
    </xf>
    <xf numFmtId="164" fontId="26" fillId="0" borderId="21" xfId="0" applyFont="1" applyFill="1" applyBorder="1" applyAlignment="1" applyProtection="1">
      <alignment horizontal="center"/>
    </xf>
    <xf numFmtId="172" fontId="26" fillId="0" borderId="0" xfId="0" applyNumberFormat="1" applyFont="1" applyFill="1" applyProtection="1"/>
    <xf numFmtId="172" fontId="26" fillId="0" borderId="0" xfId="2" applyNumberFormat="1" applyFont="1" applyFill="1" applyProtection="1"/>
    <xf numFmtId="42" fontId="26" fillId="0" borderId="0" xfId="2" applyNumberFormat="1" applyFont="1" applyFill="1" applyProtection="1"/>
    <xf numFmtId="5" fontId="26" fillId="0" borderId="0" xfId="0" applyNumberFormat="1" applyFont="1" applyFill="1" applyProtection="1"/>
    <xf numFmtId="164" fontId="26" fillId="0" borderId="0" xfId="0" applyFont="1" applyFill="1" applyBorder="1" applyAlignment="1" applyProtection="1">
      <alignment horizontal="left"/>
    </xf>
    <xf numFmtId="168" fontId="26" fillId="0" borderId="0" xfId="1" applyNumberFormat="1" applyFont="1" applyFill="1" applyProtection="1"/>
    <xf numFmtId="37" fontId="26" fillId="0" borderId="0" xfId="0" applyNumberFormat="1" applyFont="1" applyFill="1" applyProtection="1"/>
    <xf numFmtId="173" fontId="26" fillId="0" borderId="21" xfId="2" applyNumberFormat="1" applyFont="1" applyFill="1" applyBorder="1" applyProtection="1"/>
    <xf numFmtId="173" fontId="26" fillId="0" borderId="21" xfId="2" applyNumberFormat="1" applyFont="1" applyFill="1" applyBorder="1"/>
    <xf numFmtId="173" fontId="26" fillId="0" borderId="0" xfId="2" applyNumberFormat="1" applyFont="1" applyFill="1" applyBorder="1"/>
    <xf numFmtId="172" fontId="26" fillId="0" borderId="0" xfId="0" applyNumberFormat="1" applyFont="1" applyFill="1"/>
    <xf numFmtId="172" fontId="26" fillId="0" borderId="0" xfId="2" applyNumberFormat="1" applyFont="1" applyFill="1"/>
    <xf numFmtId="164" fontId="26" fillId="0" borderId="0" xfId="0" applyFont="1" applyFill="1" applyAlignment="1" applyProtection="1">
      <alignment horizontal="left"/>
    </xf>
    <xf numFmtId="168" fontId="26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5" fontId="100" fillId="0" borderId="0" xfId="0" applyNumberFormat="1" applyFont="1" applyFill="1" applyBorder="1" applyProtection="1"/>
    <xf numFmtId="173" fontId="100" fillId="0" borderId="21" xfId="2" applyNumberFormat="1" applyFont="1" applyFill="1" applyBorder="1" applyProtection="1"/>
    <xf numFmtId="165" fontId="26" fillId="0" borderId="0" xfId="0" applyNumberFormat="1" applyFont="1" applyFill="1" applyBorder="1" applyProtection="1"/>
    <xf numFmtId="164" fontId="26" fillId="0" borderId="22" xfId="0" applyFont="1" applyFill="1" applyBorder="1"/>
    <xf numFmtId="164" fontId="26" fillId="0" borderId="24" xfId="0" applyFont="1" applyFill="1" applyBorder="1"/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4" xfId="3" applyFont="1" applyFill="1" applyBorder="1" applyAlignment="1" applyProtection="1">
      <alignment horizontal="center" wrapText="1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6" fillId="0" borderId="3" xfId="3" applyFont="1" applyFill="1" applyBorder="1"/>
    <xf numFmtId="0" fontId="26" fillId="0" borderId="8" xfId="3" applyFont="1" applyFill="1" applyBorder="1"/>
    <xf numFmtId="0" fontId="26" fillId="0" borderId="4" xfId="3" applyFont="1" applyFill="1" applyBorder="1" applyAlignment="1" applyProtection="1">
      <alignment horizontal="left"/>
    </xf>
    <xf numFmtId="0" fontId="26" fillId="0" borderId="0" xfId="3" applyFont="1" applyFill="1" applyBorder="1" applyAlignment="1">
      <alignment horizontal="center"/>
    </xf>
    <xf numFmtId="173" fontId="26" fillId="0" borderId="5" xfId="2" applyNumberFormat="1" applyFont="1" applyFill="1" applyBorder="1"/>
    <xf numFmtId="173" fontId="26" fillId="0" borderId="0" xfId="3" applyNumberFormat="1" applyFont="1" applyFill="1" applyBorder="1"/>
    <xf numFmtId="173" fontId="26" fillId="0" borderId="4" xfId="3" applyNumberFormat="1" applyFont="1" applyFill="1" applyBorder="1"/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173" fontId="26" fillId="0" borderId="5" xfId="3" applyNumberFormat="1" applyFont="1" applyFill="1" applyBorder="1"/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6" xfId="3" applyFont="1" applyFill="1" applyBorder="1"/>
    <xf numFmtId="0" fontId="26" fillId="0" borderId="1" xfId="3" applyFont="1" applyFill="1" applyBorder="1"/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Border="1" applyAlignment="1" applyProtection="1">
      <alignment horizontal="left"/>
    </xf>
    <xf numFmtId="0" fontId="105" fillId="0" borderId="0" xfId="3" quotePrefix="1" applyFont="1" applyFill="1" applyAlignment="1">
      <alignment horizontal="left"/>
    </xf>
    <xf numFmtId="168" fontId="26" fillId="0" borderId="0" xfId="1" applyNumberFormat="1" applyFont="1" applyFill="1"/>
    <xf numFmtId="164" fontId="100" fillId="0" borderId="0" xfId="4" applyFont="1" applyFill="1" applyAlignment="1" applyProtection="1"/>
    <xf numFmtId="164" fontId="26" fillId="0" borderId="0" xfId="20" applyFont="1" applyFill="1" applyAlignment="1">
      <alignment horizontal="center"/>
    </xf>
    <xf numFmtId="164" fontId="26" fillId="0" borderId="0" xfId="20" applyFont="1" applyFill="1"/>
    <xf numFmtId="164" fontId="26" fillId="0" borderId="0" xfId="20" applyFont="1" applyFill="1" applyBorder="1"/>
    <xf numFmtId="174" fontId="26" fillId="0" borderId="0" xfId="20" applyNumberFormat="1" applyFont="1" applyFill="1"/>
    <xf numFmtId="164" fontId="26" fillId="0" borderId="0" xfId="20" applyFont="1" applyFill="1" applyAlignment="1">
      <alignment horizontal="centerContinuous"/>
    </xf>
    <xf numFmtId="174" fontId="26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6" fillId="0" borderId="4" xfId="20" applyFont="1" applyFill="1" applyBorder="1" applyAlignment="1">
      <alignment horizontal="center"/>
    </xf>
    <xf numFmtId="164" fontId="26" fillId="0" borderId="2" xfId="20" applyFont="1" applyFill="1" applyBorder="1"/>
    <xf numFmtId="164" fontId="26" fillId="0" borderId="16" xfId="20" applyFont="1" applyFill="1" applyBorder="1"/>
    <xf numFmtId="164" fontId="26" fillId="0" borderId="4" xfId="20" applyFont="1" applyFill="1" applyBorder="1" applyAlignment="1" applyProtection="1">
      <alignment horizontal="center"/>
    </xf>
    <xf numFmtId="164" fontId="26" fillId="0" borderId="9" xfId="20" applyFont="1" applyFill="1" applyBorder="1"/>
    <xf numFmtId="174" fontId="26" fillId="0" borderId="16" xfId="20" applyNumberFormat="1" applyFont="1" applyFill="1" applyBorder="1" applyAlignment="1">
      <alignment horizontal="centerContinuous"/>
    </xf>
    <xf numFmtId="164" fontId="26" fillId="0" borderId="4" xfId="20" applyFont="1" applyFill="1" applyBorder="1"/>
    <xf numFmtId="164" fontId="26" fillId="0" borderId="5" xfId="20" applyFont="1" applyFill="1" applyBorder="1" applyAlignment="1" applyProtection="1">
      <alignment horizontal="center"/>
    </xf>
    <xf numFmtId="164" fontId="26" fillId="0" borderId="9" xfId="20" quotePrefix="1" applyFont="1" applyFill="1" applyBorder="1"/>
    <xf numFmtId="164" fontId="26" fillId="0" borderId="9" xfId="20" applyFont="1" applyFill="1" applyBorder="1" applyAlignment="1" applyProtection="1">
      <alignment horizontal="center"/>
    </xf>
    <xf numFmtId="174" fontId="26" fillId="0" borderId="9" xfId="20" applyNumberFormat="1" applyFont="1" applyFill="1" applyBorder="1" applyAlignment="1">
      <alignment horizontal="centerContinuous"/>
    </xf>
    <xf numFmtId="164" fontId="26" fillId="0" borderId="9" xfId="20" applyFont="1" applyFill="1" applyBorder="1" applyAlignment="1">
      <alignment horizontal="centerContinuous"/>
    </xf>
    <xf numFmtId="164" fontId="26" fillId="0" borderId="5" xfId="20" applyFont="1" applyFill="1" applyBorder="1" applyAlignment="1">
      <alignment horizontal="center"/>
    </xf>
    <xf numFmtId="164" fontId="26" fillId="0" borderId="0" xfId="20" applyFont="1" applyFill="1" applyBorder="1" applyAlignment="1" applyProtection="1">
      <alignment horizontal="centerContinuous"/>
    </xf>
    <xf numFmtId="164" fontId="26" fillId="0" borderId="6" xfId="20" applyFont="1" applyFill="1" applyBorder="1" applyAlignment="1" applyProtection="1">
      <alignment horizontal="center"/>
    </xf>
    <xf numFmtId="164" fontId="26" fillId="0" borderId="9" xfId="20" applyFont="1" applyFill="1" applyBorder="1" applyAlignment="1">
      <alignment horizontal="center"/>
    </xf>
    <xf numFmtId="164" fontId="26" fillId="0" borderId="0" xfId="20" applyFont="1" applyFill="1" applyBorder="1" applyAlignment="1">
      <alignment horizontal="center"/>
    </xf>
    <xf numFmtId="174" fontId="26" fillId="0" borderId="9" xfId="20" applyNumberFormat="1" applyFont="1" applyFill="1" applyBorder="1" applyAlignment="1" applyProtection="1">
      <alignment horizontal="center"/>
    </xf>
    <xf numFmtId="164" fontId="26" fillId="0" borderId="6" xfId="20" applyFont="1" applyFill="1" applyBorder="1" applyAlignment="1">
      <alignment horizontal="center"/>
    </xf>
    <xf numFmtId="164" fontId="26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6" fillId="0" borderId="3" xfId="20" applyFont="1" applyFill="1" applyBorder="1"/>
    <xf numFmtId="37" fontId="26" fillId="0" borderId="3" xfId="20" applyNumberFormat="1" applyFont="1" applyFill="1" applyBorder="1" applyProtection="1"/>
    <xf numFmtId="174" fontId="26" fillId="0" borderId="3" xfId="20" applyNumberFormat="1" applyFont="1" applyFill="1" applyBorder="1"/>
    <xf numFmtId="164" fontId="26" fillId="0" borderId="0" xfId="20" applyFont="1" applyFill="1" applyBorder="1" applyAlignment="1" applyProtection="1">
      <alignment horizontal="left"/>
    </xf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73" fontId="26" fillId="0" borderId="9" xfId="2" applyNumberFormat="1" applyFont="1" applyFill="1" applyBorder="1" applyProtection="1"/>
    <xf numFmtId="172" fontId="26" fillId="0" borderId="9" xfId="2" applyNumberFormat="1" applyFont="1" applyFill="1" applyBorder="1" applyProtection="1"/>
    <xf numFmtId="164" fontId="26" fillId="0" borderId="9" xfId="20" quotePrefix="1" applyFont="1" applyFill="1" applyBorder="1" applyAlignment="1">
      <alignment horizontal="left"/>
    </xf>
    <xf numFmtId="37" fontId="26" fillId="0" borderId="9" xfId="20" applyNumberFormat="1" applyFont="1" applyFill="1" applyBorder="1" applyProtection="1"/>
    <xf numFmtId="10" fontId="26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26" fillId="0" borderId="6" xfId="20" applyNumberFormat="1" applyFont="1" applyFill="1" applyBorder="1"/>
    <xf numFmtId="173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44" fontId="26" fillId="0" borderId="0" xfId="2" applyFont="1" applyFill="1"/>
    <xf numFmtId="164" fontId="100" fillId="0" borderId="0" xfId="0" applyFont="1" applyFill="1" applyAlignment="1"/>
    <xf numFmtId="164" fontId="26" fillId="0" borderId="0" xfId="0" applyFont="1"/>
    <xf numFmtId="164" fontId="103" fillId="0" borderId="0" xfId="0" applyFont="1" applyAlignment="1">
      <alignment horizontal="center"/>
    </xf>
    <xf numFmtId="164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88" fillId="0" borderId="0" xfId="0" applyFont="1" applyFill="1" applyBorder="1" applyAlignment="1" applyProtection="1">
      <alignment horizontal="center"/>
    </xf>
    <xf numFmtId="17" fontId="28" fillId="44" borderId="10" xfId="15" applyNumberFormat="1" applyFont="1" applyFill="1" applyBorder="1"/>
    <xf numFmtId="3" fontId="88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164" fontId="12" fillId="0" borderId="0" xfId="51499" applyFont="1" applyFill="1"/>
    <xf numFmtId="164" fontId="12" fillId="0" borderId="0" xfId="51499" applyFont="1" applyFill="1" applyAlignment="1" applyProtection="1">
      <alignment horizontal="left"/>
    </xf>
    <xf numFmtId="205" fontId="26" fillId="0" borderId="0" xfId="51499" applyNumberFormat="1" applyFont="1" applyFill="1"/>
    <xf numFmtId="205" fontId="16" fillId="0" borderId="0" xfId="51499" applyNumberFormat="1" applyFill="1"/>
    <xf numFmtId="173" fontId="26" fillId="0" borderId="12" xfId="51500" applyNumberFormat="1" applyFont="1" applyFill="1" applyBorder="1"/>
    <xf numFmtId="206" fontId="26" fillId="0" borderId="0" xfId="51499" applyNumberFormat="1" applyFont="1" applyFill="1"/>
    <xf numFmtId="164" fontId="107" fillId="0" borderId="0" xfId="0" applyFont="1"/>
    <xf numFmtId="164" fontId="107" fillId="0" borderId="0" xfId="0" applyFont="1" applyFill="1"/>
    <xf numFmtId="17" fontId="28" fillId="0" borderId="0" xfId="0" applyNumberFormat="1" applyFont="1" applyFill="1" applyBorder="1"/>
    <xf numFmtId="168" fontId="28" fillId="44" borderId="51" xfId="15" applyNumberFormat="1" applyFont="1" applyFill="1" applyBorder="1"/>
    <xf numFmtId="37" fontId="3" fillId="44" borderId="10" xfId="0" applyNumberFormat="1" applyFont="1" applyFill="1" applyBorder="1"/>
    <xf numFmtId="37" fontId="3" fillId="44" borderId="6" xfId="0" applyNumberFormat="1" applyFont="1" applyFill="1" applyBorder="1"/>
    <xf numFmtId="168" fontId="3" fillId="44" borderId="6" xfId="1" applyNumberFormat="1" applyFont="1" applyFill="1" applyBorder="1"/>
    <xf numFmtId="164" fontId="26" fillId="0" borderId="2" xfId="20" applyFont="1" applyFill="1" applyBorder="1" applyAlignment="1" applyProtection="1">
      <alignment horizontal="center"/>
    </xf>
    <xf numFmtId="164" fontId="26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4" fontId="88" fillId="0" borderId="0" xfId="0" quotePrefix="1" applyFont="1" applyFill="1" applyAlignment="1"/>
    <xf numFmtId="207" fontId="0" fillId="0" borderId="0" xfId="51502" applyNumberFormat="1" applyFont="1" applyFill="1"/>
    <xf numFmtId="164" fontId="26" fillId="0" borderId="0" xfId="51506" applyFont="1" applyFill="1" applyProtection="1"/>
    <xf numFmtId="164" fontId="26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6" fillId="0" borderId="0" xfId="51506" applyFont="1" applyFill="1" applyAlignment="1">
      <alignment horizontal="centerContinuous"/>
    </xf>
    <xf numFmtId="164" fontId="26" fillId="0" borderId="0" xfId="51506" applyFont="1" applyFill="1" applyAlignment="1" applyProtection="1">
      <alignment horizontal="centerContinuous"/>
    </xf>
    <xf numFmtId="164" fontId="26" fillId="0" borderId="0" xfId="51506" applyFont="1" applyFill="1" applyAlignment="1" applyProtection="1">
      <alignment horizontal="right"/>
    </xf>
    <xf numFmtId="10" fontId="26" fillId="0" borderId="0" xfId="51506" applyNumberFormat="1" applyFont="1" applyFill="1" applyProtection="1"/>
    <xf numFmtId="9" fontId="16" fillId="0" borderId="0" xfId="14" applyFont="1" applyFill="1"/>
    <xf numFmtId="10" fontId="16" fillId="0" borderId="0" xfId="14" applyNumberFormat="1" applyFont="1" applyFill="1"/>
    <xf numFmtId="168" fontId="16" fillId="0" borderId="0" xfId="1" applyNumberFormat="1" applyFont="1" applyFill="1"/>
    <xf numFmtId="0" fontId="26" fillId="0" borderId="6" xfId="3" quotePrefix="1" applyFont="1" applyFill="1" applyBorder="1" applyAlignment="1" applyProtection="1">
      <alignment horizontal="center"/>
    </xf>
    <xf numFmtId="173" fontId="16" fillId="0" borderId="0" xfId="2" applyNumberFormat="1" applyFont="1" applyFill="1"/>
    <xf numFmtId="173" fontId="28" fillId="0" borderId="0" xfId="3" applyNumberFormat="1" applyFont="1" applyFill="1"/>
    <xf numFmtId="10" fontId="26" fillId="0" borderId="54" xfId="20" applyNumberFormat="1" applyFont="1" applyFill="1" applyBorder="1"/>
    <xf numFmtId="164" fontId="28" fillId="0" borderId="0" xfId="0" applyFont="1" applyFill="1" applyAlignment="1">
      <alignment horizontal="center"/>
    </xf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" fontId="2" fillId="44" borderId="5" xfId="0" applyNumberFormat="1" applyFont="1" applyFill="1" applyBorder="1"/>
    <xf numFmtId="168" fontId="2" fillId="44" borderId="10" xfId="1" applyNumberFormat="1" applyFont="1" applyFill="1" applyBorder="1"/>
    <xf numFmtId="164" fontId="100" fillId="0" borderId="0" xfId="0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74" fontId="0" fillId="0" borderId="0" xfId="51501" applyNumberFormat="1" applyFont="1" applyFill="1"/>
    <xf numFmtId="173" fontId="26" fillId="0" borderId="9" xfId="51500" applyNumberFormat="1" applyFont="1" applyFill="1" applyBorder="1"/>
    <xf numFmtId="174" fontId="26" fillId="0" borderId="12" xfId="51501" applyNumberFormat="1" applyFont="1" applyFill="1" applyBorder="1"/>
    <xf numFmtId="168" fontId="26" fillId="0" borderId="10" xfId="51501" quotePrefix="1" applyNumberFormat="1" applyFont="1" applyFill="1" applyBorder="1" applyAlignment="1">
      <alignment horizontal="center"/>
    </xf>
    <xf numFmtId="173" fontId="26" fillId="0" borderId="5" xfId="51500" applyNumberFormat="1" applyFont="1" applyFill="1" applyBorder="1"/>
    <xf numFmtId="164" fontId="26" fillId="0" borderId="0" xfId="51506" applyFont="1" applyFill="1" applyAlignment="1">
      <alignment horizontal="center"/>
    </xf>
    <xf numFmtId="3" fontId="26" fillId="0" borderId="0" xfId="51506" applyNumberFormat="1" applyFont="1" applyFill="1" applyAlignment="1">
      <alignment horizontal="center"/>
    </xf>
    <xf numFmtId="14" fontId="26" fillId="0" borderId="0" xfId="51506" applyNumberFormat="1" applyFont="1" applyFill="1" applyAlignment="1">
      <alignment horizontal="center"/>
    </xf>
    <xf numFmtId="202" fontId="26" fillId="0" borderId="0" xfId="51506" applyNumberFormat="1" applyFont="1" applyFill="1" applyAlignment="1">
      <alignment horizontal="center"/>
    </xf>
    <xf numFmtId="164" fontId="26" fillId="0" borderId="0" xfId="51506" applyFont="1" applyFill="1" applyAlignment="1">
      <alignment horizontal="right"/>
    </xf>
    <xf numFmtId="10" fontId="26" fillId="0" borderId="0" xfId="51506" applyNumberFormat="1" applyFont="1" applyFill="1"/>
    <xf numFmtId="209" fontId="26" fillId="0" borderId="0" xfId="51506" applyNumberFormat="1" applyFont="1" applyFill="1" applyAlignment="1">
      <alignment horizontal="center"/>
    </xf>
    <xf numFmtId="1" fontId="26" fillId="0" borderId="0" xfId="51506" applyNumberFormat="1" applyFont="1" applyFill="1" applyAlignment="1">
      <alignment horizontal="center"/>
    </xf>
    <xf numFmtId="7" fontId="26" fillId="0" borderId="0" xfId="51506" applyNumberFormat="1" applyFont="1" applyFill="1" applyAlignment="1" applyProtection="1">
      <alignment horizontal="center"/>
    </xf>
    <xf numFmtId="164" fontId="26" fillId="0" borderId="1" xfId="51506" applyFont="1" applyFill="1" applyBorder="1" applyAlignment="1" applyProtection="1">
      <alignment horizontal="center"/>
    </xf>
    <xf numFmtId="164" fontId="26" fillId="0" borderId="1" xfId="51506" applyFont="1" applyFill="1" applyBorder="1" applyAlignment="1">
      <alignment horizontal="center"/>
    </xf>
    <xf numFmtId="164" fontId="26" fillId="0" borderId="54" xfId="51506" applyFont="1" applyFill="1" applyBorder="1" applyAlignment="1">
      <alignment horizontal="center"/>
    </xf>
    <xf numFmtId="14" fontId="26" fillId="0" borderId="5" xfId="51506" applyNumberFormat="1" applyFont="1" applyFill="1" applyBorder="1" applyAlignment="1">
      <alignment horizontal="center"/>
    </xf>
    <xf numFmtId="164" fontId="100" fillId="0" borderId="5" xfId="51506" applyFont="1" applyFill="1" applyBorder="1" applyAlignment="1" applyProtection="1">
      <alignment horizontal="centerContinuous"/>
    </xf>
    <xf numFmtId="164" fontId="26" fillId="0" borderId="6" xfId="51506" applyFont="1" applyFill="1" applyBorder="1" applyAlignment="1" applyProtection="1">
      <alignment horizontal="centerContinuous"/>
    </xf>
    <xf numFmtId="164" fontId="26" fillId="0" borderId="5" xfId="51506" applyFont="1" applyFill="1" applyBorder="1" applyAlignment="1" applyProtection="1">
      <alignment horizontal="centerContinuous"/>
    </xf>
    <xf numFmtId="164" fontId="26" fillId="0" borderId="5" xfId="51506" applyFont="1" applyFill="1" applyBorder="1"/>
    <xf numFmtId="10" fontId="26" fillId="0" borderId="5" xfId="14" applyNumberFormat="1" applyFont="1" applyFill="1" applyBorder="1" applyProtection="1"/>
    <xf numFmtId="164" fontId="100" fillId="0" borderId="5" xfId="51506" applyFont="1" applyFill="1" applyBorder="1" applyAlignment="1" applyProtection="1">
      <alignment horizontal="center"/>
    </xf>
    <xf numFmtId="164" fontId="26" fillId="0" borderId="6" xfId="51506" applyFont="1" applyFill="1" applyBorder="1" applyAlignment="1" applyProtection="1">
      <alignment horizontal="center"/>
    </xf>
    <xf numFmtId="164" fontId="26" fillId="0" borderId="5" xfId="51506" applyFont="1" applyFill="1" applyBorder="1" applyAlignment="1" applyProtection="1">
      <alignment horizontal="center"/>
    </xf>
    <xf numFmtId="164" fontId="26" fillId="0" borderId="5" xfId="51506" applyFont="1" applyFill="1" applyBorder="1" applyAlignment="1">
      <alignment horizontal="center"/>
    </xf>
    <xf numFmtId="10" fontId="26" fillId="0" borderId="5" xfId="14" applyNumberFormat="1" applyFont="1" applyFill="1" applyBorder="1" applyAlignment="1" applyProtection="1">
      <alignment horizontal="center"/>
    </xf>
    <xf numFmtId="10" fontId="26" fillId="0" borderId="6" xfId="14" applyNumberFormat="1" applyFont="1" applyFill="1" applyBorder="1" applyAlignment="1" applyProtection="1">
      <alignment horizontal="center"/>
    </xf>
    <xf numFmtId="164" fontId="28" fillId="0" borderId="0" xfId="0" applyFont="1" applyFill="1" applyAlignment="1">
      <alignment horizontal="center"/>
    </xf>
    <xf numFmtId="164" fontId="12" fillId="0" borderId="0" xfId="51499" applyFont="1"/>
    <xf numFmtId="164" fontId="26" fillId="0" borderId="0" xfId="0" quotePrefix="1" applyFont="1" applyAlignment="1" applyProtection="1">
      <alignment horizontal="center"/>
    </xf>
    <xf numFmtId="164" fontId="12" fillId="0" borderId="0" xfId="51499" applyFont="1" applyAlignment="1">
      <alignment horizontal="left"/>
    </xf>
    <xf numFmtId="164" fontId="100" fillId="0" borderId="0" xfId="0" applyFont="1" applyAlignment="1">
      <alignment horizontal="centerContinuous"/>
    </xf>
    <xf numFmtId="164" fontId="26" fillId="0" borderId="0" xfId="0" applyFont="1" applyAlignment="1">
      <alignment horizontal="centerContinuous"/>
    </xf>
    <xf numFmtId="164" fontId="26" fillId="0" borderId="0" xfId="0" applyFont="1" applyAlignment="1">
      <alignment horizontal="right" readingOrder="1"/>
    </xf>
    <xf numFmtId="164" fontId="100" fillId="0" borderId="0" xfId="0" applyFont="1"/>
    <xf numFmtId="164" fontId="26" fillId="0" borderId="0" xfId="0" applyFont="1" applyAlignment="1" applyProtection="1">
      <alignment horizontal="center"/>
    </xf>
    <xf numFmtId="164" fontId="26" fillId="0" borderId="0" xfId="0" applyFont="1" applyAlignment="1">
      <alignment horizontal="center" wrapText="1"/>
    </xf>
    <xf numFmtId="164" fontId="26" fillId="0" borderId="0" xfId="0" applyFont="1" applyAlignment="1" applyProtection="1">
      <alignment horizontal="center" wrapText="1"/>
    </xf>
    <xf numFmtId="164" fontId="26" fillId="0" borderId="0" xfId="0" quotePrefix="1" applyFont="1" applyAlignment="1">
      <alignment horizontal="center" wrapText="1"/>
    </xf>
    <xf numFmtId="164" fontId="26" fillId="0" borderId="21" xfId="0" applyFont="1" applyBorder="1" applyAlignment="1" applyProtection="1">
      <alignment horizontal="center" wrapText="1"/>
    </xf>
    <xf numFmtId="164" fontId="26" fillId="0" borderId="0" xfId="0" quotePrefix="1" applyFont="1" applyAlignment="1" applyProtection="1">
      <alignment horizontal="center" wrapText="1"/>
    </xf>
    <xf numFmtId="164" fontId="26" fillId="0" borderId="1" xfId="0" applyFont="1" applyBorder="1" applyAlignment="1">
      <alignment horizontal="center"/>
    </xf>
    <xf numFmtId="164" fontId="26" fillId="0" borderId="1" xfId="0" applyFont="1" applyBorder="1" applyAlignment="1" applyProtection="1">
      <alignment horizontal="center"/>
    </xf>
    <xf numFmtId="164" fontId="26" fillId="0" borderId="43" xfId="0" applyFont="1" applyBorder="1" applyAlignment="1" applyProtection="1">
      <alignment horizontal="center"/>
    </xf>
    <xf numFmtId="164" fontId="26" fillId="0" borderId="0" xfId="0" applyFont="1" applyAlignment="1" applyProtection="1">
      <alignment horizontal="centerContinuous"/>
    </xf>
    <xf numFmtId="164" fontId="26" fillId="0" borderId="21" xfId="0" applyFont="1" applyBorder="1" applyAlignment="1" applyProtection="1">
      <alignment horizontal="center"/>
    </xf>
    <xf numFmtId="164" fontId="26" fillId="0" borderId="0" xfId="0" applyFont="1" applyAlignment="1" applyProtection="1">
      <alignment horizontal="left"/>
    </xf>
    <xf numFmtId="172" fontId="26" fillId="0" borderId="0" xfId="0" applyNumberFormat="1" applyFont="1" applyProtection="1"/>
    <xf numFmtId="172" fontId="26" fillId="0" borderId="0" xfId="0" applyNumberFormat="1" applyFont="1"/>
    <xf numFmtId="7" fontId="100" fillId="0" borderId="0" xfId="0" applyNumberFormat="1" applyFont="1" applyAlignment="1" applyProtection="1">
      <alignment horizontal="right"/>
    </xf>
    <xf numFmtId="0" fontId="26" fillId="0" borderId="0" xfId="3" applyFont="1"/>
    <xf numFmtId="0" fontId="28" fillId="0" borderId="0" xfId="3" applyFont="1"/>
    <xf numFmtId="0" fontId="26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6" fillId="0" borderId="4" xfId="3" applyFont="1" applyBorder="1" applyAlignment="1">
      <alignment horizontal="center" wrapText="1"/>
    </xf>
    <xf numFmtId="0" fontId="26" fillId="0" borderId="16" xfId="3" applyFont="1" applyBorder="1" applyAlignment="1">
      <alignment horizontal="center" wrapText="1"/>
    </xf>
    <xf numFmtId="0" fontId="26" fillId="0" borderId="11" xfId="3" applyFont="1" applyBorder="1" applyAlignment="1">
      <alignment horizontal="center" wrapText="1"/>
    </xf>
    <xf numFmtId="0" fontId="26" fillId="0" borderId="0" xfId="3" applyFont="1" applyAlignment="1">
      <alignment horizontal="center" wrapText="1"/>
    </xf>
    <xf numFmtId="0" fontId="28" fillId="0" borderId="0" xfId="3" applyFont="1" applyAlignment="1">
      <alignment horizontal="center" wrapText="1"/>
    </xf>
    <xf numFmtId="0" fontId="28" fillId="0" borderId="0" xfId="3" applyFont="1" applyAlignment="1">
      <alignment wrapText="1"/>
    </xf>
    <xf numFmtId="0" fontId="26" fillId="0" borderId="13" xfId="3" applyFont="1" applyBorder="1" applyAlignment="1">
      <alignment horizontal="center"/>
    </xf>
    <xf numFmtId="0" fontId="26" fillId="0" borderId="6" xfId="3" quotePrefix="1" applyFont="1" applyBorder="1" applyAlignment="1">
      <alignment horizontal="center"/>
    </xf>
    <xf numFmtId="0" fontId="26" fillId="0" borderId="1" xfId="3" quotePrefix="1" applyFont="1" applyBorder="1" applyAlignment="1">
      <alignment horizontal="center"/>
    </xf>
    <xf numFmtId="0" fontId="26" fillId="0" borderId="13" xfId="3" quotePrefix="1" applyFont="1" applyBorder="1" applyAlignment="1">
      <alignment horizontal="center"/>
    </xf>
    <xf numFmtId="0" fontId="26" fillId="0" borderId="3" xfId="3" applyFont="1" applyBorder="1"/>
    <xf numFmtId="0" fontId="26" fillId="0" borderId="8" xfId="3" applyFont="1" applyBorder="1"/>
    <xf numFmtId="0" fontId="26" fillId="0" borderId="5" xfId="3" quotePrefix="1" applyFont="1" applyBorder="1" applyAlignment="1">
      <alignment horizontal="center"/>
    </xf>
    <xf numFmtId="173" fontId="26" fillId="0" borderId="0" xfId="3" applyNumberFormat="1" applyFont="1"/>
    <xf numFmtId="173" fontId="26" fillId="0" borderId="5" xfId="3" applyNumberFormat="1" applyFont="1" applyBorder="1"/>
    <xf numFmtId="164" fontId="26" fillId="0" borderId="0" xfId="8" applyFont="1" applyAlignment="1">
      <alignment horizontal="center"/>
    </xf>
    <xf numFmtId="0" fontId="26" fillId="0" borderId="5" xfId="3" applyFont="1" applyBorder="1" applyAlignment="1">
      <alignment horizontal="center"/>
    </xf>
    <xf numFmtId="0" fontId="26" fillId="0" borderId="6" xfId="3" applyFont="1" applyBorder="1"/>
    <xf numFmtId="0" fontId="26" fillId="0" borderId="1" xfId="3" applyFont="1" applyBorder="1"/>
    <xf numFmtId="0" fontId="26" fillId="0" borderId="0" xfId="3" applyFont="1" applyAlignment="1">
      <alignment horizontal="left"/>
    </xf>
    <xf numFmtId="0" fontId="105" fillId="0" borderId="0" xfId="3" quotePrefix="1" applyFont="1" applyAlignment="1">
      <alignment horizontal="left"/>
    </xf>
    <xf numFmtId="0" fontId="28" fillId="0" borderId="0" xfId="3" applyFont="1" applyAlignment="1">
      <alignment horizontal="right"/>
    </xf>
    <xf numFmtId="164" fontId="26" fillId="0" borderId="0" xfId="20" applyFont="1"/>
    <xf numFmtId="164" fontId="26" fillId="0" borderId="0" xfId="20" applyFont="1" applyAlignment="1">
      <alignment horizontal="centerContinuous"/>
    </xf>
    <xf numFmtId="164" fontId="26" fillId="0" borderId="4" xfId="20" applyFont="1" applyBorder="1" applyAlignment="1">
      <alignment horizontal="center"/>
    </xf>
    <xf numFmtId="164" fontId="26" fillId="0" borderId="2" xfId="20" applyFont="1" applyBorder="1"/>
    <xf numFmtId="164" fontId="26" fillId="0" borderId="16" xfId="20" applyFont="1" applyBorder="1"/>
    <xf numFmtId="164" fontId="26" fillId="0" borderId="2" xfId="20" applyFont="1" applyBorder="1" applyAlignment="1">
      <alignment horizontal="center"/>
    </xf>
    <xf numFmtId="164" fontId="26" fillId="0" borderId="9" xfId="20" applyFont="1" applyBorder="1"/>
    <xf numFmtId="174" fontId="26" fillId="0" borderId="4" xfId="20" applyNumberFormat="1" applyFont="1" applyBorder="1" applyAlignment="1">
      <alignment horizontal="centerContinuous"/>
    </xf>
    <xf numFmtId="164" fontId="26" fillId="0" borderId="4" xfId="20" applyFont="1" applyBorder="1"/>
    <xf numFmtId="164" fontId="26" fillId="0" borderId="5" xfId="20" applyFont="1" applyBorder="1" applyAlignment="1">
      <alignment horizontal="center"/>
    </xf>
    <xf numFmtId="164" fontId="26" fillId="0" borderId="9" xfId="20" quotePrefix="1" applyFont="1" applyBorder="1"/>
    <xf numFmtId="164" fontId="26" fillId="0" borderId="9" xfId="20" applyFont="1" applyBorder="1" applyAlignment="1">
      <alignment horizontal="center"/>
    </xf>
    <xf numFmtId="164" fontId="26" fillId="0" borderId="0" xfId="20" applyFont="1" applyAlignment="1">
      <alignment horizontal="center"/>
    </xf>
    <xf numFmtId="174" fontId="26" fillId="0" borderId="5" xfId="20" applyNumberFormat="1" applyFont="1" applyBorder="1" applyAlignment="1">
      <alignment horizontal="centerContinuous"/>
    </xf>
    <xf numFmtId="164" fontId="26" fillId="0" borderId="9" xfId="20" applyFont="1" applyBorder="1" applyAlignment="1">
      <alignment horizontal="centerContinuous"/>
    </xf>
    <xf numFmtId="164" fontId="26" fillId="0" borderId="6" xfId="20" applyFont="1" applyBorder="1" applyAlignment="1">
      <alignment horizontal="center"/>
    </xf>
    <xf numFmtId="174" fontId="26" fillId="0" borderId="6" xfId="20" applyNumberFormat="1" applyFont="1" applyBorder="1" applyAlignment="1">
      <alignment horizontal="center"/>
    </xf>
    <xf numFmtId="164" fontId="26" fillId="0" borderId="7" xfId="20" applyFont="1" applyBorder="1" applyAlignment="1">
      <alignment horizontal="center"/>
    </xf>
    <xf numFmtId="164" fontId="100" fillId="0" borderId="3" xfId="20" applyFont="1" applyBorder="1" applyAlignment="1">
      <alignment horizontal="left"/>
    </xf>
    <xf numFmtId="164" fontId="26" fillId="0" borderId="3" xfId="20" applyFont="1" applyBorder="1"/>
    <xf numFmtId="37" fontId="26" fillId="0" borderId="3" xfId="20" applyNumberFormat="1" applyFont="1" applyBorder="1"/>
    <xf numFmtId="174" fontId="26" fillId="0" borderId="3" xfId="20" applyNumberFormat="1" applyFont="1" applyBorder="1"/>
    <xf numFmtId="164" fontId="26" fillId="0" borderId="0" xfId="20" applyFont="1" applyAlignment="1">
      <alignment horizontal="left"/>
    </xf>
    <xf numFmtId="173" fontId="26" fillId="0" borderId="4" xfId="2" applyNumberFormat="1" applyFont="1" applyFill="1" applyBorder="1" applyProtection="1"/>
    <xf numFmtId="164" fontId="26" fillId="0" borderId="9" xfId="20" quotePrefix="1" applyFont="1" applyBorder="1" applyAlignment="1">
      <alignment horizontal="left"/>
    </xf>
    <xf numFmtId="37" fontId="26" fillId="0" borderId="9" xfId="20" applyNumberFormat="1" applyFont="1" applyBorder="1"/>
    <xf numFmtId="37" fontId="26" fillId="0" borderId="0" xfId="20" applyNumberFormat="1" applyFont="1"/>
    <xf numFmtId="10" fontId="26" fillId="0" borderId="5" xfId="20" applyNumberFormat="1" applyFont="1" applyBorder="1"/>
    <xf numFmtId="173" fontId="26" fillId="0" borderId="6" xfId="2" applyNumberFormat="1" applyFont="1" applyFill="1" applyBorder="1" applyProtection="1"/>
    <xf numFmtId="164" fontId="100" fillId="0" borderId="3" xfId="20" applyFont="1" applyBorder="1"/>
    <xf numFmtId="164" fontId="100" fillId="0" borderId="8" xfId="20" applyFont="1" applyBorder="1"/>
    <xf numFmtId="37" fontId="100" fillId="0" borderId="9" xfId="20" applyNumberFormat="1" applyFont="1" applyBorder="1"/>
    <xf numFmtId="37" fontId="100" fillId="0" borderId="0" xfId="20" applyNumberFormat="1" applyFont="1"/>
    <xf numFmtId="164" fontId="100" fillId="0" borderId="0" xfId="20" applyFont="1"/>
    <xf numFmtId="174" fontId="26" fillId="0" borderId="0" xfId="20" applyNumberFormat="1" applyFont="1"/>
    <xf numFmtId="164" fontId="26" fillId="0" borderId="0" xfId="51506" applyFont="1"/>
    <xf numFmtId="164" fontId="26" fillId="0" borderId="0" xfId="51499" applyFont="1"/>
    <xf numFmtId="164" fontId="26" fillId="0" borderId="0" xfId="51499" applyFont="1" applyAlignment="1">
      <alignment horizontal="left"/>
    </xf>
    <xf numFmtId="164" fontId="26" fillId="0" borderId="0" xfId="51506" applyFont="1" applyAlignment="1">
      <alignment horizontal="left"/>
    </xf>
    <xf numFmtId="164" fontId="100" fillId="0" borderId="0" xfId="51506" applyFont="1" applyAlignment="1">
      <alignment horizontal="centerContinuous"/>
    </xf>
    <xf numFmtId="164" fontId="26" fillId="0" borderId="0" xfId="51506" applyFont="1" applyAlignment="1">
      <alignment horizontal="centerContinuous"/>
    </xf>
    <xf numFmtId="164" fontId="100" fillId="0" borderId="0" xfId="4" applyFont="1"/>
    <xf numFmtId="164" fontId="26" fillId="0" borderId="0" xfId="51506" applyFont="1" applyAlignment="1">
      <alignment horizontal="center"/>
    </xf>
    <xf numFmtId="164" fontId="26" fillId="0" borderId="0" xfId="51506" applyFont="1" applyAlignment="1">
      <alignment horizontal="right"/>
    </xf>
    <xf numFmtId="164" fontId="26" fillId="0" borderId="1" xfId="51506" applyFont="1" applyBorder="1" applyAlignment="1">
      <alignment horizontal="center"/>
    </xf>
    <xf numFmtId="164" fontId="26" fillId="0" borderId="5" xfId="51506" applyFont="1" applyBorder="1" applyAlignment="1">
      <alignment horizontal="centerContinuous"/>
    </xf>
    <xf numFmtId="164" fontId="26" fillId="0" borderId="5" xfId="51506" applyFont="1" applyBorder="1" applyAlignment="1">
      <alignment horizontal="center"/>
    </xf>
    <xf numFmtId="1" fontId="26" fillId="0" borderId="0" xfId="51506" applyNumberFormat="1" applyFont="1" applyAlignment="1">
      <alignment horizontal="center"/>
    </xf>
    <xf numFmtId="208" fontId="26" fillId="0" borderId="0" xfId="51506" applyNumberFormat="1" applyFont="1" applyAlignment="1">
      <alignment horizontal="center"/>
    </xf>
    <xf numFmtId="202" fontId="26" fillId="0" borderId="0" xfId="51506" applyNumberFormat="1" applyFont="1" applyAlignment="1">
      <alignment horizontal="center"/>
    </xf>
    <xf numFmtId="7" fontId="26" fillId="0" borderId="0" xfId="51506" applyNumberFormat="1" applyFont="1"/>
    <xf numFmtId="7" fontId="26" fillId="0" borderId="0" xfId="51506" applyNumberFormat="1" applyFont="1" applyAlignment="1">
      <alignment horizontal="center"/>
    </xf>
    <xf numFmtId="209" fontId="26" fillId="0" borderId="0" xfId="51506" applyNumberFormat="1" applyFont="1" applyAlignment="1">
      <alignment horizontal="center"/>
    </xf>
    <xf numFmtId="10" fontId="26" fillId="0" borderId="0" xfId="51506" applyNumberFormat="1" applyFont="1"/>
    <xf numFmtId="165" fontId="26" fillId="0" borderId="0" xfId="51506" applyNumberFormat="1" applyFont="1"/>
    <xf numFmtId="3" fontId="26" fillId="0" borderId="0" xfId="51506" applyNumberFormat="1" applyFont="1" applyAlignment="1">
      <alignment horizontal="center"/>
    </xf>
    <xf numFmtId="164" fontId="28" fillId="0" borderId="0" xfId="0" applyFont="1"/>
    <xf numFmtId="164" fontId="88" fillId="0" borderId="0" xfId="0" applyFont="1"/>
    <xf numFmtId="164" fontId="91" fillId="45" borderId="0" xfId="0" applyFont="1" applyFill="1" applyAlignment="1">
      <alignment horizontal="center"/>
    </xf>
    <xf numFmtId="164" fontId="28" fillId="0" borderId="1" xfId="0" applyFont="1" applyBorder="1" applyAlignment="1">
      <alignment horizontal="center"/>
    </xf>
    <xf numFmtId="164" fontId="28" fillId="0" borderId="1" xfId="0" applyFont="1" applyBorder="1" applyAlignment="1">
      <alignment horizontal="center" vertical="center" wrapText="1"/>
    </xf>
    <xf numFmtId="164" fontId="28" fillId="0" borderId="1" xfId="0" applyFont="1" applyBorder="1" applyAlignment="1">
      <alignment horizontal="center" wrapText="1"/>
    </xf>
    <xf numFmtId="164" fontId="88" fillId="0" borderId="0" xfId="0" applyFont="1" applyAlignment="1">
      <alignment horizontal="right"/>
    </xf>
    <xf numFmtId="10" fontId="88" fillId="0" borderId="0" xfId="0" applyNumberFormat="1" applyFont="1"/>
    <xf numFmtId="164" fontId="100" fillId="0" borderId="0" xfId="51499" applyFont="1" applyAlignment="1">
      <alignment horizontal="center"/>
    </xf>
    <xf numFmtId="164" fontId="28" fillId="0" borderId="41" xfId="0" applyFont="1" applyFill="1" applyBorder="1"/>
    <xf numFmtId="164" fontId="28" fillId="0" borderId="41" xfId="0" applyFont="1" applyFill="1" applyBorder="1" applyAlignment="1">
      <alignment horizontal="center"/>
    </xf>
    <xf numFmtId="164" fontId="91" fillId="46" borderId="0" xfId="0" applyFont="1" applyFill="1" applyAlignment="1">
      <alignment horizontal="center"/>
    </xf>
    <xf numFmtId="10" fontId="88" fillId="0" borderId="0" xfId="14" applyNumberFormat="1" applyFont="1"/>
    <xf numFmtId="164" fontId="100" fillId="0" borderId="0" xfId="51499" applyFont="1"/>
    <xf numFmtId="164" fontId="30" fillId="0" borderId="0" xfId="33" applyNumberFormat="1" applyFill="1"/>
    <xf numFmtId="49" fontId="30" fillId="0" borderId="0" xfId="33" applyNumberFormat="1" applyFill="1" applyAlignment="1">
      <alignment horizontal="center"/>
    </xf>
    <xf numFmtId="164" fontId="30" fillId="0" borderId="0" xfId="33" applyNumberFormat="1" applyFill="1" applyAlignment="1">
      <alignment horizontal="center"/>
    </xf>
    <xf numFmtId="164" fontId="0" fillId="0" borderId="0" xfId="0" applyAlignment="1">
      <alignment horizontal="center"/>
    </xf>
    <xf numFmtId="164" fontId="16" fillId="0" borderId="0" xfId="51499"/>
    <xf numFmtId="164" fontId="26" fillId="0" borderId="59" xfId="51499" applyFont="1" applyBorder="1"/>
    <xf numFmtId="164" fontId="26" fillId="0" borderId="62" xfId="51499" applyFont="1" applyBorder="1"/>
    <xf numFmtId="164" fontId="26" fillId="0" borderId="63" xfId="51499" applyFont="1" applyBorder="1"/>
    <xf numFmtId="164" fontId="26" fillId="0" borderId="64" xfId="51499" applyFont="1" applyBorder="1"/>
    <xf numFmtId="164" fontId="26" fillId="0" borderId="9" xfId="51499" applyFont="1" applyBorder="1"/>
    <xf numFmtId="205" fontId="26" fillId="0" borderId="0" xfId="51499" applyNumberFormat="1" applyFont="1"/>
    <xf numFmtId="205" fontId="16" fillId="0" borderId="0" xfId="51499" applyNumberFormat="1"/>
    <xf numFmtId="164" fontId="26" fillId="0" borderId="12" xfId="51499" applyFont="1" applyBorder="1"/>
    <xf numFmtId="164" fontId="26" fillId="0" borderId="15" xfId="51499" applyFont="1" applyBorder="1"/>
    <xf numFmtId="164" fontId="26" fillId="0" borderId="13" xfId="51499" applyFont="1" applyBorder="1"/>
    <xf numFmtId="164" fontId="26" fillId="0" borderId="1" xfId="51499" applyFont="1" applyBorder="1"/>
    <xf numFmtId="164" fontId="26" fillId="0" borderId="65" xfId="51499" applyFont="1" applyBorder="1"/>
    <xf numFmtId="164" fontId="26" fillId="0" borderId="60" xfId="51499" applyFont="1" applyBorder="1"/>
    <xf numFmtId="168" fontId="26" fillId="0" borderId="58" xfId="51501" quotePrefix="1" applyNumberFormat="1" applyFont="1" applyFill="1" applyBorder="1" applyAlignment="1">
      <alignment horizontal="center"/>
    </xf>
    <xf numFmtId="168" fontId="26" fillId="0" borderId="60" xfId="51501" quotePrefix="1" applyNumberFormat="1" applyFont="1" applyFill="1" applyBorder="1" applyAlignment="1">
      <alignment horizontal="center"/>
    </xf>
    <xf numFmtId="164" fontId="26" fillId="0" borderId="58" xfId="51499" applyFont="1" applyBorder="1" applyAlignment="1">
      <alignment horizontal="center"/>
    </xf>
    <xf numFmtId="168" fontId="26" fillId="0" borderId="63" xfId="51501" applyNumberFormat="1" applyFont="1" applyFill="1" applyBorder="1"/>
    <xf numFmtId="164" fontId="26" fillId="0" borderId="5" xfId="51499" applyFont="1" applyBorder="1"/>
    <xf numFmtId="164" fontId="26" fillId="0" borderId="12" xfId="51499" quotePrefix="1" applyFont="1" applyBorder="1"/>
    <xf numFmtId="207" fontId="26" fillId="0" borderId="12" xfId="51502" applyNumberFormat="1" applyFont="1" applyFill="1" applyBorder="1"/>
    <xf numFmtId="9" fontId="26" fillId="0" borderId="5" xfId="51502" applyFont="1" applyFill="1" applyBorder="1"/>
    <xf numFmtId="164" fontId="100" fillId="0" borderId="12" xfId="51499" applyFont="1" applyBorder="1"/>
    <xf numFmtId="164" fontId="100" fillId="0" borderId="9" xfId="51499" applyFont="1" applyBorder="1"/>
    <xf numFmtId="168" fontId="16" fillId="0" borderId="0" xfId="51499" applyNumberFormat="1"/>
    <xf numFmtId="174" fontId="16" fillId="0" borderId="0" xfId="51499" applyNumberFormat="1"/>
    <xf numFmtId="172" fontId="100" fillId="0" borderId="5" xfId="51500" applyNumberFormat="1" applyFont="1" applyFill="1" applyBorder="1"/>
    <xf numFmtId="168" fontId="26" fillId="0" borderId="5" xfId="51499" applyNumberFormat="1" applyFont="1" applyBorder="1"/>
    <xf numFmtId="168" fontId="26" fillId="0" borderId="6" xfId="1" applyNumberFormat="1" applyFont="1" applyFill="1" applyBorder="1"/>
    <xf numFmtId="164" fontId="88" fillId="0" borderId="0" xfId="51499" applyFont="1"/>
    <xf numFmtId="205" fontId="28" fillId="0" borderId="0" xfId="51499" applyNumberFormat="1" applyFont="1"/>
    <xf numFmtId="164" fontId="26" fillId="0" borderId="0" xfId="51499" quotePrefix="1" applyFont="1" applyAlignment="1">
      <alignment horizontal="left"/>
    </xf>
    <xf numFmtId="164" fontId="100" fillId="0" borderId="0" xfId="51499" applyFont="1" applyAlignment="1">
      <alignment horizontal="centerContinuous"/>
    </xf>
    <xf numFmtId="164" fontId="26" fillId="0" borderId="0" xfId="51499" applyFont="1" applyAlignment="1">
      <alignment horizontal="centerContinuous"/>
    </xf>
    <xf numFmtId="174" fontId="26" fillId="0" borderId="0" xfId="51499" applyNumberFormat="1" applyFont="1" applyAlignment="1">
      <alignment horizontal="centerContinuous"/>
    </xf>
    <xf numFmtId="164" fontId="104" fillId="0" borderId="0" xfId="51499" applyFont="1" applyAlignment="1">
      <alignment horizontal="centerContinuous"/>
    </xf>
    <xf numFmtId="174" fontId="26" fillId="0" borderId="0" xfId="51499" applyNumberFormat="1" applyFont="1"/>
    <xf numFmtId="164" fontId="26" fillId="0" borderId="62" xfId="51499" applyFont="1" applyBorder="1" applyAlignment="1">
      <alignment horizontal="center"/>
    </xf>
    <xf numFmtId="164" fontId="26" fillId="0" borderId="63" xfId="51499" applyFont="1" applyBorder="1" applyAlignment="1">
      <alignment horizontal="center"/>
    </xf>
    <xf numFmtId="174" fontId="26" fillId="0" borderId="62" xfId="51499" applyNumberFormat="1" applyFont="1" applyBorder="1" applyAlignment="1">
      <alignment horizontal="centerContinuous"/>
    </xf>
    <xf numFmtId="164" fontId="26" fillId="0" borderId="63" xfId="20" applyFont="1" applyBorder="1"/>
    <xf numFmtId="164" fontId="26" fillId="0" borderId="5" xfId="51499" applyFont="1" applyBorder="1" applyAlignment="1">
      <alignment horizontal="left"/>
    </xf>
    <xf numFmtId="164" fontId="26" fillId="0" borderId="9" xfId="51499" quotePrefix="1" applyFont="1" applyBorder="1"/>
    <xf numFmtId="164" fontId="26" fillId="0" borderId="9" xfId="51499" applyFont="1" applyBorder="1" applyAlignment="1">
      <alignment horizontal="center"/>
    </xf>
    <xf numFmtId="164" fontId="26" fillId="0" borderId="5" xfId="51499" applyFont="1" applyBorder="1" applyAlignment="1">
      <alignment horizontal="center"/>
    </xf>
    <xf numFmtId="164" fontId="26" fillId="0" borderId="0" xfId="51499" applyFont="1" applyAlignment="1">
      <alignment horizontal="center"/>
    </xf>
    <xf numFmtId="174" fontId="26" fillId="0" borderId="9" xfId="51499" applyNumberFormat="1" applyFont="1" applyBorder="1" applyAlignment="1">
      <alignment horizontal="centerContinuous"/>
    </xf>
    <xf numFmtId="164" fontId="26" fillId="0" borderId="9" xfId="51499" applyFont="1" applyBorder="1" applyAlignment="1">
      <alignment horizontal="centerContinuous"/>
    </xf>
    <xf numFmtId="174" fontId="26" fillId="0" borderId="9" xfId="51499" applyNumberFormat="1" applyFont="1" applyBorder="1" applyAlignment="1">
      <alignment horizontal="center"/>
    </xf>
    <xf numFmtId="164" fontId="100" fillId="0" borderId="59" xfId="51499" applyFont="1" applyBorder="1" applyAlignment="1">
      <alignment horizontal="left"/>
    </xf>
    <xf numFmtId="164" fontId="26" fillId="0" borderId="58" xfId="51499" applyFont="1" applyBorder="1"/>
    <xf numFmtId="37" fontId="26" fillId="0" borderId="58" xfId="51499" applyNumberFormat="1" applyFont="1" applyBorder="1"/>
    <xf numFmtId="174" fontId="26" fillId="0" borderId="9" xfId="51499" applyNumberFormat="1" applyFont="1" applyBorder="1"/>
    <xf numFmtId="164" fontId="26" fillId="0" borderId="9" xfId="51499" quotePrefix="1" applyFont="1" applyBorder="1" applyAlignment="1">
      <alignment horizontal="left"/>
    </xf>
    <xf numFmtId="37" fontId="26" fillId="0" borderId="9" xfId="51499" applyNumberFormat="1" applyFont="1" applyBorder="1"/>
    <xf numFmtId="37" fontId="26" fillId="0" borderId="5" xfId="51499" applyNumberFormat="1" applyFont="1" applyBorder="1"/>
    <xf numFmtId="39" fontId="26" fillId="0" borderId="9" xfId="51499" applyNumberFormat="1" applyFont="1" applyBorder="1"/>
    <xf numFmtId="10" fontId="26" fillId="0" borderId="5" xfId="51499" applyNumberFormat="1" applyFont="1" applyBorder="1"/>
    <xf numFmtId="164" fontId="26" fillId="0" borderId="59" xfId="51499" applyFont="1" applyBorder="1" applyAlignment="1">
      <alignment horizontal="left"/>
    </xf>
    <xf numFmtId="37" fontId="26" fillId="0" borderId="60" xfId="51499" applyNumberFormat="1" applyFont="1" applyBorder="1"/>
    <xf numFmtId="37" fontId="26" fillId="0" borderId="59" xfId="51499" applyNumberFormat="1" applyFont="1" applyBorder="1"/>
    <xf numFmtId="174" fontId="26" fillId="0" borderId="58" xfId="51499" applyNumberFormat="1" applyFont="1" applyBorder="1"/>
    <xf numFmtId="10" fontId="26" fillId="0" borderId="58" xfId="51499" applyNumberFormat="1" applyFont="1" applyBorder="1"/>
    <xf numFmtId="164" fontId="100" fillId="0" borderId="1" xfId="51499" applyFont="1" applyBorder="1" applyAlignment="1">
      <alignment horizontal="left"/>
    </xf>
    <xf numFmtId="164" fontId="26" fillId="0" borderId="12" xfId="51499" applyFont="1" applyBorder="1" applyAlignment="1">
      <alignment horizontal="center"/>
    </xf>
    <xf numFmtId="164" fontId="26" fillId="0" borderId="12" xfId="51499" applyFont="1" applyBorder="1" applyAlignment="1">
      <alignment horizontal="left"/>
    </xf>
    <xf numFmtId="168" fontId="26" fillId="0" borderId="63" xfId="51503" applyNumberFormat="1" applyFont="1" applyFill="1" applyBorder="1"/>
    <xf numFmtId="168" fontId="26" fillId="0" borderId="61" xfId="51503" applyNumberFormat="1" applyFont="1" applyFill="1" applyBorder="1" applyProtection="1"/>
    <xf numFmtId="168" fontId="26" fillId="0" borderId="62" xfId="51503" applyNumberFormat="1" applyFont="1" applyFill="1" applyBorder="1"/>
    <xf numFmtId="168" fontId="26" fillId="0" borderId="63" xfId="1" applyNumberFormat="1" applyFont="1" applyFill="1" applyBorder="1" applyProtection="1"/>
    <xf numFmtId="164" fontId="26" fillId="0" borderId="6" xfId="51499" applyFont="1" applyBorder="1" applyAlignment="1">
      <alignment horizontal="center"/>
    </xf>
    <xf numFmtId="164" fontId="100" fillId="0" borderId="65" xfId="51499" applyFont="1" applyBorder="1" applyAlignment="1">
      <alignment horizontal="left"/>
    </xf>
    <xf numFmtId="164" fontId="100" fillId="0" borderId="59" xfId="51499" applyFont="1" applyBorder="1"/>
    <xf numFmtId="168" fontId="26" fillId="0" borderId="58" xfId="51503" applyNumberFormat="1" applyFont="1" applyFill="1" applyBorder="1"/>
    <xf numFmtId="168" fontId="26" fillId="0" borderId="65" xfId="51503" applyNumberFormat="1" applyFont="1" applyFill="1" applyBorder="1"/>
    <xf numFmtId="164" fontId="100" fillId="0" borderId="5" xfId="51499" applyFont="1" applyBorder="1"/>
    <xf numFmtId="168" fontId="26" fillId="0" borderId="60" xfId="51503" applyNumberFormat="1" applyFont="1" applyFill="1" applyBorder="1"/>
    <xf numFmtId="172" fontId="100" fillId="0" borderId="58" xfId="51504" applyNumberFormat="1" applyFont="1" applyFill="1" applyBorder="1"/>
    <xf numFmtId="168" fontId="100" fillId="0" borderId="58" xfId="51505" applyNumberFormat="1" applyFont="1" applyFill="1" applyBorder="1"/>
    <xf numFmtId="168" fontId="100" fillId="0" borderId="59" xfId="51503" applyNumberFormat="1" applyFont="1" applyFill="1" applyBorder="1"/>
    <xf numFmtId="164" fontId="26" fillId="0" borderId="65" xfId="51499" applyFont="1" applyBorder="1" applyAlignment="1">
      <alignment horizontal="center"/>
    </xf>
    <xf numFmtId="168" fontId="100" fillId="0" borderId="58" xfId="51503" applyNumberFormat="1" applyFont="1" applyFill="1" applyBorder="1"/>
    <xf numFmtId="168" fontId="100" fillId="0" borderId="65" xfId="51503" applyNumberFormat="1" applyFont="1" applyFill="1" applyBorder="1"/>
    <xf numFmtId="168" fontId="100" fillId="0" borderId="60" xfId="51503" applyNumberFormat="1" applyFont="1" applyFill="1" applyBorder="1"/>
    <xf numFmtId="37" fontId="100" fillId="0" borderId="58" xfId="51499" applyNumberFormat="1" applyFont="1" applyBorder="1"/>
    <xf numFmtId="164" fontId="26" fillId="0" borderId="47" xfId="51506" applyFont="1" applyBorder="1" applyAlignment="1">
      <alignment horizontal="centerContinuous"/>
    </xf>
    <xf numFmtId="164" fontId="26" fillId="0" borderId="47" xfId="51506" applyFont="1" applyBorder="1" applyAlignment="1">
      <alignment horizontal="center"/>
    </xf>
    <xf numFmtId="10" fontId="26" fillId="0" borderId="47" xfId="14" applyNumberFormat="1" applyFont="1" applyFill="1" applyBorder="1" applyAlignment="1" applyProtection="1">
      <alignment horizontal="center"/>
    </xf>
    <xf numFmtId="164" fontId="110" fillId="0" borderId="0" xfId="51506" applyFont="1"/>
    <xf numFmtId="209" fontId="26" fillId="0" borderId="0" xfId="51506" applyNumberFormat="1" applyFont="1"/>
    <xf numFmtId="10" fontId="26" fillId="0" borderId="48" xfId="14" applyNumberFormat="1" applyFont="1" applyFill="1" applyBorder="1" applyAlignment="1" applyProtection="1">
      <alignment horizontal="center"/>
    </xf>
    <xf numFmtId="164" fontId="16" fillId="0" borderId="0" xfId="51499" applyAlignment="1">
      <alignment horizontal="center"/>
    </xf>
    <xf numFmtId="164" fontId="16" fillId="0" borderId="0" xfId="51499" applyAlignment="1">
      <alignment horizontal="left"/>
    </xf>
    <xf numFmtId="164" fontId="23" fillId="0" borderId="0" xfId="51499" applyFont="1" applyAlignment="1">
      <alignment horizontal="centerContinuous"/>
    </xf>
    <xf numFmtId="164" fontId="26" fillId="0" borderId="0" xfId="51499" quotePrefix="1" applyFont="1" applyAlignment="1">
      <alignment horizontal="center"/>
    </xf>
    <xf numFmtId="164" fontId="16" fillId="0" borderId="0" xfId="51499" quotePrefix="1" applyAlignment="1">
      <alignment horizontal="center"/>
    </xf>
    <xf numFmtId="164" fontId="101" fillId="0" borderId="0" xfId="51499" applyFont="1" applyAlignment="1">
      <alignment horizontal="center"/>
    </xf>
    <xf numFmtId="164" fontId="101" fillId="0" borderId="0" xfId="51499" applyFont="1" applyAlignment="1">
      <alignment horizontal="left"/>
    </xf>
    <xf numFmtId="164" fontId="102" fillId="0" borderId="0" xfId="51499" applyFont="1"/>
    <xf numFmtId="164" fontId="99" fillId="0" borderId="0" xfId="51499" applyFont="1" applyAlignment="1">
      <alignment horizontal="center"/>
    </xf>
    <xf numFmtId="49" fontId="26" fillId="0" borderId="0" xfId="51499" applyNumberFormat="1" applyFont="1" applyAlignment="1">
      <alignment horizontal="center"/>
    </xf>
    <xf numFmtId="165" fontId="16" fillId="0" borderId="0" xfId="51499" applyNumberFormat="1"/>
    <xf numFmtId="164" fontId="101" fillId="0" borderId="0" xfId="51499" applyFont="1"/>
    <xf numFmtId="174" fontId="26" fillId="0" borderId="12" xfId="51499" applyNumberFormat="1" applyFont="1" applyBorder="1"/>
    <xf numFmtId="10" fontId="26" fillId="0" borderId="9" xfId="51502" applyNumberFormat="1" applyFont="1" applyFill="1" applyBorder="1" applyProtection="1"/>
    <xf numFmtId="174" fontId="26" fillId="0" borderId="1" xfId="51504" applyNumberFormat="1" applyFont="1" applyFill="1" applyBorder="1" applyProtection="1"/>
    <xf numFmtId="174" fontId="26" fillId="0" borderId="63" xfId="51504" applyNumberFormat="1" applyFont="1" applyFill="1" applyBorder="1"/>
    <xf numFmtId="44" fontId="26" fillId="0" borderId="0" xfId="51507" applyFont="1" applyFill="1"/>
    <xf numFmtId="10" fontId="26" fillId="0" borderId="0" xfId="14" applyNumberFormat="1" applyFont="1" applyFill="1"/>
    <xf numFmtId="165" fontId="26" fillId="0" borderId="0" xfId="51499" applyNumberFormat="1" applyFont="1"/>
    <xf numFmtId="166" fontId="26" fillId="0" borderId="0" xfId="51499" applyNumberFormat="1" applyFont="1"/>
    <xf numFmtId="166" fontId="16" fillId="0" borderId="0" xfId="51499" applyNumberFormat="1"/>
    <xf numFmtId="165" fontId="26" fillId="0" borderId="57" xfId="51499" applyNumberFormat="1" applyFont="1" applyBorder="1"/>
    <xf numFmtId="39" fontId="111" fillId="0" borderId="19" xfId="5867" applyFont="1" applyBorder="1" applyAlignment="1">
      <alignment horizontal="left"/>
    </xf>
    <xf numFmtId="39" fontId="111" fillId="0" borderId="0" xfId="5867" applyFont="1"/>
    <xf numFmtId="39" fontId="111" fillId="0" borderId="0" xfId="5867" applyFont="1" applyAlignment="1">
      <alignment horizontal="center"/>
    </xf>
    <xf numFmtId="39" fontId="111" fillId="0" borderId="0" xfId="5867" applyFont="1" applyAlignment="1">
      <alignment horizontal="left"/>
    </xf>
    <xf numFmtId="39" fontId="111" fillId="0" borderId="68" xfId="5867" applyFont="1" applyBorder="1" applyAlignment="1">
      <alignment horizontal="left" vertical="top"/>
    </xf>
    <xf numFmtId="39" fontId="111" fillId="0" borderId="0" xfId="5867" applyFont="1" applyAlignment="1">
      <alignment horizontal="left" vertical="top"/>
    </xf>
    <xf numFmtId="39" fontId="111" fillId="0" borderId="0" xfId="5867" applyFont="1" applyAlignment="1">
      <alignment horizontal="left" wrapText="1"/>
    </xf>
    <xf numFmtId="39" fontId="114" fillId="0" borderId="1" xfId="5867" applyFont="1" applyBorder="1" applyAlignment="1">
      <alignment horizontal="center" wrapText="1"/>
    </xf>
    <xf numFmtId="39" fontId="114" fillId="0" borderId="0" xfId="5867" applyFont="1" applyAlignment="1">
      <alignment horizontal="center" wrapText="1"/>
    </xf>
    <xf numFmtId="43" fontId="112" fillId="0" borderId="0" xfId="5862" applyFont="1" applyFill="1"/>
    <xf numFmtId="43" fontId="111" fillId="0" borderId="0" xfId="5862" applyFont="1" applyFill="1"/>
    <xf numFmtId="39" fontId="111" fillId="0" borderId="0" xfId="51510" applyNumberFormat="1" applyFont="1" applyAlignment="1">
      <alignment horizontal="fill"/>
    </xf>
    <xf numFmtId="39" fontId="111" fillId="0" borderId="0" xfId="51510" applyNumberFormat="1" applyFont="1"/>
    <xf numFmtId="17" fontId="111" fillId="0" borderId="0" xfId="51510" applyNumberFormat="1" applyFont="1"/>
    <xf numFmtId="39" fontId="111" fillId="0" borderId="0" xfId="51510" applyNumberFormat="1" applyFont="1" applyAlignment="1">
      <alignment horizontal="center"/>
    </xf>
    <xf numFmtId="37" fontId="111" fillId="0" borderId="0" xfId="51510" applyNumberFormat="1" applyFont="1"/>
    <xf numFmtId="0" fontId="112" fillId="0" borderId="0" xfId="51510" applyFont="1"/>
    <xf numFmtId="39" fontId="112" fillId="0" borderId="0" xfId="51510" applyNumberFormat="1" applyFont="1"/>
    <xf numFmtId="164" fontId="115" fillId="0" borderId="0" xfId="0" applyFont="1" applyAlignment="1">
      <alignment vertical="center"/>
    </xf>
    <xf numFmtId="164" fontId="12" fillId="0" borderId="0" xfId="0" applyFont="1"/>
    <xf numFmtId="164" fontId="107" fillId="0" borderId="0" xfId="0" applyFont="1" applyAlignment="1">
      <alignment vertical="center" wrapText="1"/>
    </xf>
    <xf numFmtId="164" fontId="0" fillId="0" borderId="52" xfId="0" applyBorder="1"/>
    <xf numFmtId="164" fontId="0" fillId="0" borderId="55" xfId="0" applyBorder="1"/>
    <xf numFmtId="164" fontId="0" fillId="0" borderId="53" xfId="0" applyBorder="1"/>
    <xf numFmtId="164" fontId="0" fillId="0" borderId="12" xfId="0" applyBorder="1"/>
    <xf numFmtId="164" fontId="0" fillId="0" borderId="9" xfId="0" applyBorder="1"/>
    <xf numFmtId="164" fontId="26" fillId="0" borderId="52" xfId="0" applyFont="1" applyBorder="1"/>
    <xf numFmtId="164" fontId="26" fillId="0" borderId="55" xfId="0" applyFont="1" applyBorder="1"/>
    <xf numFmtId="164" fontId="26" fillId="0" borderId="53" xfId="0" applyFont="1" applyBorder="1"/>
    <xf numFmtId="164" fontId="26" fillId="0" borderId="12" xfId="0" applyFont="1" applyBorder="1"/>
    <xf numFmtId="164" fontId="26" fillId="0" borderId="0" xfId="0" applyFont="1" applyBorder="1"/>
    <xf numFmtId="164" fontId="26" fillId="0" borderId="9" xfId="0" applyFont="1" applyBorder="1"/>
    <xf numFmtId="164" fontId="26" fillId="0" borderId="1" xfId="0" applyFont="1" applyBorder="1"/>
    <xf numFmtId="164" fontId="26" fillId="0" borderId="52" xfId="0" applyFont="1" applyBorder="1" applyAlignment="1">
      <alignment horizontal="center"/>
    </xf>
    <xf numFmtId="164" fontId="26" fillId="0" borderId="55" xfId="0" applyFont="1" applyBorder="1" applyAlignment="1">
      <alignment horizontal="center"/>
    </xf>
    <xf numFmtId="164" fontId="26" fillId="0" borderId="53" xfId="0" applyFont="1" applyBorder="1" applyAlignment="1">
      <alignment horizontal="center"/>
    </xf>
    <xf numFmtId="164" fontId="26" fillId="0" borderId="12" xfId="0" applyFont="1" applyBorder="1" applyAlignment="1">
      <alignment horizontal="center"/>
    </xf>
    <xf numFmtId="164" fontId="26" fillId="0" borderId="0" xfId="0" applyFont="1" applyBorder="1" applyAlignment="1">
      <alignment horizontal="center"/>
    </xf>
    <xf numFmtId="164" fontId="26" fillId="0" borderId="9" xfId="0" applyFont="1" applyBorder="1" applyAlignment="1">
      <alignment horizontal="center"/>
    </xf>
    <xf numFmtId="164" fontId="100" fillId="0" borderId="15" xfId="0" applyFont="1" applyBorder="1"/>
    <xf numFmtId="164" fontId="118" fillId="0" borderId="55" xfId="0" applyFont="1" applyFill="1" applyBorder="1" applyAlignment="1">
      <alignment vertical="center"/>
    </xf>
    <xf numFmtId="164" fontId="26" fillId="0" borderId="0" xfId="0" applyFont="1" applyBorder="1" applyAlignment="1">
      <alignment vertical="center"/>
    </xf>
    <xf numFmtId="164" fontId="100" fillId="0" borderId="0" xfId="51499" applyFont="1" applyFill="1" applyAlignment="1" applyProtection="1">
      <alignment horizontal="center"/>
    </xf>
    <xf numFmtId="164" fontId="28" fillId="0" borderId="0" xfId="0" applyFont="1" applyFill="1" applyAlignment="1">
      <alignment horizontal="center"/>
    </xf>
    <xf numFmtId="3" fontId="28" fillId="0" borderId="0" xfId="1" applyNumberFormat="1" applyFont="1" applyFill="1"/>
    <xf numFmtId="164" fontId="0" fillId="0" borderId="0" xfId="0" applyFill="1"/>
    <xf numFmtId="164" fontId="106" fillId="0" borderId="0" xfId="0" applyFont="1" applyFill="1" applyAlignment="1">
      <alignment horizontal="center"/>
    </xf>
    <xf numFmtId="173" fontId="26" fillId="0" borderId="0" xfId="51500" applyNumberFormat="1" applyFont="1" applyFill="1" applyBorder="1"/>
    <xf numFmtId="172" fontId="88" fillId="0" borderId="1" xfId="0" applyNumberFormat="1" applyFont="1" applyFill="1" applyBorder="1" applyAlignment="1">
      <alignment horizontal="center" wrapText="1"/>
    </xf>
    <xf numFmtId="164" fontId="28" fillId="0" borderId="0" xfId="0" quotePrefix="1" applyFont="1" applyFill="1"/>
    <xf numFmtId="172" fontId="28" fillId="0" borderId="0" xfId="2" applyNumberFormat="1" applyFont="1" applyFill="1" applyProtection="1"/>
    <xf numFmtId="14" fontId="91" fillId="0" borderId="0" xfId="0" applyNumberFormat="1" applyFont="1" applyFill="1" applyAlignment="1">
      <alignment horizontal="centerContinuous"/>
    </xf>
    <xf numFmtId="210" fontId="88" fillId="0" borderId="0" xfId="0" applyNumberFormat="1" applyFont="1" applyFill="1"/>
    <xf numFmtId="10" fontId="91" fillId="0" borderId="0" xfId="14" applyNumberFormat="1" applyFont="1" applyFill="1"/>
    <xf numFmtId="17" fontId="88" fillId="0" borderId="0" xfId="0" quotePrefix="1" applyNumberFormat="1" applyFont="1" applyFill="1" applyAlignment="1" applyProtection="1">
      <alignment horizontal="center"/>
    </xf>
    <xf numFmtId="171" fontId="88" fillId="0" borderId="0" xfId="0" applyNumberFormat="1" applyFont="1" applyFill="1" applyAlignment="1" applyProtection="1">
      <alignment horizontal="center"/>
    </xf>
    <xf numFmtId="14" fontId="88" fillId="0" borderId="1" xfId="0" applyNumberFormat="1" applyFont="1" applyFill="1" applyBorder="1" applyAlignment="1">
      <alignment horizontal="center"/>
    </xf>
    <xf numFmtId="37" fontId="88" fillId="0" borderId="0" xfId="0" applyNumberFormat="1" applyFont="1" applyFill="1" applyAlignment="1" applyProtection="1">
      <alignment horizontal="center"/>
    </xf>
    <xf numFmtId="172" fontId="88" fillId="0" borderId="14" xfId="2" applyNumberFormat="1" applyFont="1" applyFill="1" applyBorder="1"/>
    <xf numFmtId="172" fontId="28" fillId="0" borderId="0" xfId="0" applyNumberFormat="1" applyFont="1" applyFill="1"/>
    <xf numFmtId="14" fontId="88" fillId="0" borderId="0" xfId="0" applyNumberFormat="1" applyFont="1" applyFill="1" applyAlignment="1" applyProtection="1">
      <alignment horizontal="center"/>
    </xf>
    <xf numFmtId="164" fontId="88" fillId="0" borderId="0" xfId="0" applyFont="1" applyFill="1" applyAlignment="1">
      <alignment horizontal="centerContinuous"/>
    </xf>
    <xf numFmtId="17" fontId="28" fillId="0" borderId="1" xfId="0" applyNumberFormat="1" applyFont="1" applyFill="1" applyBorder="1" applyAlignment="1">
      <alignment horizontal="center"/>
    </xf>
    <xf numFmtId="164" fontId="26" fillId="0" borderId="64" xfId="20" applyFont="1" applyFill="1" applyBorder="1"/>
    <xf numFmtId="164" fontId="26" fillId="0" borderId="0" xfId="20" applyFont="1" applyFill="1" applyBorder="1" applyAlignment="1">
      <alignment horizontal="centerContinuous"/>
    </xf>
    <xf numFmtId="164" fontId="26" fillId="0" borderId="59" xfId="20" applyFont="1" applyFill="1" applyBorder="1"/>
    <xf numFmtId="10" fontId="26" fillId="0" borderId="0" xfId="20" applyNumberFormat="1" applyFont="1" applyFill="1" applyBorder="1"/>
    <xf numFmtId="172" fontId="26" fillId="0" borderId="0" xfId="2" applyNumberFormat="1" applyFont="1" applyFill="1" applyBorder="1" applyProtection="1"/>
    <xf numFmtId="172" fontId="100" fillId="0" borderId="65" xfId="2" applyNumberFormat="1" applyFont="1" applyFill="1" applyBorder="1" applyProtection="1"/>
    <xf numFmtId="164" fontId="26" fillId="0" borderId="63" xfId="20" applyFont="1" applyFill="1" applyBorder="1"/>
    <xf numFmtId="164" fontId="26" fillId="0" borderId="5" xfId="20" applyFont="1" applyFill="1" applyBorder="1" applyAlignment="1">
      <alignment horizontal="centerContinuous"/>
    </xf>
    <xf numFmtId="164" fontId="26" fillId="0" borderId="58" xfId="20" applyFont="1" applyFill="1" applyBorder="1"/>
    <xf numFmtId="10" fontId="100" fillId="0" borderId="58" xfId="14" applyNumberFormat="1" applyFont="1" applyFill="1" applyBorder="1" applyProtection="1"/>
    <xf numFmtId="172" fontId="28" fillId="0" borderId="0" xfId="2" applyNumberFormat="1" applyFont="1" applyFill="1" applyAlignment="1" applyProtection="1">
      <alignment horizontal="left"/>
      <protection locked="0"/>
    </xf>
    <xf numFmtId="172" fontId="88" fillId="0" borderId="14" xfId="2" applyNumberFormat="1" applyFont="1" applyFill="1" applyBorder="1" applyProtection="1"/>
    <xf numFmtId="3" fontId="28" fillId="0" borderId="0" xfId="0" applyNumberFormat="1" applyFont="1" applyFill="1"/>
    <xf numFmtId="3" fontId="88" fillId="0" borderId="14" xfId="2" applyNumberFormat="1" applyFont="1" applyFill="1" applyBorder="1" applyProtection="1"/>
    <xf numFmtId="37" fontId="28" fillId="0" borderId="0" xfId="0" applyNumberFormat="1" applyFont="1" applyFill="1"/>
    <xf numFmtId="10" fontId="26" fillId="0" borderId="63" xfId="20" applyNumberFormat="1" applyFont="1" applyBorder="1"/>
    <xf numFmtId="10" fontId="26" fillId="0" borderId="6" xfId="20" applyNumberFormat="1" applyFont="1" applyBorder="1"/>
    <xf numFmtId="10" fontId="100" fillId="0" borderId="6" xfId="20" applyNumberFormat="1" applyFont="1" applyBorder="1"/>
    <xf numFmtId="164" fontId="26" fillId="0" borderId="4" xfId="51506" applyFont="1" applyFill="1" applyBorder="1" applyAlignment="1">
      <alignment horizontal="center"/>
    </xf>
    <xf numFmtId="164" fontId="100" fillId="0" borderId="5" xfId="51506" applyFont="1" applyFill="1" applyBorder="1" applyAlignment="1">
      <alignment horizontal="centerContinuous"/>
    </xf>
    <xf numFmtId="164" fontId="26" fillId="0" borderId="6" xfId="51506" applyFont="1" applyFill="1" applyBorder="1" applyAlignment="1">
      <alignment horizontal="centerContinuous"/>
    </xf>
    <xf numFmtId="169" fontId="26" fillId="0" borderId="5" xfId="51502" applyNumberFormat="1" applyFont="1" applyFill="1" applyBorder="1"/>
    <xf numFmtId="169" fontId="26" fillId="0" borderId="12" xfId="51499" applyNumberFormat="1" applyFont="1" applyFill="1" applyBorder="1"/>
    <xf numFmtId="169" fontId="26" fillId="0" borderId="9" xfId="51502" applyNumberFormat="1" applyFont="1" applyFill="1" applyBorder="1"/>
    <xf numFmtId="207" fontId="26" fillId="0" borderId="0" xfId="51499" applyNumberFormat="1" applyFont="1" applyFill="1" applyBorder="1"/>
    <xf numFmtId="17" fontId="111" fillId="0" borderId="0" xfId="51510" applyNumberFormat="1" applyFont="1" applyFill="1"/>
    <xf numFmtId="39" fontId="111" fillId="0" borderId="0" xfId="51510" applyNumberFormat="1" applyFont="1" applyFill="1" applyAlignment="1">
      <alignment horizontal="center"/>
    </xf>
    <xf numFmtId="39" fontId="111" fillId="0" borderId="0" xfId="5867" applyFont="1" applyFill="1"/>
    <xf numFmtId="37" fontId="111" fillId="0" borderId="0" xfId="51510" applyNumberFormat="1" applyFont="1" applyFill="1"/>
    <xf numFmtId="39" fontId="111" fillId="0" borderId="0" xfId="51510" applyNumberFormat="1" applyFont="1" applyFill="1"/>
    <xf numFmtId="39" fontId="112" fillId="0" borderId="0" xfId="51510" applyNumberFormat="1" applyFont="1" applyFill="1"/>
    <xf numFmtId="39" fontId="111" fillId="0" borderId="0" xfId="5867" applyFont="1" applyFill="1" applyAlignment="1">
      <alignment horizontal="center"/>
    </xf>
    <xf numFmtId="164" fontId="26" fillId="0" borderId="58" xfId="51499" quotePrefix="1" applyFont="1" applyFill="1" applyBorder="1" applyAlignment="1">
      <alignment horizontal="center"/>
    </xf>
    <xf numFmtId="164" fontId="26" fillId="0" borderId="59" xfId="51499" applyFont="1" applyFill="1" applyBorder="1"/>
    <xf numFmtId="164" fontId="26" fillId="0" borderId="60" xfId="51499" quotePrefix="1" applyFont="1" applyFill="1" applyBorder="1" applyAlignment="1">
      <alignment horizontal="center"/>
    </xf>
    <xf numFmtId="164" fontId="26" fillId="0" borderId="61" xfId="51499" applyFont="1" applyFill="1" applyBorder="1"/>
    <xf numFmtId="164" fontId="26" fillId="0" borderId="62" xfId="51499" applyFont="1" applyFill="1" applyBorder="1"/>
    <xf numFmtId="164" fontId="26" fillId="0" borderId="63" xfId="51499" applyFont="1" applyFill="1" applyBorder="1"/>
    <xf numFmtId="164" fontId="26" fillId="0" borderId="64" xfId="51499" applyFont="1" applyFill="1" applyBorder="1"/>
    <xf numFmtId="164" fontId="26" fillId="0" borderId="65" xfId="51499" applyFont="1" applyFill="1" applyBorder="1"/>
    <xf numFmtId="164" fontId="26" fillId="0" borderId="60" xfId="51499" applyFont="1" applyFill="1" applyBorder="1"/>
    <xf numFmtId="164" fontId="26" fillId="0" borderId="60" xfId="51499" applyFont="1" applyFill="1" applyBorder="1" applyAlignment="1">
      <alignment horizontal="center"/>
    </xf>
    <xf numFmtId="164" fontId="26" fillId="0" borderId="58" xfId="51499" applyFont="1" applyFill="1" applyBorder="1" applyAlignment="1">
      <alignment horizontal="center"/>
    </xf>
    <xf numFmtId="203" fontId="26" fillId="0" borderId="12" xfId="51501" applyNumberFormat="1" applyFont="1" applyFill="1" applyBorder="1"/>
    <xf numFmtId="164" fontId="26" fillId="0" borderId="46" xfId="51506" applyFont="1" applyFill="1" applyBorder="1" applyAlignment="1">
      <alignment horizontal="center"/>
    </xf>
    <xf numFmtId="14" fontId="26" fillId="0" borderId="47" xfId="51506" applyNumberFormat="1" applyFont="1" applyFill="1" applyBorder="1" applyAlignment="1">
      <alignment horizontal="center"/>
    </xf>
    <xf numFmtId="164" fontId="100" fillId="0" borderId="47" xfId="51506" applyFont="1" applyFill="1" applyBorder="1" applyAlignment="1">
      <alignment horizontal="centerContinuous"/>
    </xf>
    <xf numFmtId="164" fontId="26" fillId="0" borderId="47" xfId="51506" applyFont="1" applyFill="1" applyBorder="1" applyAlignment="1">
      <alignment horizontal="centerContinuous"/>
    </xf>
    <xf numFmtId="164" fontId="26" fillId="0" borderId="0" xfId="51499" quotePrefix="1" applyFont="1" applyFill="1" applyAlignment="1">
      <alignment horizontal="left"/>
    </xf>
    <xf numFmtId="165" fontId="26" fillId="0" borderId="0" xfId="51499" applyNumberFormat="1" applyFont="1" applyFill="1"/>
    <xf numFmtId="205" fontId="26" fillId="0" borderId="9" xfId="0" applyNumberFormat="1" applyFont="1" applyFill="1" applyBorder="1" applyAlignment="1">
      <alignment horizontal="center"/>
    </xf>
    <xf numFmtId="205" fontId="26" fillId="0" borderId="12" xfId="0" applyNumberFormat="1" applyFont="1" applyFill="1" applyBorder="1" applyAlignment="1">
      <alignment horizontal="center"/>
    </xf>
    <xf numFmtId="205" fontId="26" fillId="0" borderId="0" xfId="0" applyNumberFormat="1" applyFont="1" applyFill="1" applyBorder="1" applyAlignment="1">
      <alignment horizontal="center"/>
    </xf>
    <xf numFmtId="205" fontId="26" fillId="0" borderId="12" xfId="0" applyNumberFormat="1" applyFont="1" applyFill="1" applyBorder="1"/>
    <xf numFmtId="164" fontId="26" fillId="0" borderId="1" xfId="0" applyFont="1" applyFill="1" applyBorder="1"/>
    <xf numFmtId="205" fontId="26" fillId="0" borderId="15" xfId="0" applyNumberFormat="1" applyFont="1" applyFill="1" applyBorder="1" applyAlignment="1">
      <alignment horizontal="center"/>
    </xf>
    <xf numFmtId="205" fontId="26" fillId="0" borderId="1" xfId="0" applyNumberFormat="1" applyFont="1" applyFill="1" applyBorder="1" applyAlignment="1">
      <alignment horizontal="center"/>
    </xf>
    <xf numFmtId="205" fontId="26" fillId="0" borderId="0" xfId="0" applyNumberFormat="1" applyFont="1" applyFill="1" applyBorder="1"/>
    <xf numFmtId="164" fontId="26" fillId="0" borderId="0" xfId="0" applyFont="1" applyFill="1" applyBorder="1" applyAlignment="1">
      <alignment horizontal="center"/>
    </xf>
    <xf numFmtId="164" fontId="26" fillId="0" borderId="9" xfId="0" applyFont="1" applyFill="1" applyBorder="1" applyAlignment="1">
      <alignment horizontal="center"/>
    </xf>
    <xf numFmtId="205" fontId="26" fillId="0" borderId="1" xfId="0" applyNumberFormat="1" applyFont="1" applyFill="1" applyBorder="1"/>
    <xf numFmtId="164" fontId="26" fillId="0" borderId="1" xfId="0" applyFont="1" applyFill="1" applyBorder="1" applyAlignment="1">
      <alignment horizontal="center"/>
    </xf>
    <xf numFmtId="164" fontId="26" fillId="0" borderId="13" xfId="0" applyFont="1" applyFill="1" applyBorder="1" applyAlignment="1">
      <alignment horizontal="center"/>
    </xf>
    <xf numFmtId="205" fontId="26" fillId="0" borderId="9" xfId="0" applyNumberFormat="1" applyFont="1" applyFill="1" applyBorder="1"/>
    <xf numFmtId="205" fontId="26" fillId="0" borderId="15" xfId="0" applyNumberFormat="1" applyFont="1" applyFill="1" applyBorder="1"/>
    <xf numFmtId="205" fontId="26" fillId="0" borderId="13" xfId="0" applyNumberFormat="1" applyFont="1" applyFill="1" applyBorder="1"/>
    <xf numFmtId="10" fontId="26" fillId="0" borderId="6" xfId="14" applyNumberFormat="1" applyFont="1" applyFill="1" applyBorder="1" applyProtection="1"/>
    <xf numFmtId="7" fontId="26" fillId="0" borderId="0" xfId="2" applyNumberFormat="1" applyFont="1" applyFill="1"/>
    <xf numFmtId="164" fontId="100" fillId="0" borderId="0" xfId="51506" applyFont="1" applyFill="1" applyAlignment="1">
      <alignment horizontal="centerContinuous"/>
    </xf>
    <xf numFmtId="43" fontId="26" fillId="0" borderId="0" xfId="1" applyFont="1"/>
    <xf numFmtId="0" fontId="26" fillId="0" borderId="0" xfId="51506" applyNumberFormat="1" applyFont="1" applyFill="1"/>
    <xf numFmtId="43" fontId="100" fillId="0" borderId="0" xfId="1" applyFont="1" applyFill="1" applyBorder="1" applyAlignment="1">
      <alignment horizontal="center" vertical="center" wrapText="1"/>
    </xf>
    <xf numFmtId="43" fontId="26" fillId="0" borderId="0" xfId="1" applyFont="1" applyFill="1" applyAlignment="1">
      <alignment horizontal="center"/>
    </xf>
    <xf numFmtId="211" fontId="28" fillId="0" borderId="0" xfId="0" applyNumberFormat="1" applyFont="1" applyFill="1"/>
    <xf numFmtId="174" fontId="16" fillId="0" borderId="0" xfId="1" applyNumberFormat="1" applyFont="1" applyFill="1"/>
    <xf numFmtId="164" fontId="28" fillId="0" borderId="0" xfId="0" quotePrefix="1" applyFont="1" applyFill="1" applyAlignment="1">
      <alignment horizontal="left"/>
    </xf>
    <xf numFmtId="44" fontId="28" fillId="0" borderId="5" xfId="2" applyFont="1" applyFill="1" applyBorder="1"/>
    <xf numFmtId="44" fontId="28" fillId="0" borderId="0" xfId="2" applyFont="1" applyFill="1" applyBorder="1"/>
    <xf numFmtId="44" fontId="28" fillId="0" borderId="4" xfId="2" applyFont="1" applyFill="1" applyBorder="1"/>
    <xf numFmtId="37" fontId="88" fillId="0" borderId="0" xfId="2" applyNumberFormat="1" applyFont="1" applyFill="1"/>
    <xf numFmtId="176" fontId="88" fillId="0" borderId="0" xfId="14" applyNumberFormat="1" applyFont="1" applyFill="1" applyBorder="1"/>
    <xf numFmtId="168" fontId="88" fillId="0" borderId="0" xfId="1" applyNumberFormat="1" applyFont="1" applyFill="1" applyAlignment="1">
      <alignment horizontal="center"/>
    </xf>
    <xf numFmtId="173" fontId="28" fillId="0" borderId="0" xfId="2" applyNumberFormat="1" applyFont="1"/>
    <xf numFmtId="176" fontId="88" fillId="0" borderId="0" xfId="0" applyNumberFormat="1" applyFont="1" applyFill="1"/>
    <xf numFmtId="172" fontId="28" fillId="0" borderId="14" xfId="2" applyNumberFormat="1" applyFont="1" applyFill="1" applyBorder="1"/>
    <xf numFmtId="44" fontId="88" fillId="0" borderId="64" xfId="2" applyNumberFormat="1" applyFont="1" applyFill="1" applyBorder="1"/>
    <xf numFmtId="44" fontId="28" fillId="0" borderId="0" xfId="2" applyNumberFormat="1" applyFont="1" applyFill="1" applyBorder="1"/>
    <xf numFmtId="3" fontId="118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205" fontId="26" fillId="0" borderId="13" xfId="0" applyNumberFormat="1" applyFont="1" applyFill="1" applyBorder="1" applyAlignment="1">
      <alignment horizontal="center"/>
    </xf>
    <xf numFmtId="164" fontId="100" fillId="0" borderId="15" xfId="0" applyFont="1" applyFill="1" applyBorder="1"/>
    <xf numFmtId="3" fontId="100" fillId="0" borderId="1" xfId="0" applyNumberFormat="1" applyFont="1" applyFill="1" applyBorder="1"/>
    <xf numFmtId="164" fontId="100" fillId="0" borderId="1" xfId="0" applyFont="1" applyFill="1" applyBorder="1"/>
    <xf numFmtId="164" fontId="26" fillId="0" borderId="52" xfId="0" applyFont="1" applyFill="1" applyBorder="1"/>
    <xf numFmtId="164" fontId="26" fillId="0" borderId="55" xfId="0" applyFont="1" applyFill="1" applyBorder="1"/>
    <xf numFmtId="164" fontId="26" fillId="0" borderId="53" xfId="0" applyFont="1" applyFill="1" applyBorder="1"/>
    <xf numFmtId="3" fontId="118" fillId="0" borderId="55" xfId="0" applyNumberFormat="1" applyFont="1" applyFill="1" applyBorder="1" applyAlignment="1">
      <alignment vertical="center"/>
    </xf>
    <xf numFmtId="5" fontId="100" fillId="0" borderId="9" xfId="51500" applyNumberFormat="1" applyFont="1" applyFill="1" applyBorder="1"/>
    <xf numFmtId="174" fontId="26" fillId="0" borderId="0" xfId="51501" applyNumberFormat="1" applyFont="1" applyFill="1"/>
    <xf numFmtId="10" fontId="26" fillId="0" borderId="58" xfId="51502" applyNumberFormat="1" applyFont="1" applyFill="1" applyBorder="1" applyProtection="1"/>
    <xf numFmtId="164" fontId="26" fillId="0" borderId="1" xfId="51506" applyFont="1" applyFill="1" applyBorder="1" applyAlignment="1" applyProtection="1">
      <alignment horizontal="right"/>
    </xf>
    <xf numFmtId="164" fontId="26" fillId="0" borderId="63" xfId="51506" applyFont="1" applyFill="1" applyBorder="1" applyAlignment="1">
      <alignment horizontal="center"/>
    </xf>
    <xf numFmtId="208" fontId="26" fillId="0" borderId="0" xfId="51506" applyNumberFormat="1" applyFont="1" applyFill="1" applyAlignment="1">
      <alignment horizontal="center"/>
    </xf>
    <xf numFmtId="164" fontId="28" fillId="0" borderId="63" xfId="0" applyFont="1" applyFill="1" applyBorder="1" applyAlignment="1" applyProtection="1">
      <alignment horizontal="center" wrapText="1"/>
    </xf>
    <xf numFmtId="0" fontId="26" fillId="0" borderId="63" xfId="3" applyFont="1" applyFill="1" applyBorder="1"/>
    <xf numFmtId="164" fontId="28" fillId="0" borderId="5" xfId="0" applyFont="1" applyFill="1" applyBorder="1" applyAlignment="1" applyProtection="1">
      <alignment horizontal="center"/>
    </xf>
    <xf numFmtId="164" fontId="28" fillId="0" borderId="6" xfId="0" applyFont="1" applyFill="1" applyBorder="1" applyAlignment="1" applyProtection="1">
      <alignment horizontal="center"/>
    </xf>
    <xf numFmtId="173" fontId="100" fillId="0" borderId="12" xfId="51500" applyNumberFormat="1" applyFont="1" applyFill="1" applyBorder="1"/>
    <xf numFmtId="173" fontId="100" fillId="0" borderId="0" xfId="51500" applyNumberFormat="1" applyFont="1" applyFill="1" applyBorder="1"/>
    <xf numFmtId="164" fontId="26" fillId="0" borderId="9" xfId="0" applyFont="1" applyFill="1" applyBorder="1" applyAlignment="1"/>
    <xf numFmtId="205" fontId="26" fillId="0" borderId="13" xfId="0" applyNumberFormat="1" applyFont="1" applyFill="1" applyBorder="1" applyAlignment="1"/>
    <xf numFmtId="174" fontId="26" fillId="0" borderId="0" xfId="51501" applyNumberFormat="1" applyFont="1" applyFill="1" applyBorder="1"/>
    <xf numFmtId="173" fontId="100" fillId="0" borderId="22" xfId="2" applyNumberFormat="1" applyFont="1" applyFill="1" applyBorder="1" applyProtection="1"/>
    <xf numFmtId="164" fontId="26" fillId="0" borderId="66" xfId="0" applyFont="1" applyBorder="1" applyAlignment="1" applyProtection="1">
      <alignment horizontal="center" wrapText="1"/>
    </xf>
    <xf numFmtId="164" fontId="26" fillId="0" borderId="44" xfId="0" applyFont="1" applyBorder="1" applyAlignment="1" applyProtection="1">
      <alignment horizontal="center"/>
    </xf>
    <xf numFmtId="164" fontId="26" fillId="0" borderId="66" xfId="0" applyFont="1" applyBorder="1" applyAlignment="1" applyProtection="1">
      <alignment horizontal="center"/>
    </xf>
    <xf numFmtId="173" fontId="26" fillId="0" borderId="66" xfId="2" applyNumberFormat="1" applyFont="1" applyFill="1" applyBorder="1"/>
    <xf numFmtId="173" fontId="26" fillId="0" borderId="66" xfId="2" applyNumberFormat="1" applyFont="1" applyFill="1" applyBorder="1" applyProtection="1"/>
    <xf numFmtId="173" fontId="100" fillId="0" borderId="24" xfId="2" applyNumberFormat="1" applyFont="1" applyFill="1" applyBorder="1" applyProtection="1"/>
    <xf numFmtId="164" fontId="26" fillId="0" borderId="0" xfId="20" applyFont="1" applyBorder="1" applyAlignment="1">
      <alignment horizontal="center"/>
    </xf>
    <xf numFmtId="0" fontId="26" fillId="0" borderId="62" xfId="3" applyFont="1" applyBorder="1" applyAlignment="1">
      <alignment horizontal="center" wrapText="1"/>
    </xf>
    <xf numFmtId="0" fontId="100" fillId="0" borderId="59" xfId="3" applyFont="1" applyBorder="1" applyAlignment="1">
      <alignment horizontal="left"/>
    </xf>
    <xf numFmtId="0" fontId="26" fillId="0" borderId="0" xfId="3" applyFont="1" applyBorder="1" applyAlignment="1">
      <alignment horizontal="left"/>
    </xf>
    <xf numFmtId="0" fontId="26" fillId="0" borderId="1" xfId="3" applyFont="1" applyBorder="1" applyAlignment="1">
      <alignment horizontal="left"/>
    </xf>
    <xf numFmtId="164" fontId="26" fillId="0" borderId="63" xfId="20" applyFont="1" applyBorder="1" applyAlignment="1">
      <alignment horizontal="center"/>
    </xf>
    <xf numFmtId="0" fontId="28" fillId="0" borderId="5" xfId="3" applyFont="1" applyBorder="1"/>
    <xf numFmtId="7" fontId="26" fillId="0" borderId="0" xfId="51506" applyNumberFormat="1" applyFont="1" applyAlignment="1"/>
    <xf numFmtId="164" fontId="26" fillId="0" borderId="0" xfId="51506" applyFont="1" applyAlignment="1"/>
    <xf numFmtId="7" fontId="26" fillId="0" borderId="0" xfId="51506" applyNumberFormat="1" applyFont="1" applyFill="1" applyAlignment="1" applyProtection="1"/>
    <xf numFmtId="164" fontId="26" fillId="0" borderId="0" xfId="51506" applyFont="1" applyFill="1" applyAlignment="1"/>
    <xf numFmtId="209" fontId="26" fillId="0" borderId="0" xfId="51506" applyNumberFormat="1" applyFont="1" applyAlignment="1"/>
    <xf numFmtId="168" fontId="100" fillId="0" borderId="64" xfId="51503" applyNumberFormat="1" applyFont="1" applyFill="1" applyBorder="1"/>
    <xf numFmtId="164" fontId="100" fillId="0" borderId="58" xfId="51499" applyFont="1" applyBorder="1"/>
    <xf numFmtId="164" fontId="26" fillId="0" borderId="0" xfId="51499" applyFont="1" applyBorder="1"/>
    <xf numFmtId="164" fontId="26" fillId="0" borderId="0" xfId="51499" applyFont="1" applyBorder="1" applyAlignment="1">
      <alignment horizontal="centerContinuous"/>
    </xf>
    <xf numFmtId="164" fontId="26" fillId="0" borderId="0" xfId="51499" applyFont="1" applyBorder="1" applyAlignment="1">
      <alignment horizontal="left"/>
    </xf>
    <xf numFmtId="164" fontId="26" fillId="0" borderId="15" xfId="51499" applyFont="1" applyBorder="1" applyAlignment="1">
      <alignment horizontal="center"/>
    </xf>
    <xf numFmtId="37" fontId="26" fillId="0" borderId="0" xfId="51499" applyNumberFormat="1" applyFont="1" applyBorder="1"/>
    <xf numFmtId="10" fontId="26" fillId="0" borderId="9" xfId="51499" applyNumberFormat="1" applyFont="1" applyBorder="1"/>
    <xf numFmtId="164" fontId="100" fillId="0" borderId="0" xfId="51499" applyFont="1" applyBorder="1"/>
    <xf numFmtId="164" fontId="100" fillId="0" borderId="0" xfId="51499" applyFont="1" applyBorder="1" applyAlignment="1">
      <alignment horizontal="left"/>
    </xf>
    <xf numFmtId="172" fontId="26" fillId="0" borderId="0" xfId="2" applyNumberFormat="1" applyFont="1" applyFill="1" applyBorder="1"/>
    <xf numFmtId="172" fontId="26" fillId="0" borderId="0" xfId="0" applyNumberFormat="1" applyFont="1" applyFill="1" applyBorder="1"/>
    <xf numFmtId="172" fontId="26" fillId="0" borderId="9" xfId="2" applyNumberFormat="1" applyFont="1" applyFill="1" applyBorder="1"/>
    <xf numFmtId="172" fontId="100" fillId="0" borderId="1" xfId="2" applyNumberFormat="1" applyFont="1" applyFill="1" applyBorder="1"/>
    <xf numFmtId="172" fontId="100" fillId="0" borderId="1" xfId="0" applyNumberFormat="1" applyFont="1" applyFill="1" applyBorder="1"/>
    <xf numFmtId="172" fontId="100" fillId="0" borderId="13" xfId="2" applyNumberFormat="1" applyFont="1" applyFill="1" applyBorder="1"/>
    <xf numFmtId="172" fontId="26" fillId="0" borderId="55" xfId="2" applyNumberFormat="1" applyFont="1" applyFill="1" applyBorder="1"/>
    <xf numFmtId="172" fontId="26" fillId="0" borderId="55" xfId="0" applyNumberFormat="1" applyFont="1" applyFill="1" applyBorder="1"/>
    <xf numFmtId="172" fontId="26" fillId="0" borderId="53" xfId="2" applyNumberFormat="1" applyFont="1" applyFill="1" applyBorder="1"/>
    <xf numFmtId="172" fontId="26" fillId="0" borderId="1" xfId="0" applyNumberFormat="1" applyFont="1" applyFill="1" applyBorder="1"/>
    <xf numFmtId="172" fontId="28" fillId="0" borderId="0" xfId="2" applyNumberFormat="1" applyFont="1" applyFill="1" applyBorder="1"/>
    <xf numFmtId="172" fontId="88" fillId="0" borderId="0" xfId="1" applyNumberFormat="1" applyFont="1" applyFill="1"/>
    <xf numFmtId="172" fontId="28" fillId="0" borderId="0" xfId="1" applyNumberFormat="1" applyFont="1" applyFill="1" applyBorder="1"/>
    <xf numFmtId="172" fontId="28" fillId="0" borderId="0" xfId="1" applyNumberFormat="1" applyFont="1" applyFill="1"/>
    <xf numFmtId="172" fontId="88" fillId="0" borderId="0" xfId="2" applyNumberFormat="1" applyFont="1"/>
    <xf numFmtId="44" fontId="28" fillId="0" borderId="0" xfId="2" applyFont="1"/>
    <xf numFmtId="172" fontId="28" fillId="0" borderId="5" xfId="2" applyNumberFormat="1" applyFont="1" applyFill="1" applyBorder="1"/>
    <xf numFmtId="172" fontId="28" fillId="0" borderId="6" xfId="2" applyNumberFormat="1" applyFont="1" applyFill="1" applyBorder="1" applyProtection="1"/>
    <xf numFmtId="172" fontId="88" fillId="0" borderId="10" xfId="2" applyNumberFormat="1" applyFont="1" applyFill="1" applyBorder="1"/>
    <xf numFmtId="172" fontId="28" fillId="0" borderId="5" xfId="2" applyNumberFormat="1" applyFont="1" applyFill="1" applyBorder="1" applyProtection="1"/>
    <xf numFmtId="172" fontId="88" fillId="0" borderId="10" xfId="2" applyNumberFormat="1" applyFont="1" applyFill="1" applyBorder="1" applyProtection="1"/>
    <xf numFmtId="164" fontId="26" fillId="0" borderId="66" xfId="0" applyFont="1" applyFill="1" applyBorder="1" applyAlignment="1" applyProtection="1">
      <alignment horizontal="center" wrapText="1"/>
    </xf>
    <xf numFmtId="164" fontId="26" fillId="0" borderId="44" xfId="0" applyFont="1" applyFill="1" applyBorder="1" applyAlignment="1" applyProtection="1">
      <alignment horizontal="center"/>
    </xf>
    <xf numFmtId="164" fontId="26" fillId="0" borderId="66" xfId="0" applyFont="1" applyFill="1" applyBorder="1" applyAlignment="1" applyProtection="1">
      <alignment horizontal="center"/>
    </xf>
    <xf numFmtId="164" fontId="26" fillId="0" borderId="66" xfId="0" applyFont="1" applyFill="1" applyBorder="1"/>
    <xf numFmtId="173" fontId="100" fillId="0" borderId="66" xfId="2" applyNumberFormat="1" applyFont="1" applyFill="1" applyBorder="1" applyProtection="1"/>
    <xf numFmtId="172" fontId="26" fillId="0" borderId="55" xfId="2" applyNumberFormat="1" applyFont="1" applyBorder="1"/>
    <xf numFmtId="172" fontId="26" fillId="0" borderId="53" xfId="2" applyNumberFormat="1" applyFont="1" applyBorder="1"/>
    <xf numFmtId="172" fontId="26" fillId="0" borderId="0" xfId="2" applyNumberFormat="1" applyFont="1" applyBorder="1"/>
    <xf numFmtId="172" fontId="26" fillId="0" borderId="9" xfId="2" applyNumberFormat="1" applyFont="1" applyBorder="1"/>
    <xf numFmtId="172" fontId="100" fillId="0" borderId="1" xfId="2" applyNumberFormat="1" applyFont="1" applyBorder="1"/>
    <xf numFmtId="10" fontId="26" fillId="0" borderId="0" xfId="14" applyNumberFormat="1" applyFont="1" applyFill="1" applyBorder="1" applyAlignment="1" applyProtection="1">
      <alignment horizontal="center"/>
    </xf>
    <xf numFmtId="164" fontId="28" fillId="0" borderId="73" xfId="0" applyFont="1" applyFill="1" applyBorder="1" applyAlignment="1">
      <alignment horizontal="center" wrapText="1"/>
    </xf>
    <xf numFmtId="173" fontId="88" fillId="0" borderId="0" xfId="2" applyNumberFormat="1" applyFont="1"/>
    <xf numFmtId="172" fontId="88" fillId="0" borderId="6" xfId="2" applyNumberFormat="1" applyFont="1" applyFill="1" applyBorder="1"/>
    <xf numFmtId="164" fontId="100" fillId="47" borderId="56" xfId="0" applyFont="1" applyFill="1" applyBorder="1" applyAlignment="1">
      <alignment horizontal="center"/>
    </xf>
    <xf numFmtId="164" fontId="100" fillId="47" borderId="50" xfId="0" applyFont="1" applyFill="1" applyBorder="1" applyAlignment="1">
      <alignment horizontal="center"/>
    </xf>
    <xf numFmtId="164" fontId="100" fillId="47" borderId="51" xfId="0" applyFont="1" applyFill="1" applyBorder="1" applyAlignment="1">
      <alignment horizontal="center"/>
    </xf>
    <xf numFmtId="164" fontId="107" fillId="0" borderId="12" xfId="0" applyFont="1" applyFill="1" applyBorder="1" applyAlignment="1">
      <alignment horizontal="center" vertical="center"/>
    </xf>
    <xf numFmtId="164" fontId="107" fillId="0" borderId="0" xfId="0" applyFont="1" applyFill="1" applyBorder="1" applyAlignment="1">
      <alignment horizontal="center" vertical="center"/>
    </xf>
    <xf numFmtId="164" fontId="107" fillId="0" borderId="9" xfId="0" applyFont="1" applyFill="1" applyBorder="1" applyAlignment="1">
      <alignment horizontal="center" vertical="center"/>
    </xf>
    <xf numFmtId="164" fontId="116" fillId="0" borderId="12" xfId="0" applyFont="1" applyFill="1" applyBorder="1" applyAlignment="1">
      <alignment horizontal="center" vertical="center"/>
    </xf>
    <xf numFmtId="164" fontId="116" fillId="0" borderId="0" xfId="0" applyFont="1" applyFill="1" applyBorder="1" applyAlignment="1">
      <alignment horizontal="center" vertical="center"/>
    </xf>
    <xf numFmtId="164" fontId="116" fillId="0" borderId="9" xfId="0" applyFont="1" applyFill="1" applyBorder="1" applyAlignment="1">
      <alignment horizontal="center" vertical="center"/>
    </xf>
    <xf numFmtId="164" fontId="117" fillId="0" borderId="12" xfId="0" applyFont="1" applyFill="1" applyBorder="1" applyAlignment="1">
      <alignment horizontal="center" vertical="center"/>
    </xf>
    <xf numFmtId="164" fontId="117" fillId="0" borderId="0" xfId="0" applyFont="1" applyFill="1" applyBorder="1" applyAlignment="1">
      <alignment horizontal="center" vertical="center"/>
    </xf>
    <xf numFmtId="164" fontId="117" fillId="0" borderId="9" xfId="0" applyFont="1" applyFill="1" applyBorder="1" applyAlignment="1">
      <alignment horizontal="center" vertical="center"/>
    </xf>
    <xf numFmtId="164" fontId="26" fillId="0" borderId="12" xfId="0" applyFont="1" applyFill="1" applyBorder="1" applyAlignment="1">
      <alignment horizontal="left" vertical="center"/>
    </xf>
    <xf numFmtId="164" fontId="26" fillId="0" borderId="0" xfId="0" applyFont="1" applyFill="1" applyBorder="1" applyAlignment="1">
      <alignment horizontal="left" vertical="center"/>
    </xf>
    <xf numFmtId="164" fontId="107" fillId="0" borderId="12" xfId="0" applyFont="1" applyBorder="1" applyAlignment="1">
      <alignment horizontal="center" vertical="center"/>
    </xf>
    <xf numFmtId="164" fontId="107" fillId="0" borderId="0" xfId="0" applyFont="1" applyBorder="1" applyAlignment="1">
      <alignment horizontal="center" vertical="center"/>
    </xf>
    <xf numFmtId="164" fontId="107" fillId="0" borderId="9" xfId="0" applyFont="1" applyBorder="1" applyAlignment="1">
      <alignment horizontal="center" vertical="center"/>
    </xf>
    <xf numFmtId="164" fontId="107" fillId="0" borderId="15" xfId="0" applyFont="1" applyBorder="1" applyAlignment="1">
      <alignment horizontal="center" vertical="center"/>
    </xf>
    <xf numFmtId="164" fontId="107" fillId="0" borderId="1" xfId="0" applyFont="1" applyBorder="1" applyAlignment="1">
      <alignment horizontal="center" vertical="center"/>
    </xf>
    <xf numFmtId="164" fontId="107" fillId="0" borderId="13" xfId="0" applyFont="1" applyBorder="1" applyAlignment="1">
      <alignment horizontal="center" vertical="center"/>
    </xf>
    <xf numFmtId="164" fontId="100" fillId="0" borderId="56" xfId="0" applyFont="1" applyBorder="1" applyAlignment="1">
      <alignment horizontal="center"/>
    </xf>
    <xf numFmtId="164" fontId="100" fillId="0" borderId="50" xfId="0" applyFont="1" applyBorder="1" applyAlignment="1">
      <alignment horizontal="center"/>
    </xf>
    <xf numFmtId="164" fontId="100" fillId="0" borderId="51" xfId="0" applyFont="1" applyBorder="1" applyAlignment="1">
      <alignment horizontal="center"/>
    </xf>
    <xf numFmtId="164" fontId="107" fillId="0" borderId="15" xfId="0" applyFont="1" applyFill="1" applyBorder="1" applyAlignment="1">
      <alignment horizontal="center" vertical="center"/>
    </xf>
    <xf numFmtId="164" fontId="107" fillId="0" borderId="1" xfId="0" applyFont="1" applyFill="1" applyBorder="1" applyAlignment="1">
      <alignment horizontal="center" vertical="center"/>
    </xf>
    <xf numFmtId="164" fontId="107" fillId="0" borderId="13" xfId="0" applyFont="1" applyFill="1" applyBorder="1" applyAlignment="1">
      <alignment horizontal="center" vertical="center"/>
    </xf>
    <xf numFmtId="164" fontId="116" fillId="0" borderId="52" xfId="0" applyFont="1" applyFill="1" applyBorder="1" applyAlignment="1">
      <alignment horizontal="center" vertical="center"/>
    </xf>
    <xf numFmtId="164" fontId="116" fillId="0" borderId="55" xfId="0" applyFont="1" applyFill="1" applyBorder="1" applyAlignment="1">
      <alignment horizontal="center" vertical="center"/>
    </xf>
    <xf numFmtId="164" fontId="116" fillId="0" borderId="53" xfId="0" applyFont="1" applyFill="1" applyBorder="1" applyAlignment="1">
      <alignment horizontal="center" vertical="center"/>
    </xf>
    <xf numFmtId="164" fontId="0" fillId="0" borderId="0" xfId="0" applyFill="1" applyAlignment="1">
      <alignment horizontal="center"/>
    </xf>
    <xf numFmtId="164" fontId="26" fillId="0" borderId="12" xfId="0" applyFont="1" applyBorder="1" applyAlignment="1">
      <alignment horizontal="left" vertical="center"/>
    </xf>
    <xf numFmtId="164" fontId="26" fillId="0" borderId="0" xfId="0" applyFont="1" applyBorder="1" applyAlignment="1">
      <alignment horizontal="left" vertical="center"/>
    </xf>
    <xf numFmtId="164" fontId="118" fillId="0" borderId="12" xfId="0" applyFont="1" applyFill="1" applyBorder="1" applyAlignment="1">
      <alignment horizontal="left" vertical="center"/>
    </xf>
    <xf numFmtId="164" fontId="118" fillId="0" borderId="0" xfId="0" applyFont="1" applyFill="1" applyBorder="1" applyAlignment="1">
      <alignment horizontal="left" vertical="center"/>
    </xf>
    <xf numFmtId="164" fontId="118" fillId="0" borderId="52" xfId="0" applyFont="1" applyFill="1" applyBorder="1" applyAlignment="1">
      <alignment horizontal="left" vertical="center"/>
    </xf>
    <xf numFmtId="164" fontId="118" fillId="0" borderId="55" xfId="0" applyFont="1" applyFill="1" applyBorder="1" applyAlignment="1">
      <alignment horizontal="left" vertical="center"/>
    </xf>
    <xf numFmtId="164" fontId="100" fillId="0" borderId="12" xfId="0" applyFont="1" applyBorder="1" applyAlignment="1">
      <alignment horizontal="center"/>
    </xf>
    <xf numFmtId="164" fontId="100" fillId="0" borderId="0" xfId="0" applyFont="1" applyBorder="1" applyAlignment="1">
      <alignment horizontal="center"/>
    </xf>
    <xf numFmtId="164" fontId="100" fillId="0" borderId="9" xfId="0" applyFont="1" applyBorder="1" applyAlignment="1">
      <alignment horizontal="center"/>
    </xf>
    <xf numFmtId="164" fontId="100" fillId="0" borderId="52" xfId="0" applyFont="1" applyFill="1" applyBorder="1" applyAlignment="1">
      <alignment horizontal="center"/>
    </xf>
    <xf numFmtId="164" fontId="100" fillId="0" borderId="55" xfId="0" applyFont="1" applyFill="1" applyBorder="1" applyAlignment="1">
      <alignment horizontal="center"/>
    </xf>
    <xf numFmtId="164" fontId="100" fillId="0" borderId="53" xfId="0" applyFont="1" applyFill="1" applyBorder="1" applyAlignment="1">
      <alignment horizontal="center"/>
    </xf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26" fillId="0" borderId="0" xfId="51506" applyFont="1" applyFill="1" applyAlignment="1">
      <alignment horizontal="left" wrapText="1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19" fillId="0" borderId="70" xfId="0" quotePrefix="1" applyFont="1" applyFill="1" applyBorder="1" applyAlignment="1" applyProtection="1">
      <alignment horizontal="center"/>
    </xf>
    <xf numFmtId="164" fontId="119" fillId="0" borderId="71" xfId="0" applyFont="1" applyFill="1" applyBorder="1" applyAlignment="1" applyProtection="1">
      <alignment horizontal="center"/>
    </xf>
    <xf numFmtId="164" fontId="26" fillId="0" borderId="45" xfId="0" applyFont="1" applyFill="1" applyBorder="1" applyAlignment="1">
      <alignment horizontal="center"/>
    </xf>
    <xf numFmtId="164" fontId="26" fillId="0" borderId="72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6" fillId="0" borderId="15" xfId="20" applyFont="1" applyFill="1" applyBorder="1" applyAlignment="1" applyProtection="1">
      <alignment horizontal="center"/>
    </xf>
    <xf numFmtId="164" fontId="26" fillId="0" borderId="13" xfId="20" applyFont="1" applyFill="1" applyBorder="1" applyAlignment="1" applyProtection="1">
      <alignment horizontal="center"/>
    </xf>
    <xf numFmtId="164" fontId="26" fillId="0" borderId="0" xfId="51506" applyFont="1" applyFill="1" applyAlignment="1">
      <alignment horizontal="center" wrapText="1"/>
    </xf>
    <xf numFmtId="164" fontId="26" fillId="0" borderId="45" xfId="0" applyFont="1" applyBorder="1" applyAlignment="1">
      <alignment horizontal="center"/>
    </xf>
    <xf numFmtId="164" fontId="26" fillId="0" borderId="72" xfId="0" applyFont="1" applyBorder="1" applyAlignment="1">
      <alignment horizontal="center"/>
    </xf>
    <xf numFmtId="164" fontId="100" fillId="0" borderId="0" xfId="0" applyFont="1" applyAlignment="1" applyProtection="1">
      <alignment horizontal="center"/>
    </xf>
    <xf numFmtId="164" fontId="100" fillId="0" borderId="0" xfId="0" applyFont="1" applyAlignment="1">
      <alignment horizontal="center" vertical="center" wrapText="1"/>
    </xf>
    <xf numFmtId="164" fontId="100" fillId="0" borderId="70" xfId="0" quotePrefix="1" applyFont="1" applyBorder="1" applyAlignment="1" applyProtection="1">
      <alignment horizontal="center"/>
    </xf>
    <xf numFmtId="164" fontId="100" fillId="0" borderId="71" xfId="0" applyFont="1" applyBorder="1" applyAlignment="1" applyProtection="1">
      <alignment horizontal="center"/>
    </xf>
    <xf numFmtId="164" fontId="100" fillId="0" borderId="0" xfId="4" applyFont="1" applyAlignment="1">
      <alignment horizontal="center"/>
    </xf>
    <xf numFmtId="164" fontId="100" fillId="0" borderId="0" xfId="20" applyFont="1" applyAlignment="1">
      <alignment horizontal="center"/>
    </xf>
    <xf numFmtId="164" fontId="100" fillId="0" borderId="0" xfId="20" quotePrefix="1" applyFont="1" applyAlignment="1">
      <alignment horizontal="center"/>
    </xf>
    <xf numFmtId="164" fontId="100" fillId="0" borderId="0" xfId="20" quotePrefix="1" applyFont="1" applyFill="1" applyAlignment="1">
      <alignment horizontal="center"/>
    </xf>
    <xf numFmtId="164" fontId="26" fillId="0" borderId="15" xfId="20" applyFont="1" applyBorder="1" applyAlignment="1">
      <alignment horizontal="center"/>
    </xf>
    <xf numFmtId="164" fontId="26" fillId="0" borderId="13" xfId="20" applyFont="1" applyBorder="1" applyAlignment="1">
      <alignment horizontal="center"/>
    </xf>
    <xf numFmtId="174" fontId="100" fillId="0" borderId="0" xfId="51499" quotePrefix="1" applyNumberFormat="1" applyFont="1" applyFill="1" applyAlignment="1">
      <alignment horizontal="center"/>
    </xf>
    <xf numFmtId="174" fontId="100" fillId="0" borderId="0" xfId="51499" applyNumberFormat="1" applyFont="1" applyFill="1" applyAlignment="1">
      <alignment horizontal="center"/>
    </xf>
    <xf numFmtId="39" fontId="111" fillId="0" borderId="18" xfId="5867" applyFont="1" applyBorder="1" applyAlignment="1">
      <alignment horizontal="left"/>
    </xf>
    <xf numFmtId="39" fontId="111" fillId="0" borderId="19" xfId="5867" applyFont="1" applyBorder="1" applyAlignment="1">
      <alignment horizontal="left"/>
    </xf>
    <xf numFmtId="39" fontId="111" fillId="0" borderId="19" xfId="51510" applyNumberFormat="1" applyFont="1" applyBorder="1" applyAlignment="1" applyProtection="1">
      <alignment horizontal="left"/>
      <protection locked="0"/>
    </xf>
    <xf numFmtId="39" fontId="111" fillId="0" borderId="20" xfId="51510" applyNumberFormat="1" applyFont="1" applyBorder="1" applyAlignment="1" applyProtection="1">
      <alignment horizontal="left"/>
      <protection locked="0"/>
    </xf>
    <xf numFmtId="39" fontId="111" fillId="0" borderId="21" xfId="5867" applyFont="1" applyBorder="1" applyAlignment="1">
      <alignment horizontal="left"/>
    </xf>
    <xf numFmtId="39" fontId="111" fillId="0" borderId="0" xfId="5867" applyFont="1" applyAlignment="1">
      <alignment horizontal="left"/>
    </xf>
    <xf numFmtId="39" fontId="111" fillId="0" borderId="0" xfId="51510" applyNumberFormat="1" applyFont="1" applyAlignment="1" applyProtection="1">
      <alignment horizontal="left"/>
      <protection locked="0"/>
    </xf>
    <xf numFmtId="39" fontId="111" fillId="0" borderId="66" xfId="51510" applyNumberFormat="1" applyFont="1" applyBorder="1" applyAlignment="1" applyProtection="1">
      <alignment horizontal="left"/>
      <protection locked="0"/>
    </xf>
    <xf numFmtId="39" fontId="111" fillId="0" borderId="67" xfId="5867" applyFont="1" applyBorder="1" applyAlignment="1">
      <alignment horizontal="left" vertical="top"/>
    </xf>
    <xf numFmtId="39" fontId="111" fillId="0" borderId="68" xfId="5867" applyFont="1" applyBorder="1" applyAlignment="1">
      <alignment horizontal="left" vertical="top"/>
    </xf>
    <xf numFmtId="39" fontId="111" fillId="0" borderId="68" xfId="51510" applyNumberFormat="1" applyFont="1" applyBorder="1" applyAlignment="1">
      <alignment horizontal="left" vertical="top" wrapText="1"/>
    </xf>
    <xf numFmtId="39" fontId="111" fillId="0" borderId="69" xfId="51510" applyNumberFormat="1" applyFont="1" applyBorder="1" applyAlignment="1">
      <alignment horizontal="left" vertical="top" wrapText="1"/>
    </xf>
    <xf numFmtId="39" fontId="113" fillId="0" borderId="0" xfId="5867" applyFont="1" applyAlignment="1">
      <alignment horizontal="center"/>
    </xf>
    <xf numFmtId="39" fontId="111" fillId="0" borderId="0" xfId="51510" applyNumberFormat="1" applyFont="1" applyAlignment="1">
      <alignment horizontal="right"/>
    </xf>
    <xf numFmtId="164" fontId="28" fillId="0" borderId="0" xfId="0" quotePrefix="1" applyFont="1" applyFill="1" applyAlignment="1">
      <alignment horizontal="left"/>
    </xf>
    <xf numFmtId="164" fontId="88" fillId="0" borderId="0" xfId="4" applyFont="1" applyFill="1" applyAlignment="1" applyProtection="1">
      <alignment horizontal="center"/>
    </xf>
    <xf numFmtId="164" fontId="88" fillId="0" borderId="0" xfId="4" applyFont="1" applyFill="1" applyAlignment="1" applyProtection="1">
      <alignment horizontal="right"/>
    </xf>
    <xf numFmtId="164" fontId="88" fillId="0" borderId="0" xfId="0" quotePrefix="1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64" fontId="88" fillId="0" borderId="0" xfId="4" quotePrefix="1" applyFont="1" applyFill="1" applyAlignment="1" applyProtection="1">
      <alignment horizontal="center"/>
    </xf>
    <xf numFmtId="164" fontId="28" fillId="0" borderId="0" xfId="4" applyFont="1" applyFill="1" applyAlignment="1"/>
    <xf numFmtId="164" fontId="88" fillId="0" borderId="0" xfId="0" applyFont="1" applyFill="1" applyBorder="1" applyAlignment="1" applyProtection="1">
      <alignment horizontal="center"/>
    </xf>
  </cellXfs>
  <cellStyles count="51511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20" xfId="51507" xr:uid="{7B6C35F5-1CC1-4CD5-9FB5-EE81A827881A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40" xfId="51509" xr:uid="{F9F5112E-A86D-4F19-800C-370C5173681C}"/>
    <cellStyle name="Normal 2 40 2" xfId="51510" xr:uid="{C70572E0-571F-45D0-8A80-1B5AA35EC8EB}"/>
    <cellStyle name="Normal 2 41" xfId="51508" xr:uid="{AE3D7376-4148-45C4-89BF-0FC2A24FACC1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1" defaultTableStyle="TableStyleMedium9" defaultPivotStyle="PivotStyleLight16">
    <tableStyle name="Invisible" pivot="0" table="0" count="0" xr9:uid="{EEF810D9-6BD6-4EDE-A19B-56E2B12ABF7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63" Type="http://schemas.openxmlformats.org/officeDocument/2006/relationships/externalLink" Target="externalLinks/externalLink33.xml"/><Relationship Id="rId68" Type="http://schemas.openxmlformats.org/officeDocument/2006/relationships/externalLink" Target="externalLinks/externalLink38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74" Type="http://schemas.openxmlformats.org/officeDocument/2006/relationships/externalLink" Target="externalLinks/externalLink44.xml"/><Relationship Id="rId79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64" Type="http://schemas.openxmlformats.org/officeDocument/2006/relationships/externalLink" Target="externalLinks/externalLink34.xml"/><Relationship Id="rId69" Type="http://schemas.openxmlformats.org/officeDocument/2006/relationships/externalLink" Target="externalLinks/externalLink39.xml"/><Relationship Id="rId77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72" Type="http://schemas.openxmlformats.org/officeDocument/2006/relationships/externalLink" Target="externalLinks/externalLink42.xml"/><Relationship Id="rId80" Type="http://schemas.openxmlformats.org/officeDocument/2006/relationships/externalLink" Target="externalLinks/externalLink5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externalLink" Target="externalLinks/externalLink29.xml"/><Relationship Id="rId67" Type="http://schemas.openxmlformats.org/officeDocument/2006/relationships/externalLink" Target="externalLinks/externalLink3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externalLink" Target="externalLinks/externalLink32.xml"/><Relationship Id="rId70" Type="http://schemas.openxmlformats.org/officeDocument/2006/relationships/externalLink" Target="externalLinks/externalLink40.xml"/><Relationship Id="rId75" Type="http://schemas.openxmlformats.org/officeDocument/2006/relationships/externalLink" Target="externalLinks/externalLink45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externalLink" Target="externalLinks/externalLink30.xml"/><Relationship Id="rId65" Type="http://schemas.openxmlformats.org/officeDocument/2006/relationships/externalLink" Target="externalLinks/externalLink35.xml"/><Relationship Id="rId73" Type="http://schemas.openxmlformats.org/officeDocument/2006/relationships/externalLink" Target="externalLinks/externalLink43.xml"/><Relationship Id="rId78" Type="http://schemas.openxmlformats.org/officeDocument/2006/relationships/externalLink" Target="externalLinks/externalLink48.xml"/><Relationship Id="rId81" Type="http://schemas.openxmlformats.org/officeDocument/2006/relationships/externalLink" Target="externalLinks/externalLink51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9.xml"/><Relationship Id="rId34" Type="http://schemas.openxmlformats.org/officeDocument/2006/relationships/externalLink" Target="externalLinks/externalLink4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6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66" Type="http://schemas.openxmlformats.org/officeDocument/2006/relationships/externalLink" Target="externalLinks/externalLink36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3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ma_files/MA9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KATHIE/semiannual/RORO99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R_03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W21-09-04%20Unprotected%20Sch%20582%20WP,%2009-15-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W21-09-04%20Sch%20581%20582%20WP,%2009-15-20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9%20DEFSUMWATAX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Pieline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CNGC-Advice-W22-09-01-PGA-Gas-Cost-WP-09.15.22(C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21%20DEFSUMWATA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5-2021%20DEFSUMWATAX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No.%20W21-09-02%20CPA%20WP,%209-15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Unprotected Cost Allocation"/>
      <sheetName val="Unpro. Amount Change"/>
      <sheetName val="Unpro. Proposed Typical Bill"/>
      <sheetName val="Unprot. Proposed Rate Adj."/>
      <sheetName val="Workpapers---&gt;"/>
      <sheetName val="Test Period Volumes"/>
      <sheetName val="Bills-Therms-Revs"/>
      <sheetName val="47WA.2540.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>
        <row r="7">
          <cell r="H7">
            <v>60110971</v>
          </cell>
        </row>
      </sheetData>
      <sheetData sheetId="7">
        <row r="12">
          <cell r="F12">
            <v>193657</v>
          </cell>
        </row>
      </sheetData>
      <sheetData sheetId="8">
        <row r="57">
          <cell r="H57">
            <v>-911580.45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1 582 Table of Contents"/>
      <sheetName val="Protected Rate Allocation"/>
      <sheetName val="Protected Amount Change"/>
      <sheetName val="Effects of Protected Avg. Bill"/>
      <sheetName val="Protected Proposed Rate Adj."/>
      <sheetName val="Unprotected Cost Allocation"/>
      <sheetName val="Unpro. Amount Change"/>
      <sheetName val="Effects of UPT Avg. Bill"/>
      <sheetName val="Unprot. Proposed Rate Adj."/>
      <sheetName val="Workpapers---&gt;"/>
      <sheetName val="Combined 581 &amp; 582"/>
      <sheetName val="Test Period Volumes"/>
      <sheetName val="Bills-Therms-Revs"/>
      <sheetName val="2540.20481"/>
      <sheetName val="2540.20482"/>
      <sheetName val="47WA.2540.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1.0197703281240886E-3</v>
          </cell>
        </row>
      </sheetData>
      <sheetData sheetId="6">
        <row r="1">
          <cell r="L1" t="str">
            <v>W21-09-04</v>
          </cell>
        </row>
        <row r="2">
          <cell r="L2" t="str">
            <v>UPT Exhibit A</v>
          </cell>
        </row>
      </sheetData>
      <sheetData sheetId="7"/>
      <sheetData sheetId="8"/>
      <sheetData sheetId="9" refreshError="1"/>
      <sheetData sheetId="10" refreshError="1"/>
      <sheetData sheetId="11">
        <row r="7">
          <cell r="H7">
            <v>60110971</v>
          </cell>
          <cell r="I7">
            <v>6752494</v>
          </cell>
        </row>
        <row r="8">
          <cell r="H8">
            <v>66313358</v>
          </cell>
          <cell r="I8">
            <v>7390192</v>
          </cell>
        </row>
        <row r="9">
          <cell r="H9">
            <v>56208093</v>
          </cell>
          <cell r="I9">
            <v>9479391</v>
          </cell>
        </row>
        <row r="10">
          <cell r="H10">
            <v>49012897</v>
          </cell>
          <cell r="I10">
            <v>19280891</v>
          </cell>
        </row>
        <row r="11">
          <cell r="H11">
            <v>60538275</v>
          </cell>
          <cell r="I11">
            <v>34057490</v>
          </cell>
        </row>
        <row r="12">
          <cell r="H12">
            <v>57311058</v>
          </cell>
          <cell r="I12">
            <v>35952500</v>
          </cell>
        </row>
        <row r="13">
          <cell r="H13">
            <v>53085946</v>
          </cell>
          <cell r="I13">
            <v>33909523</v>
          </cell>
        </row>
        <row r="14">
          <cell r="H14">
            <v>68900444</v>
          </cell>
          <cell r="I14">
            <v>36377608</v>
          </cell>
        </row>
        <row r="15">
          <cell r="H15">
            <v>61949671</v>
          </cell>
          <cell r="I15">
            <v>25532431</v>
          </cell>
        </row>
        <row r="16">
          <cell r="H16">
            <v>42948732</v>
          </cell>
          <cell r="I16">
            <v>13309390</v>
          </cell>
        </row>
        <row r="17">
          <cell r="H17">
            <v>57946609</v>
          </cell>
          <cell r="I17">
            <v>10832413</v>
          </cell>
        </row>
        <row r="18">
          <cell r="H18">
            <v>65180251</v>
          </cell>
          <cell r="I18">
            <v>6955024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Combined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 refreshError="1"/>
      <sheetData sheetId="1" refreshError="1"/>
      <sheetData sheetId="2" refreshError="1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OR Gas Cost Track"/>
      <sheetName val="Summary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Modeling Inputs"/>
      <sheetName val="Mark to Market Input"/>
      <sheetName val="Storage Report"/>
      <sheetName val="Verification"/>
      <sheetName val="RP view Sys Gas Cost Track"/>
    </sheetNames>
    <sheetDataSet>
      <sheetData sheetId="0"/>
      <sheetData sheetId="1">
        <row r="101">
          <cell r="W101">
            <v>134424620.80126813</v>
          </cell>
          <cell r="Y101">
            <v>44862654.241073333</v>
          </cell>
        </row>
        <row r="103">
          <cell r="W103">
            <v>259525113.14780021</v>
          </cell>
        </row>
        <row r="107">
          <cell r="W107">
            <v>0.52437999999999996</v>
          </cell>
        </row>
        <row r="108">
          <cell r="W108">
            <v>0.31553999999999999</v>
          </cell>
        </row>
        <row r="112">
          <cell r="W112">
            <v>0.21904999999999999</v>
          </cell>
        </row>
        <row r="114">
          <cell r="W114">
            <v>0.54864999999999997</v>
          </cell>
        </row>
        <row r="115">
          <cell r="W115">
            <v>0.32958999999999999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G12">
            <v>-398753.06</v>
          </cell>
        </row>
      </sheetData>
      <sheetData sheetId="11"/>
      <sheetData sheetId="12">
        <row r="12">
          <cell r="G12">
            <v>-115275.12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8">
          <cell r="E38">
            <v>23704.920000000002</v>
          </cell>
        </row>
        <row r="41">
          <cell r="D41">
            <v>-54753.8</v>
          </cell>
        </row>
      </sheetData>
      <sheetData sheetId="11"/>
      <sheetData sheetId="12">
        <row r="38">
          <cell r="E38">
            <v>7457.01</v>
          </cell>
        </row>
        <row r="41">
          <cell r="D41">
            <v>-15828.72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Effects of CPA Avg. Bill"/>
      <sheetName val="Pipeline Workpapers---&gt;"/>
      <sheetName val="Ex-1"/>
      <sheetName val="Ex-2"/>
      <sheetName val="Ex-3"/>
      <sheetName val="Ex-4"/>
      <sheetName val="Workpapers---&gt;"/>
      <sheetName val="Balances at 7-31-2021"/>
      <sheetName val="Int calc thru 10-31-2021"/>
      <sheetName val="Amort Calc thru 10-31-2021"/>
      <sheetName val="EstimatedBalances"/>
      <sheetName val="Int during Amort"/>
      <sheetName val="Test Period Volumes"/>
      <sheetName val="Bills-Therms-Re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871A-537B-496D-BF5C-942274A45186}">
  <dimension ref="A1:W38"/>
  <sheetViews>
    <sheetView workbookViewId="0">
      <selection activeCell="O26" sqref="O26:S31"/>
    </sheetView>
  </sheetViews>
  <sheetFormatPr defaultRowHeight="10.5"/>
  <cols>
    <col min="4" max="4" width="11.5" customWidth="1"/>
    <col min="5" max="5" width="13" bestFit="1" customWidth="1"/>
    <col min="6" max="6" width="14.33203125" customWidth="1"/>
    <col min="7" max="7" width="11.5" bestFit="1" customWidth="1"/>
    <col min="8" max="8" width="13" bestFit="1" customWidth="1"/>
    <col min="9" max="9" width="11.33203125" bestFit="1" customWidth="1"/>
    <col min="12" max="12" width="11.33203125" customWidth="1"/>
    <col min="13" max="13" width="16.5" bestFit="1" customWidth="1"/>
    <col min="14" max="14" width="3.33203125" customWidth="1"/>
    <col min="15" max="15" width="21.5" bestFit="1" customWidth="1"/>
    <col min="16" max="16" width="3.83203125" customWidth="1"/>
    <col min="17" max="17" width="23" bestFit="1" customWidth="1"/>
    <col min="18" max="18" width="4.33203125" customWidth="1"/>
    <col min="19" max="19" width="23" bestFit="1" customWidth="1"/>
  </cols>
  <sheetData>
    <row r="1" spans="1:23" ht="15">
      <c r="A1" s="747" t="s">
        <v>47</v>
      </c>
      <c r="B1" s="748"/>
      <c r="C1" s="749"/>
    </row>
    <row r="2" spans="1:23" ht="15">
      <c r="A2" s="747" t="s">
        <v>48</v>
      </c>
      <c r="B2" s="748"/>
      <c r="C2" s="749"/>
    </row>
    <row r="3" spans="1:23" ht="15">
      <c r="A3" s="747" t="s">
        <v>347</v>
      </c>
      <c r="B3" s="747"/>
      <c r="C3" s="747"/>
    </row>
    <row r="4" spans="1:23" ht="15">
      <c r="A4" s="747" t="s">
        <v>346</v>
      </c>
      <c r="B4" s="748"/>
      <c r="C4" s="749"/>
    </row>
    <row r="7" spans="1:23" ht="15.75">
      <c r="D7" s="968" t="s">
        <v>351</v>
      </c>
      <c r="E7" s="969"/>
      <c r="F7" s="969"/>
      <c r="G7" s="969"/>
      <c r="H7" s="969"/>
      <c r="I7" s="969"/>
      <c r="K7" s="968" t="s">
        <v>356</v>
      </c>
      <c r="L7" s="969"/>
      <c r="M7" s="969"/>
      <c r="N7" s="969"/>
      <c r="O7" s="969"/>
      <c r="P7" s="969"/>
      <c r="Q7" s="969"/>
      <c r="R7" s="969"/>
      <c r="S7" s="970"/>
    </row>
    <row r="8" spans="1:23" ht="15.75">
      <c r="A8" s="968" t="s">
        <v>350</v>
      </c>
      <c r="B8" s="969"/>
      <c r="C8" s="970"/>
      <c r="D8" s="968" t="s">
        <v>348</v>
      </c>
      <c r="E8" s="969"/>
      <c r="F8" s="970"/>
      <c r="G8" s="968" t="s">
        <v>349</v>
      </c>
      <c r="H8" s="969"/>
      <c r="I8" s="969"/>
      <c r="J8" s="414"/>
      <c r="K8" s="988" t="s">
        <v>357</v>
      </c>
      <c r="L8" s="989"/>
      <c r="M8" s="989"/>
      <c r="N8" s="989"/>
      <c r="O8" s="989"/>
      <c r="P8" s="989"/>
      <c r="Q8" s="989"/>
      <c r="R8" s="989"/>
      <c r="S8" s="990"/>
      <c r="T8" s="414"/>
    </row>
    <row r="9" spans="1:23" ht="15.75">
      <c r="A9" s="750"/>
      <c r="B9" s="751"/>
      <c r="C9" s="752"/>
      <c r="D9" s="762"/>
      <c r="E9" s="763"/>
      <c r="F9" s="764" t="s">
        <v>354</v>
      </c>
      <c r="G9" s="762"/>
      <c r="H9" s="763"/>
      <c r="I9" s="764" t="s">
        <v>354</v>
      </c>
      <c r="J9" s="414"/>
      <c r="K9" s="755"/>
      <c r="L9" s="756"/>
      <c r="M9" s="756"/>
      <c r="N9" s="756"/>
      <c r="O9" s="756"/>
      <c r="P9" s="756"/>
      <c r="Q9" s="756"/>
      <c r="R9" s="756"/>
      <c r="S9" s="757"/>
      <c r="T9" s="414"/>
    </row>
    <row r="10" spans="1:23" ht="15.75">
      <c r="A10" s="753"/>
      <c r="B10" s="161"/>
      <c r="C10" s="754"/>
      <c r="D10" s="765" t="s">
        <v>167</v>
      </c>
      <c r="E10" s="766" t="s">
        <v>353</v>
      </c>
      <c r="F10" s="767" t="s">
        <v>355</v>
      </c>
      <c r="G10" s="765" t="s">
        <v>167</v>
      </c>
      <c r="H10" s="766" t="s">
        <v>353</v>
      </c>
      <c r="I10" s="767" t="s">
        <v>355</v>
      </c>
      <c r="J10" s="414"/>
      <c r="K10" s="758"/>
      <c r="L10" s="759"/>
      <c r="M10" s="766" t="s">
        <v>358</v>
      </c>
      <c r="N10" s="759"/>
      <c r="O10" s="766" t="s">
        <v>167</v>
      </c>
      <c r="P10" s="766"/>
      <c r="Q10" s="766" t="s">
        <v>353</v>
      </c>
      <c r="R10" s="766"/>
      <c r="S10" s="767" t="s">
        <v>146</v>
      </c>
      <c r="T10" s="414"/>
    </row>
    <row r="11" spans="1:23" ht="15.75">
      <c r="A11" s="974" t="s">
        <v>352</v>
      </c>
      <c r="B11" s="975"/>
      <c r="C11" s="976"/>
      <c r="D11" s="758"/>
      <c r="E11" s="759"/>
      <c r="F11" s="760"/>
      <c r="G11" s="758"/>
      <c r="H11" s="759"/>
      <c r="I11" s="760"/>
      <c r="J11" s="414"/>
      <c r="K11" s="758"/>
      <c r="L11" s="759"/>
      <c r="M11" s="759"/>
      <c r="N11" s="759"/>
      <c r="O11" s="759"/>
      <c r="P11" s="759"/>
      <c r="Q11" s="759"/>
      <c r="R11" s="759"/>
      <c r="S11" s="760"/>
      <c r="T11" s="414"/>
    </row>
    <row r="12" spans="1:23" ht="15" customHeight="1">
      <c r="A12" s="977" t="s">
        <v>103</v>
      </c>
      <c r="B12" s="978"/>
      <c r="C12" s="979"/>
      <c r="D12" s="845">
        <v>0.17860999999999999</v>
      </c>
      <c r="E12" s="295">
        <f>+'[48]Summary-WA Gas Cost Track'!$W$108</f>
        <v>0.31553999999999999</v>
      </c>
      <c r="F12" s="842">
        <f>+D12+E12</f>
        <v>0.49414999999999998</v>
      </c>
      <c r="G12" s="843">
        <v>0.18657000000000001</v>
      </c>
      <c r="H12" s="844">
        <f>+'[48]Summary-WA Gas Cost Track'!$W$115</f>
        <v>0.32958999999999999</v>
      </c>
      <c r="I12" s="855">
        <f>+G12+H12</f>
        <v>0.51615999999999995</v>
      </c>
      <c r="J12" s="294"/>
      <c r="K12" s="1000" t="s">
        <v>103</v>
      </c>
      <c r="L12" s="1001"/>
      <c r="M12" s="879">
        <f>+'Test Period Volumes'!C34</f>
        <v>131993811.11343679</v>
      </c>
      <c r="N12" s="295"/>
      <c r="O12" s="933">
        <f>+M12*G12</f>
        <v>24626085.339433905</v>
      </c>
      <c r="P12" s="934"/>
      <c r="Q12" s="933">
        <f>+M12*H12</f>
        <v>43503840.20487763</v>
      </c>
      <c r="R12" s="934"/>
      <c r="S12" s="935">
        <f>+O12+Q12</f>
        <v>68129925.544311538</v>
      </c>
      <c r="T12" s="294"/>
      <c r="U12" s="774"/>
      <c r="V12" s="774"/>
      <c r="W12" s="774"/>
    </row>
    <row r="13" spans="1:23" ht="15" customHeight="1">
      <c r="A13" s="971" t="s">
        <v>104</v>
      </c>
      <c r="B13" s="972"/>
      <c r="C13" s="973"/>
      <c r="D13" s="845">
        <v>0.17591000000000001</v>
      </c>
      <c r="E13" s="295">
        <f>+E12</f>
        <v>0.31553999999999999</v>
      </c>
      <c r="F13" s="842">
        <f t="shared" ref="F13:F16" si="0">+D13+E13</f>
        <v>0.49145</v>
      </c>
      <c r="G13" s="843">
        <v>0.18375</v>
      </c>
      <c r="H13" s="844">
        <f>+H12</f>
        <v>0.32958999999999999</v>
      </c>
      <c r="I13" s="855">
        <f t="shared" ref="I13:I16" si="1">+G13+H13</f>
        <v>0.51334000000000002</v>
      </c>
      <c r="J13" s="294"/>
      <c r="K13" s="980" t="s">
        <v>104</v>
      </c>
      <c r="L13" s="981"/>
      <c r="M13" s="880">
        <f>+'PGA Amount Change'!F17</f>
        <v>93567596.866792873</v>
      </c>
      <c r="N13" s="295"/>
      <c r="O13" s="933">
        <f>+M13*G13</f>
        <v>17193045.924273189</v>
      </c>
      <c r="P13" s="934"/>
      <c r="Q13" s="933">
        <f>+M13*H13</f>
        <v>30838944.251326263</v>
      </c>
      <c r="R13" s="934"/>
      <c r="S13" s="935">
        <f t="shared" ref="S13:S16" si="2">+O13+Q13</f>
        <v>48031990.175599456</v>
      </c>
      <c r="T13" s="294"/>
      <c r="U13" s="774"/>
      <c r="V13" s="774"/>
      <c r="W13" s="774"/>
    </row>
    <row r="14" spans="1:23" ht="15" customHeight="1">
      <c r="A14" s="971" t="s">
        <v>106</v>
      </c>
      <c r="B14" s="972"/>
      <c r="C14" s="973"/>
      <c r="D14" s="845">
        <v>0.16258</v>
      </c>
      <c r="E14" s="295">
        <f>+E12</f>
        <v>0.31553999999999999</v>
      </c>
      <c r="F14" s="842">
        <f t="shared" si="0"/>
        <v>0.47811999999999999</v>
      </c>
      <c r="G14" s="843">
        <v>0.16982</v>
      </c>
      <c r="H14" s="844">
        <f>+H12</f>
        <v>0.32958999999999999</v>
      </c>
      <c r="I14" s="855">
        <f>+G14+H14+0.00001</f>
        <v>0.49942000000000003</v>
      </c>
      <c r="J14" s="294"/>
      <c r="K14" s="980" t="s">
        <v>106</v>
      </c>
      <c r="L14" s="981"/>
      <c r="M14" s="880">
        <f>+'PGA Amount Change'!F18</f>
        <v>12906567.97753373</v>
      </c>
      <c r="N14" s="295"/>
      <c r="O14" s="933">
        <f>+M14*G14</f>
        <v>2191793.373944778</v>
      </c>
      <c r="P14" s="934"/>
      <c r="Q14" s="933">
        <f>+M14*H14</f>
        <v>4253875.7397153415</v>
      </c>
      <c r="R14" s="934"/>
      <c r="S14" s="935">
        <f t="shared" si="2"/>
        <v>6445669.1136601195</v>
      </c>
      <c r="T14" s="294"/>
      <c r="U14" s="774"/>
      <c r="V14" s="774"/>
      <c r="W14" s="774"/>
    </row>
    <row r="15" spans="1:23" ht="15" customHeight="1">
      <c r="A15" s="971" t="s">
        <v>105</v>
      </c>
      <c r="B15" s="972"/>
      <c r="C15" s="973"/>
      <c r="D15" s="845">
        <v>0.16258</v>
      </c>
      <c r="E15" s="295">
        <f>+E12</f>
        <v>0.31553999999999999</v>
      </c>
      <c r="F15" s="842">
        <f t="shared" si="0"/>
        <v>0.47811999999999999</v>
      </c>
      <c r="G15" s="843">
        <v>0.16982</v>
      </c>
      <c r="H15" s="844">
        <f>+H12</f>
        <v>0.32958999999999999</v>
      </c>
      <c r="I15" s="855">
        <f>+G15+H15+0.00001</f>
        <v>0.49942000000000003</v>
      </c>
      <c r="J15" s="294"/>
      <c r="K15" s="980" t="s">
        <v>105</v>
      </c>
      <c r="L15" s="981"/>
      <c r="M15" s="880">
        <f>+'PGA Amount Change'!F19</f>
        <v>15549500.235253498</v>
      </c>
      <c r="N15" s="295"/>
      <c r="O15" s="933">
        <f>+M15*G15</f>
        <v>2640616.1299507492</v>
      </c>
      <c r="P15" s="934"/>
      <c r="Q15" s="933">
        <f t="shared" ref="Q15:Q16" si="3">+M15*H15</f>
        <v>5124959.7825372005</v>
      </c>
      <c r="R15" s="934"/>
      <c r="S15" s="935">
        <f t="shared" si="2"/>
        <v>7765575.9124879502</v>
      </c>
      <c r="T15" s="294"/>
      <c r="U15" s="774"/>
      <c r="V15" s="774"/>
      <c r="W15" s="774"/>
    </row>
    <row r="16" spans="1:23" ht="15.75">
      <c r="A16" s="991" t="s">
        <v>107</v>
      </c>
      <c r="B16" s="992"/>
      <c r="C16" s="993"/>
      <c r="D16" s="856">
        <v>0.14929999999999999</v>
      </c>
      <c r="E16" s="846">
        <f>+E12</f>
        <v>0.31553999999999999</v>
      </c>
      <c r="F16" s="881">
        <f t="shared" si="0"/>
        <v>0.46483999999999998</v>
      </c>
      <c r="G16" s="847">
        <v>0.15595000000000001</v>
      </c>
      <c r="H16" s="848">
        <f>+H12</f>
        <v>0.32958999999999999</v>
      </c>
      <c r="I16" s="857">
        <f t="shared" si="1"/>
        <v>0.48553999999999997</v>
      </c>
      <c r="J16" s="294"/>
      <c r="K16" s="980" t="s">
        <v>107</v>
      </c>
      <c r="L16" s="981"/>
      <c r="M16" s="880">
        <f>+'PGA Amount Change'!F20</f>
        <v>2331720.8069831203</v>
      </c>
      <c r="N16" s="295"/>
      <c r="O16" s="933">
        <f>+M16*G16</f>
        <v>363631.85984901764</v>
      </c>
      <c r="P16" s="934"/>
      <c r="Q16" s="933">
        <f t="shared" si="3"/>
        <v>768511.86077356664</v>
      </c>
      <c r="R16" s="934"/>
      <c r="S16" s="935">
        <f t="shared" si="2"/>
        <v>1132143.7206225842</v>
      </c>
      <c r="T16" s="294"/>
      <c r="U16" s="774"/>
      <c r="V16" s="774"/>
      <c r="W16" s="774"/>
    </row>
    <row r="17" spans="1:23" ht="15.75">
      <c r="A17" s="997"/>
      <c r="B17" s="997"/>
      <c r="C17" s="997"/>
      <c r="D17" s="997"/>
      <c r="E17" s="997"/>
      <c r="F17" s="997"/>
      <c r="G17" s="997"/>
      <c r="H17" s="997"/>
      <c r="I17" s="997"/>
      <c r="J17" s="294"/>
      <c r="K17" s="882" t="s">
        <v>146</v>
      </c>
      <c r="L17" s="846"/>
      <c r="M17" s="883">
        <f>SUM(M12:M16)</f>
        <v>256349197</v>
      </c>
      <c r="N17" s="884"/>
      <c r="O17" s="936">
        <f>SUM(O12:O16)</f>
        <v>47015172.627451643</v>
      </c>
      <c r="P17" s="937"/>
      <c r="Q17" s="936">
        <f>SUM(Q12:Q16)</f>
        <v>84490131.839230001</v>
      </c>
      <c r="R17" s="937"/>
      <c r="S17" s="938">
        <f>SUM(S12:S16)</f>
        <v>131505304.46668164</v>
      </c>
      <c r="T17" s="294"/>
      <c r="U17" s="774"/>
      <c r="V17" s="774"/>
      <c r="W17" s="774"/>
    </row>
    <row r="18" spans="1:23" ht="15.75">
      <c r="A18" s="994" t="s">
        <v>6</v>
      </c>
      <c r="B18" s="995"/>
      <c r="C18" s="996"/>
      <c r="D18" s="885"/>
      <c r="E18" s="886"/>
      <c r="F18" s="886"/>
      <c r="G18" s="885"/>
      <c r="H18" s="886"/>
      <c r="I18" s="887"/>
      <c r="J18" s="294"/>
      <c r="K18" s="1007" t="s">
        <v>359</v>
      </c>
      <c r="L18" s="1008"/>
      <c r="M18" s="1008"/>
      <c r="N18" s="1008"/>
      <c r="O18" s="1008"/>
      <c r="P18" s="1008"/>
      <c r="Q18" s="1008"/>
      <c r="R18" s="1008"/>
      <c r="S18" s="1009"/>
      <c r="T18" s="294"/>
      <c r="U18" s="774"/>
      <c r="V18" s="774"/>
      <c r="W18" s="774"/>
    </row>
    <row r="19" spans="1:23" ht="15.75">
      <c r="A19" s="977" t="s">
        <v>103</v>
      </c>
      <c r="B19" s="978"/>
      <c r="C19" s="979"/>
      <c r="D19" s="843">
        <f>ROUND('PGA Demand Cost Allocation'!D20,5)</f>
        <v>0.17537</v>
      </c>
      <c r="E19" s="849">
        <f>+'[48]Summary-WA Gas Cost Track'!$W$107</f>
        <v>0.52437999999999996</v>
      </c>
      <c r="F19" s="850">
        <f>+D19+E19</f>
        <v>0.69974999999999998</v>
      </c>
      <c r="G19" s="843">
        <f>ROUND(+D19/('PGA Demand Cost Allocation'!D26),5)</f>
        <v>0.18348999999999999</v>
      </c>
      <c r="H19" s="844">
        <f>+'[48]Summary-WA Gas Cost Track'!$W$114</f>
        <v>0.54864999999999997</v>
      </c>
      <c r="I19" s="901">
        <f>+G19+H19</f>
        <v>0.73214000000000001</v>
      </c>
      <c r="J19" s="294"/>
      <c r="K19" s="1002" t="s">
        <v>103</v>
      </c>
      <c r="L19" s="1003"/>
      <c r="M19" s="888">
        <f>+M12</f>
        <v>131993811.11343679</v>
      </c>
      <c r="N19" s="886"/>
      <c r="O19" s="939">
        <f>+M19*G19</f>
        <v>24219544.401204515</v>
      </c>
      <c r="P19" s="940"/>
      <c r="Q19" s="939">
        <f>+M19*H19</f>
        <v>72418404.467387095</v>
      </c>
      <c r="R19" s="940"/>
      <c r="S19" s="941">
        <f>+O19+Q19</f>
        <v>96637948.868591607</v>
      </c>
      <c r="T19" s="294"/>
      <c r="U19" s="774"/>
      <c r="V19" s="774"/>
      <c r="W19" s="774"/>
    </row>
    <row r="20" spans="1:23" ht="15.75">
      <c r="A20" s="971" t="s">
        <v>104</v>
      </c>
      <c r="B20" s="972"/>
      <c r="C20" s="973"/>
      <c r="D20" s="843">
        <f>ROUND('PGA Demand Cost Allocation'!F20,5)</f>
        <v>0.17272000000000001</v>
      </c>
      <c r="E20" s="849">
        <f>+E19</f>
        <v>0.52437999999999996</v>
      </c>
      <c r="F20" s="844">
        <f>+D20+E20</f>
        <v>0.69709999999999994</v>
      </c>
      <c r="G20" s="843">
        <f>ROUND(+D20/('PGA Demand Cost Allocation'!F26),5)</f>
        <v>0.18071000000000001</v>
      </c>
      <c r="H20" s="844">
        <f>+H19</f>
        <v>0.54864999999999997</v>
      </c>
      <c r="I20" s="901">
        <f t="shared" ref="I20:I23" si="4">+G20+H20</f>
        <v>0.72936000000000001</v>
      </c>
      <c r="J20" s="294"/>
      <c r="K20" s="980" t="s">
        <v>104</v>
      </c>
      <c r="L20" s="981"/>
      <c r="M20" s="880">
        <f>+M13</f>
        <v>93567596.866792873</v>
      </c>
      <c r="N20" s="295"/>
      <c r="O20" s="933">
        <f t="shared" ref="O20:O23" si="5">+M20*G20</f>
        <v>16908600.429798141</v>
      </c>
      <c r="P20" s="934"/>
      <c r="Q20" s="933">
        <f t="shared" ref="Q20:Q23" si="6">+M20*H20</f>
        <v>51335862.020965904</v>
      </c>
      <c r="R20" s="934"/>
      <c r="S20" s="935">
        <f t="shared" ref="S20:S23" si="7">+O20+Q20</f>
        <v>68244462.450764045</v>
      </c>
      <c r="T20" s="294"/>
      <c r="U20" s="774"/>
      <c r="V20" s="774"/>
      <c r="W20" s="774"/>
    </row>
    <row r="21" spans="1:23" ht="15.75">
      <c r="A21" s="971" t="s">
        <v>106</v>
      </c>
      <c r="B21" s="972"/>
      <c r="C21" s="973"/>
      <c r="D21" s="843">
        <f>ROUND('PGA Demand Cost Allocation'!H20,5)</f>
        <v>0.15962999999999999</v>
      </c>
      <c r="E21" s="849">
        <f>+E19</f>
        <v>0.52437999999999996</v>
      </c>
      <c r="F21" s="850">
        <f t="shared" ref="F21:F23" si="8">+D21+E21</f>
        <v>0.68401000000000001</v>
      </c>
      <c r="G21" s="843">
        <f>ROUND(+D21/('PGA Demand Cost Allocation'!H26),5)</f>
        <v>0.16702</v>
      </c>
      <c r="H21" s="844">
        <f>+H19</f>
        <v>0.54864999999999997</v>
      </c>
      <c r="I21" s="901">
        <f>+G21+H21</f>
        <v>0.71567000000000003</v>
      </c>
      <c r="J21" s="294"/>
      <c r="K21" s="980" t="s">
        <v>106</v>
      </c>
      <c r="L21" s="981"/>
      <c r="M21" s="880">
        <f>+M14</f>
        <v>12906567.97753373</v>
      </c>
      <c r="N21" s="295"/>
      <c r="O21" s="933">
        <f>+M21*G21</f>
        <v>2155654.9836076838</v>
      </c>
      <c r="P21" s="934"/>
      <c r="Q21" s="933">
        <f t="shared" si="6"/>
        <v>7081188.52087388</v>
      </c>
      <c r="R21" s="934"/>
      <c r="S21" s="935">
        <f t="shared" si="7"/>
        <v>9236843.5044815633</v>
      </c>
      <c r="T21" s="294"/>
      <c r="U21" s="774"/>
      <c r="V21" s="774"/>
      <c r="W21" s="774"/>
    </row>
    <row r="22" spans="1:23" ht="15.75">
      <c r="A22" s="971" t="s">
        <v>105</v>
      </c>
      <c r="B22" s="972"/>
      <c r="C22" s="973"/>
      <c r="D22" s="843">
        <f>ROUND('PGA Demand Cost Allocation'!H20,5)</f>
        <v>0.15962999999999999</v>
      </c>
      <c r="E22" s="849">
        <f>+E19</f>
        <v>0.52437999999999996</v>
      </c>
      <c r="F22" s="850">
        <f t="shared" si="8"/>
        <v>0.68401000000000001</v>
      </c>
      <c r="G22" s="843">
        <f>ROUND(+D22/('PGA Demand Cost Allocation'!H26),5)</f>
        <v>0.16702</v>
      </c>
      <c r="H22" s="844">
        <f>+H19</f>
        <v>0.54864999999999997</v>
      </c>
      <c r="I22" s="901">
        <f>+G22+H22</f>
        <v>0.71567000000000003</v>
      </c>
      <c r="J22" s="294"/>
      <c r="K22" s="980" t="s">
        <v>105</v>
      </c>
      <c r="L22" s="981"/>
      <c r="M22" s="880">
        <f>+M15</f>
        <v>15549500.235253498</v>
      </c>
      <c r="N22" s="295"/>
      <c r="O22" s="933">
        <f t="shared" si="5"/>
        <v>2597077.5292920391</v>
      </c>
      <c r="P22" s="934"/>
      <c r="Q22" s="933">
        <f t="shared" si="6"/>
        <v>8531233.3040718306</v>
      </c>
      <c r="R22" s="934"/>
      <c r="S22" s="935">
        <f t="shared" si="7"/>
        <v>11128310.83336387</v>
      </c>
      <c r="T22" s="294"/>
      <c r="U22" s="774"/>
      <c r="V22" s="774"/>
      <c r="W22" s="774"/>
    </row>
    <row r="23" spans="1:23" ht="15.75">
      <c r="A23" s="991" t="s">
        <v>107</v>
      </c>
      <c r="B23" s="992"/>
      <c r="C23" s="993"/>
      <c r="D23" s="847">
        <f>ROUND('PGA Demand Cost Allocation'!J20,5)</f>
        <v>0.14659</v>
      </c>
      <c r="E23" s="852">
        <f>+E19</f>
        <v>0.52437999999999996</v>
      </c>
      <c r="F23" s="853">
        <f t="shared" si="8"/>
        <v>0.67096999999999996</v>
      </c>
      <c r="G23" s="847">
        <f>ROUND(+D23/('PGA Demand Cost Allocation'!J26),5)</f>
        <v>0.15337000000000001</v>
      </c>
      <c r="H23" s="848">
        <f>+H19</f>
        <v>0.54864999999999997</v>
      </c>
      <c r="I23" s="902">
        <f t="shared" si="4"/>
        <v>0.70201999999999998</v>
      </c>
      <c r="J23" s="294"/>
      <c r="K23" s="980" t="s">
        <v>107</v>
      </c>
      <c r="L23" s="981"/>
      <c r="M23" s="880">
        <f>+M16</f>
        <v>2331720.8069831203</v>
      </c>
      <c r="N23" s="295"/>
      <c r="O23" s="933">
        <f t="shared" si="5"/>
        <v>357616.02016700117</v>
      </c>
      <c r="P23" s="934"/>
      <c r="Q23" s="933">
        <f t="shared" si="6"/>
        <v>1279298.620751289</v>
      </c>
      <c r="R23" s="934"/>
      <c r="S23" s="935">
        <f t="shared" si="7"/>
        <v>1636914.6409182902</v>
      </c>
      <c r="T23" s="294"/>
      <c r="U23" s="774"/>
      <c r="V23" s="774"/>
      <c r="W23" s="774"/>
    </row>
    <row r="24" spans="1:23" ht="15.75">
      <c r="A24" s="774"/>
      <c r="B24" s="774"/>
      <c r="C24" s="774"/>
      <c r="D24" s="294"/>
      <c r="E24" s="294"/>
      <c r="F24" s="294"/>
      <c r="G24" s="294"/>
      <c r="H24" s="294"/>
      <c r="I24" s="294"/>
      <c r="J24" s="294"/>
      <c r="K24" s="882" t="s">
        <v>146</v>
      </c>
      <c r="L24" s="846"/>
      <c r="M24" s="883">
        <f>SUM(M19:M23)</f>
        <v>256349197</v>
      </c>
      <c r="N24" s="846"/>
      <c r="O24" s="936">
        <f>SUM(O19:O23)</f>
        <v>46238493.36406938</v>
      </c>
      <c r="P24" s="942"/>
      <c r="Q24" s="936">
        <f>SUM(Q19:Q23)</f>
        <v>140645986.93404999</v>
      </c>
      <c r="R24" s="942"/>
      <c r="S24" s="938">
        <f>SUM(S19:S23)</f>
        <v>186884480.29811937</v>
      </c>
      <c r="T24" s="294"/>
      <c r="U24" s="774"/>
      <c r="V24" s="774"/>
      <c r="W24" s="774"/>
    </row>
    <row r="25" spans="1:23" ht="15.75">
      <c r="A25" s="994" t="s">
        <v>60</v>
      </c>
      <c r="B25" s="995"/>
      <c r="C25" s="996"/>
      <c r="D25" s="755"/>
      <c r="E25" s="756"/>
      <c r="F25" s="757"/>
      <c r="G25" s="755"/>
      <c r="H25" s="756"/>
      <c r="I25" s="757"/>
      <c r="J25" s="414"/>
      <c r="K25" s="1004" t="s">
        <v>356</v>
      </c>
      <c r="L25" s="1005"/>
      <c r="M25" s="1005"/>
      <c r="N25" s="1005"/>
      <c r="O25" s="1005"/>
      <c r="P25" s="1005"/>
      <c r="Q25" s="1005"/>
      <c r="R25" s="1005"/>
      <c r="S25" s="1006"/>
      <c r="T25" s="414"/>
    </row>
    <row r="26" spans="1:23" ht="15.75">
      <c r="A26" s="977" t="s">
        <v>103</v>
      </c>
      <c r="B26" s="978"/>
      <c r="C26" s="979"/>
      <c r="D26" s="843">
        <f t="shared" ref="D26:I26" si="9">+D19-D12</f>
        <v>-3.2399999999999929E-3</v>
      </c>
      <c r="E26" s="295">
        <f t="shared" si="9"/>
        <v>0.20883999999999997</v>
      </c>
      <c r="F26" s="842">
        <f t="shared" si="9"/>
        <v>0.2056</v>
      </c>
      <c r="G26" s="845">
        <f>+G19-G12+0.00001</f>
        <v>-3.0700000000000271E-3</v>
      </c>
      <c r="H26" s="849">
        <f>+H19-H12-0.00001</f>
        <v>0.21904999999999997</v>
      </c>
      <c r="I26" s="855">
        <f t="shared" si="9"/>
        <v>0.21598000000000006</v>
      </c>
      <c r="J26" s="414"/>
      <c r="K26" s="1002" t="s">
        <v>103</v>
      </c>
      <c r="L26" s="1003"/>
      <c r="M26" s="769"/>
      <c r="N26" s="756"/>
      <c r="O26" s="959">
        <f>+O19-O12</f>
        <v>-406540.93822938949</v>
      </c>
      <c r="P26" s="959"/>
      <c r="Q26" s="959">
        <f>+Q19-Q12</f>
        <v>28914564.262509465</v>
      </c>
      <c r="R26" s="959"/>
      <c r="S26" s="960">
        <f>+S19-S12</f>
        <v>28508023.324280068</v>
      </c>
      <c r="T26" s="414"/>
    </row>
    <row r="27" spans="1:23" ht="15.75">
      <c r="A27" s="982" t="s">
        <v>104</v>
      </c>
      <c r="B27" s="983"/>
      <c r="C27" s="984"/>
      <c r="D27" s="843">
        <f>+D20-D13</f>
        <v>-3.1899999999999984E-3</v>
      </c>
      <c r="E27" s="295">
        <f t="shared" ref="E27:F30" si="10">+E20-E13</f>
        <v>0.20883999999999997</v>
      </c>
      <c r="F27" s="851">
        <f>+F20-F13</f>
        <v>0.20564999999999994</v>
      </c>
      <c r="G27" s="845">
        <f>+G20-G13+0.00001</f>
        <v>-3.0299999999999871E-3</v>
      </c>
      <c r="H27" s="849">
        <f>+H20-H13-0.00001</f>
        <v>0.21904999999999997</v>
      </c>
      <c r="I27" s="855">
        <f t="shared" ref="I27" si="11">+I20-I13</f>
        <v>0.21601999999999999</v>
      </c>
      <c r="J27" s="414"/>
      <c r="K27" s="998" t="s">
        <v>104</v>
      </c>
      <c r="L27" s="999"/>
      <c r="M27" s="770"/>
      <c r="N27" s="759"/>
      <c r="O27" s="961">
        <f>+O20-O13</f>
        <v>-284445.49447504804</v>
      </c>
      <c r="P27" s="961"/>
      <c r="Q27" s="961">
        <f t="shared" ref="O27:S30" si="12">+Q20-Q13</f>
        <v>20496917.769639641</v>
      </c>
      <c r="R27" s="961"/>
      <c r="S27" s="962">
        <f t="shared" si="12"/>
        <v>20212472.275164589</v>
      </c>
      <c r="T27" s="414"/>
    </row>
    <row r="28" spans="1:23" ht="15.75">
      <c r="A28" s="982" t="s">
        <v>106</v>
      </c>
      <c r="B28" s="983"/>
      <c r="C28" s="984"/>
      <c r="D28" s="843">
        <f>+D21-D14</f>
        <v>-2.9500000000000082E-3</v>
      </c>
      <c r="E28" s="295">
        <f t="shared" si="10"/>
        <v>0.20883999999999997</v>
      </c>
      <c r="F28" s="851">
        <f>+F21-F14</f>
        <v>0.20589000000000002</v>
      </c>
      <c r="G28" s="845">
        <f>+G21-G14</f>
        <v>-2.7999999999999969E-3</v>
      </c>
      <c r="H28" s="849">
        <f>+H21-H14-0.00001</f>
        <v>0.21904999999999997</v>
      </c>
      <c r="I28" s="855">
        <f>+I21-I14</f>
        <v>0.21625</v>
      </c>
      <c r="J28" s="414"/>
      <c r="K28" s="998" t="s">
        <v>106</v>
      </c>
      <c r="L28" s="999"/>
      <c r="M28" s="770"/>
      <c r="N28" s="759"/>
      <c r="O28" s="961">
        <f t="shared" si="12"/>
        <v>-36138.390337094199</v>
      </c>
      <c r="P28" s="961"/>
      <c r="Q28" s="961">
        <f t="shared" si="12"/>
        <v>2827312.7811585385</v>
      </c>
      <c r="R28" s="961"/>
      <c r="S28" s="962">
        <f t="shared" si="12"/>
        <v>2791174.3908214439</v>
      </c>
      <c r="T28" s="414"/>
    </row>
    <row r="29" spans="1:23" ht="15.75">
      <c r="A29" s="982" t="s">
        <v>105</v>
      </c>
      <c r="B29" s="983"/>
      <c r="C29" s="984"/>
      <c r="D29" s="843">
        <f>+D22-D15</f>
        <v>-2.9500000000000082E-3</v>
      </c>
      <c r="E29" s="295">
        <f t="shared" si="10"/>
        <v>0.20883999999999997</v>
      </c>
      <c r="F29" s="851">
        <f>+F22-F15</f>
        <v>0.20589000000000002</v>
      </c>
      <c r="G29" s="845">
        <f>+G22-G15</f>
        <v>-2.7999999999999969E-3</v>
      </c>
      <c r="H29" s="849">
        <f>+H22-H15-0.00001</f>
        <v>0.21904999999999997</v>
      </c>
      <c r="I29" s="855">
        <f>+I22-I15</f>
        <v>0.21625</v>
      </c>
      <c r="J29" s="414"/>
      <c r="K29" s="998" t="s">
        <v>105</v>
      </c>
      <c r="L29" s="999"/>
      <c r="M29" s="770"/>
      <c r="N29" s="759"/>
      <c r="O29" s="961">
        <f>+O22-O15</f>
        <v>-43538.600658710115</v>
      </c>
      <c r="P29" s="961"/>
      <c r="Q29" s="961">
        <f t="shared" si="12"/>
        <v>3406273.5215346301</v>
      </c>
      <c r="R29" s="961"/>
      <c r="S29" s="962">
        <f t="shared" si="12"/>
        <v>3362734.92087592</v>
      </c>
      <c r="T29" s="414"/>
    </row>
    <row r="30" spans="1:23" ht="15.75">
      <c r="A30" s="985" t="s">
        <v>107</v>
      </c>
      <c r="B30" s="986"/>
      <c r="C30" s="987"/>
      <c r="D30" s="847">
        <f>+D23-D16</f>
        <v>-2.7099999999999902E-3</v>
      </c>
      <c r="E30" s="846">
        <f t="shared" si="10"/>
        <v>0.20883999999999997</v>
      </c>
      <c r="F30" s="854">
        <f t="shared" si="10"/>
        <v>0.20612999999999998</v>
      </c>
      <c r="G30" s="856">
        <f>+G23-G16+0.00001</f>
        <v>-2.5699999999999989E-3</v>
      </c>
      <c r="H30" s="852">
        <f>+H23-H16-0.00001</f>
        <v>0.21904999999999997</v>
      </c>
      <c r="I30" s="857">
        <f t="shared" ref="I30" si="13">+I23-I16</f>
        <v>0.21648000000000001</v>
      </c>
      <c r="J30" s="414"/>
      <c r="K30" s="998" t="s">
        <v>107</v>
      </c>
      <c r="L30" s="999"/>
      <c r="M30" s="770"/>
      <c r="N30" s="759"/>
      <c r="O30" s="961">
        <f t="shared" si="12"/>
        <v>-6015.8396820164635</v>
      </c>
      <c r="P30" s="961"/>
      <c r="Q30" s="961">
        <f t="shared" si="12"/>
        <v>510786.75997772231</v>
      </c>
      <c r="R30" s="961"/>
      <c r="S30" s="962">
        <f t="shared" si="12"/>
        <v>504770.92029570602</v>
      </c>
      <c r="T30" s="414"/>
    </row>
    <row r="31" spans="1:23" ht="15.75">
      <c r="D31" s="414"/>
      <c r="E31" s="414"/>
      <c r="F31" s="414"/>
      <c r="G31" s="414"/>
      <c r="H31" s="414"/>
      <c r="I31" s="414"/>
      <c r="J31" s="414"/>
      <c r="K31" s="768" t="s">
        <v>146</v>
      </c>
      <c r="L31" s="761"/>
      <c r="M31" s="761"/>
      <c r="N31" s="761"/>
      <c r="O31" s="963">
        <f>SUM(O26:O30)</f>
        <v>-776679.26338225836</v>
      </c>
      <c r="P31" s="963"/>
      <c r="Q31" s="963">
        <f t="shared" ref="Q31:S31" si="14">SUM(Q26:Q30)</f>
        <v>56155855.094819993</v>
      </c>
      <c r="R31" s="963"/>
      <c r="S31" s="938">
        <f t="shared" si="14"/>
        <v>55379175.831437729</v>
      </c>
      <c r="T31" s="414"/>
    </row>
    <row r="32" spans="1:23" ht="15.75"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861"/>
      <c r="T32" s="414"/>
    </row>
    <row r="33" spans="4:11" ht="15.75">
      <c r="D33" s="414"/>
      <c r="E33" s="414"/>
      <c r="F33" s="414"/>
      <c r="G33" s="414"/>
      <c r="H33" s="414"/>
      <c r="I33" s="414"/>
      <c r="J33" s="414"/>
      <c r="K33" s="414"/>
    </row>
    <row r="34" spans="4:11" ht="15.75">
      <c r="D34" s="414"/>
      <c r="E34" s="414"/>
      <c r="F34" s="414"/>
      <c r="G34" s="414"/>
      <c r="H34" s="414"/>
      <c r="I34" s="414"/>
      <c r="J34" s="414"/>
      <c r="K34" s="414"/>
    </row>
    <row r="35" spans="4:11" ht="15.75">
      <c r="D35" s="414"/>
      <c r="E35" s="414"/>
      <c r="F35" s="414"/>
      <c r="G35" s="414"/>
      <c r="H35" s="414"/>
      <c r="I35" s="414"/>
      <c r="J35" s="414"/>
      <c r="K35" s="414"/>
    </row>
    <row r="36" spans="4:11" ht="15.75">
      <c r="D36" s="414"/>
      <c r="E36" s="414"/>
      <c r="F36" s="414"/>
      <c r="G36" s="414"/>
      <c r="H36" s="414"/>
      <c r="I36" s="414"/>
      <c r="J36" s="414"/>
      <c r="K36" s="414"/>
    </row>
    <row r="37" spans="4:11" ht="15.75">
      <c r="D37" s="414"/>
      <c r="E37" s="414"/>
      <c r="F37" s="414"/>
      <c r="G37" s="414"/>
      <c r="H37" s="414"/>
      <c r="I37" s="414"/>
      <c r="J37" s="414"/>
      <c r="K37" s="414"/>
    </row>
    <row r="38" spans="4:11" ht="15.75">
      <c r="D38" s="414"/>
      <c r="E38" s="414"/>
      <c r="F38" s="414"/>
      <c r="G38" s="414"/>
      <c r="H38" s="414"/>
      <c r="I38" s="414"/>
      <c r="J38" s="414"/>
      <c r="K38" s="414"/>
    </row>
  </sheetData>
  <mergeCells count="42">
    <mergeCell ref="K30:L30"/>
    <mergeCell ref="K12:L12"/>
    <mergeCell ref="K14:L14"/>
    <mergeCell ref="K13:L13"/>
    <mergeCell ref="K15:L15"/>
    <mergeCell ref="K16:L16"/>
    <mergeCell ref="K19:L19"/>
    <mergeCell ref="K25:S25"/>
    <mergeCell ref="K26:L26"/>
    <mergeCell ref="K27:L27"/>
    <mergeCell ref="K28:L28"/>
    <mergeCell ref="K29:L29"/>
    <mergeCell ref="K18:S18"/>
    <mergeCell ref="K20:L20"/>
    <mergeCell ref="K21:L21"/>
    <mergeCell ref="K22:L22"/>
    <mergeCell ref="K23:L23"/>
    <mergeCell ref="A29:C29"/>
    <mergeCell ref="A30:C30"/>
    <mergeCell ref="K7:S7"/>
    <mergeCell ref="K8:S8"/>
    <mergeCell ref="A22:C22"/>
    <mergeCell ref="A23:C23"/>
    <mergeCell ref="A25:C25"/>
    <mergeCell ref="A26:C26"/>
    <mergeCell ref="A27:C27"/>
    <mergeCell ref="A28:C28"/>
    <mergeCell ref="A16:C16"/>
    <mergeCell ref="A17:I17"/>
    <mergeCell ref="A18:C18"/>
    <mergeCell ref="A19:C19"/>
    <mergeCell ref="A20:C20"/>
    <mergeCell ref="A8:C8"/>
    <mergeCell ref="D8:F8"/>
    <mergeCell ref="G8:I8"/>
    <mergeCell ref="D7:I7"/>
    <mergeCell ref="A21:C21"/>
    <mergeCell ref="A11:C11"/>
    <mergeCell ref="A12:C12"/>
    <mergeCell ref="A13:C13"/>
    <mergeCell ref="A14:C14"/>
    <mergeCell ref="A15:C15"/>
  </mergeCells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0D99-4140-4FF7-9DEC-D3420233F18A}">
  <dimension ref="A1:N38"/>
  <sheetViews>
    <sheetView view="pageBreakPreview" topLeftCell="A8" zoomScale="60" zoomScaleNormal="100" workbookViewId="0">
      <selection activeCell="F21" sqref="F21"/>
    </sheetView>
  </sheetViews>
  <sheetFormatPr defaultColWidth="12" defaultRowHeight="15.75"/>
  <cols>
    <col min="1" max="1" width="7" style="291" customWidth="1"/>
    <col min="2" max="2" width="2.33203125" style="291" customWidth="1"/>
    <col min="3" max="3" width="40.33203125" style="291" bestFit="1" customWidth="1"/>
    <col min="4" max="4" width="13.83203125" style="291" bestFit="1" customWidth="1"/>
    <col min="5" max="5" width="16.83203125" style="291" customWidth="1"/>
    <col min="6" max="6" width="18" style="291" bestFit="1" customWidth="1"/>
    <col min="7" max="7" width="17.33203125" style="291" bestFit="1" customWidth="1"/>
    <col min="8" max="8" width="17.1640625" style="291" bestFit="1" customWidth="1"/>
    <col min="9" max="9" width="17.1640625" style="291" customWidth="1"/>
    <col min="10" max="10" width="15.6640625" style="291" bestFit="1" customWidth="1"/>
    <col min="11" max="11" width="16.1640625" style="291" customWidth="1"/>
    <col min="12" max="12" width="17.1640625" style="291" customWidth="1"/>
    <col min="13" max="13" width="4.1640625" style="291" customWidth="1"/>
    <col min="14" max="255" width="12" style="291"/>
    <col min="256" max="256" width="7" style="291" customWidth="1"/>
    <col min="257" max="257" width="2.33203125" style="291" customWidth="1"/>
    <col min="258" max="259" width="12" style="291"/>
    <col min="260" max="260" width="6.5" style="291" customWidth="1"/>
    <col min="261" max="261" width="5.1640625" style="291" customWidth="1"/>
    <col min="262" max="262" width="12" style="291"/>
    <col min="263" max="263" width="5.1640625" style="291" customWidth="1"/>
    <col min="264" max="264" width="17.1640625" style="291" customWidth="1"/>
    <col min="265" max="265" width="4.5" style="291" customWidth="1"/>
    <col min="266" max="266" width="16.1640625" style="291" customWidth="1"/>
    <col min="267" max="267" width="4.83203125" style="291" customWidth="1"/>
    <col min="268" max="268" width="17.1640625" style="291" customWidth="1"/>
    <col min="269" max="269" width="4.1640625" style="291" customWidth="1"/>
    <col min="270" max="511" width="12" style="291"/>
    <col min="512" max="512" width="7" style="291" customWidth="1"/>
    <col min="513" max="513" width="2.33203125" style="291" customWidth="1"/>
    <col min="514" max="515" width="12" style="291"/>
    <col min="516" max="516" width="6.5" style="291" customWidth="1"/>
    <col min="517" max="517" width="5.1640625" style="291" customWidth="1"/>
    <col min="518" max="518" width="12" style="291"/>
    <col min="519" max="519" width="5.1640625" style="291" customWidth="1"/>
    <col min="520" max="520" width="17.1640625" style="291" customWidth="1"/>
    <col min="521" max="521" width="4.5" style="291" customWidth="1"/>
    <col min="522" max="522" width="16.1640625" style="291" customWidth="1"/>
    <col min="523" max="523" width="4.83203125" style="291" customWidth="1"/>
    <col min="524" max="524" width="17.1640625" style="291" customWidth="1"/>
    <col min="525" max="525" width="4.1640625" style="291" customWidth="1"/>
    <col min="526" max="767" width="12" style="291"/>
    <col min="768" max="768" width="7" style="291" customWidth="1"/>
    <col min="769" max="769" width="2.33203125" style="291" customWidth="1"/>
    <col min="770" max="771" width="12" style="291"/>
    <col min="772" max="772" width="6.5" style="291" customWidth="1"/>
    <col min="773" max="773" width="5.1640625" style="291" customWidth="1"/>
    <col min="774" max="774" width="12" style="291"/>
    <col min="775" max="775" width="5.1640625" style="291" customWidth="1"/>
    <col min="776" max="776" width="17.1640625" style="291" customWidth="1"/>
    <col min="777" max="777" width="4.5" style="291" customWidth="1"/>
    <col min="778" max="778" width="16.1640625" style="291" customWidth="1"/>
    <col min="779" max="779" width="4.83203125" style="291" customWidth="1"/>
    <col min="780" max="780" width="17.1640625" style="291" customWidth="1"/>
    <col min="781" max="781" width="4.1640625" style="291" customWidth="1"/>
    <col min="782" max="1023" width="12" style="291"/>
    <col min="1024" max="1024" width="7" style="291" customWidth="1"/>
    <col min="1025" max="1025" width="2.33203125" style="291" customWidth="1"/>
    <col min="1026" max="1027" width="12" style="291"/>
    <col min="1028" max="1028" width="6.5" style="291" customWidth="1"/>
    <col min="1029" max="1029" width="5.1640625" style="291" customWidth="1"/>
    <col min="1030" max="1030" width="12" style="291"/>
    <col min="1031" max="1031" width="5.1640625" style="291" customWidth="1"/>
    <col min="1032" max="1032" width="17.1640625" style="291" customWidth="1"/>
    <col min="1033" max="1033" width="4.5" style="291" customWidth="1"/>
    <col min="1034" max="1034" width="16.1640625" style="291" customWidth="1"/>
    <col min="1035" max="1035" width="4.83203125" style="291" customWidth="1"/>
    <col min="1036" max="1036" width="17.1640625" style="291" customWidth="1"/>
    <col min="1037" max="1037" width="4.1640625" style="291" customWidth="1"/>
    <col min="1038" max="1279" width="12" style="291"/>
    <col min="1280" max="1280" width="7" style="291" customWidth="1"/>
    <col min="1281" max="1281" width="2.33203125" style="291" customWidth="1"/>
    <col min="1282" max="1283" width="12" style="291"/>
    <col min="1284" max="1284" width="6.5" style="291" customWidth="1"/>
    <col min="1285" max="1285" width="5.1640625" style="291" customWidth="1"/>
    <col min="1286" max="1286" width="12" style="291"/>
    <col min="1287" max="1287" width="5.1640625" style="291" customWidth="1"/>
    <col min="1288" max="1288" width="17.1640625" style="291" customWidth="1"/>
    <col min="1289" max="1289" width="4.5" style="291" customWidth="1"/>
    <col min="1290" max="1290" width="16.1640625" style="291" customWidth="1"/>
    <col min="1291" max="1291" width="4.83203125" style="291" customWidth="1"/>
    <col min="1292" max="1292" width="17.1640625" style="291" customWidth="1"/>
    <col min="1293" max="1293" width="4.1640625" style="291" customWidth="1"/>
    <col min="1294" max="1535" width="12" style="291"/>
    <col min="1536" max="1536" width="7" style="291" customWidth="1"/>
    <col min="1537" max="1537" width="2.33203125" style="291" customWidth="1"/>
    <col min="1538" max="1539" width="12" style="291"/>
    <col min="1540" max="1540" width="6.5" style="291" customWidth="1"/>
    <col min="1541" max="1541" width="5.1640625" style="291" customWidth="1"/>
    <col min="1542" max="1542" width="12" style="291"/>
    <col min="1543" max="1543" width="5.1640625" style="291" customWidth="1"/>
    <col min="1544" max="1544" width="17.1640625" style="291" customWidth="1"/>
    <col min="1545" max="1545" width="4.5" style="291" customWidth="1"/>
    <col min="1546" max="1546" width="16.1640625" style="291" customWidth="1"/>
    <col min="1547" max="1547" width="4.83203125" style="291" customWidth="1"/>
    <col min="1548" max="1548" width="17.1640625" style="291" customWidth="1"/>
    <col min="1549" max="1549" width="4.1640625" style="291" customWidth="1"/>
    <col min="1550" max="1791" width="12" style="291"/>
    <col min="1792" max="1792" width="7" style="291" customWidth="1"/>
    <col min="1793" max="1793" width="2.33203125" style="291" customWidth="1"/>
    <col min="1794" max="1795" width="12" style="291"/>
    <col min="1796" max="1796" width="6.5" style="291" customWidth="1"/>
    <col min="1797" max="1797" width="5.1640625" style="291" customWidth="1"/>
    <col min="1798" max="1798" width="12" style="291"/>
    <col min="1799" max="1799" width="5.1640625" style="291" customWidth="1"/>
    <col min="1800" max="1800" width="17.1640625" style="291" customWidth="1"/>
    <col min="1801" max="1801" width="4.5" style="291" customWidth="1"/>
    <col min="1802" max="1802" width="16.1640625" style="291" customWidth="1"/>
    <col min="1803" max="1803" width="4.83203125" style="291" customWidth="1"/>
    <col min="1804" max="1804" width="17.1640625" style="291" customWidth="1"/>
    <col min="1805" max="1805" width="4.1640625" style="291" customWidth="1"/>
    <col min="1806" max="2047" width="12" style="291"/>
    <col min="2048" max="2048" width="7" style="291" customWidth="1"/>
    <col min="2049" max="2049" width="2.33203125" style="291" customWidth="1"/>
    <col min="2050" max="2051" width="12" style="291"/>
    <col min="2052" max="2052" width="6.5" style="291" customWidth="1"/>
    <col min="2053" max="2053" width="5.1640625" style="291" customWidth="1"/>
    <col min="2054" max="2054" width="12" style="291"/>
    <col min="2055" max="2055" width="5.1640625" style="291" customWidth="1"/>
    <col min="2056" max="2056" width="17.1640625" style="291" customWidth="1"/>
    <col min="2057" max="2057" width="4.5" style="291" customWidth="1"/>
    <col min="2058" max="2058" width="16.1640625" style="291" customWidth="1"/>
    <col min="2059" max="2059" width="4.83203125" style="291" customWidth="1"/>
    <col min="2060" max="2060" width="17.1640625" style="291" customWidth="1"/>
    <col min="2061" max="2061" width="4.1640625" style="291" customWidth="1"/>
    <col min="2062" max="2303" width="12" style="291"/>
    <col min="2304" max="2304" width="7" style="291" customWidth="1"/>
    <col min="2305" max="2305" width="2.33203125" style="291" customWidth="1"/>
    <col min="2306" max="2307" width="12" style="291"/>
    <col min="2308" max="2308" width="6.5" style="291" customWidth="1"/>
    <col min="2309" max="2309" width="5.1640625" style="291" customWidth="1"/>
    <col min="2310" max="2310" width="12" style="291"/>
    <col min="2311" max="2311" width="5.1640625" style="291" customWidth="1"/>
    <col min="2312" max="2312" width="17.1640625" style="291" customWidth="1"/>
    <col min="2313" max="2313" width="4.5" style="291" customWidth="1"/>
    <col min="2314" max="2314" width="16.1640625" style="291" customWidth="1"/>
    <col min="2315" max="2315" width="4.83203125" style="291" customWidth="1"/>
    <col min="2316" max="2316" width="17.1640625" style="291" customWidth="1"/>
    <col min="2317" max="2317" width="4.1640625" style="291" customWidth="1"/>
    <col min="2318" max="2559" width="12" style="291"/>
    <col min="2560" max="2560" width="7" style="291" customWidth="1"/>
    <col min="2561" max="2561" width="2.33203125" style="291" customWidth="1"/>
    <col min="2562" max="2563" width="12" style="291"/>
    <col min="2564" max="2564" width="6.5" style="291" customWidth="1"/>
    <col min="2565" max="2565" width="5.1640625" style="291" customWidth="1"/>
    <col min="2566" max="2566" width="12" style="291"/>
    <col min="2567" max="2567" width="5.1640625" style="291" customWidth="1"/>
    <col min="2568" max="2568" width="17.1640625" style="291" customWidth="1"/>
    <col min="2569" max="2569" width="4.5" style="291" customWidth="1"/>
    <col min="2570" max="2570" width="16.1640625" style="291" customWidth="1"/>
    <col min="2571" max="2571" width="4.83203125" style="291" customWidth="1"/>
    <col min="2572" max="2572" width="17.1640625" style="291" customWidth="1"/>
    <col min="2573" max="2573" width="4.1640625" style="291" customWidth="1"/>
    <col min="2574" max="2815" width="12" style="291"/>
    <col min="2816" max="2816" width="7" style="291" customWidth="1"/>
    <col min="2817" max="2817" width="2.33203125" style="291" customWidth="1"/>
    <col min="2818" max="2819" width="12" style="291"/>
    <col min="2820" max="2820" width="6.5" style="291" customWidth="1"/>
    <col min="2821" max="2821" width="5.1640625" style="291" customWidth="1"/>
    <col min="2822" max="2822" width="12" style="291"/>
    <col min="2823" max="2823" width="5.1640625" style="291" customWidth="1"/>
    <col min="2824" max="2824" width="17.1640625" style="291" customWidth="1"/>
    <col min="2825" max="2825" width="4.5" style="291" customWidth="1"/>
    <col min="2826" max="2826" width="16.1640625" style="291" customWidth="1"/>
    <col min="2827" max="2827" width="4.83203125" style="291" customWidth="1"/>
    <col min="2828" max="2828" width="17.1640625" style="291" customWidth="1"/>
    <col min="2829" max="2829" width="4.1640625" style="291" customWidth="1"/>
    <col min="2830" max="3071" width="12" style="291"/>
    <col min="3072" max="3072" width="7" style="291" customWidth="1"/>
    <col min="3073" max="3073" width="2.33203125" style="291" customWidth="1"/>
    <col min="3074" max="3075" width="12" style="291"/>
    <col min="3076" max="3076" width="6.5" style="291" customWidth="1"/>
    <col min="3077" max="3077" width="5.1640625" style="291" customWidth="1"/>
    <col min="3078" max="3078" width="12" style="291"/>
    <col min="3079" max="3079" width="5.1640625" style="291" customWidth="1"/>
    <col min="3080" max="3080" width="17.1640625" style="291" customWidth="1"/>
    <col min="3081" max="3081" width="4.5" style="291" customWidth="1"/>
    <col min="3082" max="3082" width="16.1640625" style="291" customWidth="1"/>
    <col min="3083" max="3083" width="4.83203125" style="291" customWidth="1"/>
    <col min="3084" max="3084" width="17.1640625" style="291" customWidth="1"/>
    <col min="3085" max="3085" width="4.1640625" style="291" customWidth="1"/>
    <col min="3086" max="3327" width="12" style="291"/>
    <col min="3328" max="3328" width="7" style="291" customWidth="1"/>
    <col min="3329" max="3329" width="2.33203125" style="291" customWidth="1"/>
    <col min="3330" max="3331" width="12" style="291"/>
    <col min="3332" max="3332" width="6.5" style="291" customWidth="1"/>
    <col min="3333" max="3333" width="5.1640625" style="291" customWidth="1"/>
    <col min="3334" max="3334" width="12" style="291"/>
    <col min="3335" max="3335" width="5.1640625" style="291" customWidth="1"/>
    <col min="3336" max="3336" width="17.1640625" style="291" customWidth="1"/>
    <col min="3337" max="3337" width="4.5" style="291" customWidth="1"/>
    <col min="3338" max="3338" width="16.1640625" style="291" customWidth="1"/>
    <col min="3339" max="3339" width="4.83203125" style="291" customWidth="1"/>
    <col min="3340" max="3340" width="17.1640625" style="291" customWidth="1"/>
    <col min="3341" max="3341" width="4.1640625" style="291" customWidth="1"/>
    <col min="3342" max="3583" width="12" style="291"/>
    <col min="3584" max="3584" width="7" style="291" customWidth="1"/>
    <col min="3585" max="3585" width="2.33203125" style="291" customWidth="1"/>
    <col min="3586" max="3587" width="12" style="291"/>
    <col min="3588" max="3588" width="6.5" style="291" customWidth="1"/>
    <col min="3589" max="3589" width="5.1640625" style="291" customWidth="1"/>
    <col min="3590" max="3590" width="12" style="291"/>
    <col min="3591" max="3591" width="5.1640625" style="291" customWidth="1"/>
    <col min="3592" max="3592" width="17.1640625" style="291" customWidth="1"/>
    <col min="3593" max="3593" width="4.5" style="291" customWidth="1"/>
    <col min="3594" max="3594" width="16.1640625" style="291" customWidth="1"/>
    <col min="3595" max="3595" width="4.83203125" style="291" customWidth="1"/>
    <col min="3596" max="3596" width="17.1640625" style="291" customWidth="1"/>
    <col min="3597" max="3597" width="4.1640625" style="291" customWidth="1"/>
    <col min="3598" max="3839" width="12" style="291"/>
    <col min="3840" max="3840" width="7" style="291" customWidth="1"/>
    <col min="3841" max="3841" width="2.33203125" style="291" customWidth="1"/>
    <col min="3842" max="3843" width="12" style="291"/>
    <col min="3844" max="3844" width="6.5" style="291" customWidth="1"/>
    <col min="3845" max="3845" width="5.1640625" style="291" customWidth="1"/>
    <col min="3846" max="3846" width="12" style="291"/>
    <col min="3847" max="3847" width="5.1640625" style="291" customWidth="1"/>
    <col min="3848" max="3848" width="17.1640625" style="291" customWidth="1"/>
    <col min="3849" max="3849" width="4.5" style="291" customWidth="1"/>
    <col min="3850" max="3850" width="16.1640625" style="291" customWidth="1"/>
    <col min="3851" max="3851" width="4.83203125" style="291" customWidth="1"/>
    <col min="3852" max="3852" width="17.1640625" style="291" customWidth="1"/>
    <col min="3853" max="3853" width="4.1640625" style="291" customWidth="1"/>
    <col min="3854" max="4095" width="12" style="291"/>
    <col min="4096" max="4096" width="7" style="291" customWidth="1"/>
    <col min="4097" max="4097" width="2.33203125" style="291" customWidth="1"/>
    <col min="4098" max="4099" width="12" style="291"/>
    <col min="4100" max="4100" width="6.5" style="291" customWidth="1"/>
    <col min="4101" max="4101" width="5.1640625" style="291" customWidth="1"/>
    <col min="4102" max="4102" width="12" style="291"/>
    <col min="4103" max="4103" width="5.1640625" style="291" customWidth="1"/>
    <col min="4104" max="4104" width="17.1640625" style="291" customWidth="1"/>
    <col min="4105" max="4105" width="4.5" style="291" customWidth="1"/>
    <col min="4106" max="4106" width="16.1640625" style="291" customWidth="1"/>
    <col min="4107" max="4107" width="4.83203125" style="291" customWidth="1"/>
    <col min="4108" max="4108" width="17.1640625" style="291" customWidth="1"/>
    <col min="4109" max="4109" width="4.1640625" style="291" customWidth="1"/>
    <col min="4110" max="4351" width="12" style="291"/>
    <col min="4352" max="4352" width="7" style="291" customWidth="1"/>
    <col min="4353" max="4353" width="2.33203125" style="291" customWidth="1"/>
    <col min="4354" max="4355" width="12" style="291"/>
    <col min="4356" max="4356" width="6.5" style="291" customWidth="1"/>
    <col min="4357" max="4357" width="5.1640625" style="291" customWidth="1"/>
    <col min="4358" max="4358" width="12" style="291"/>
    <col min="4359" max="4359" width="5.1640625" style="291" customWidth="1"/>
    <col min="4360" max="4360" width="17.1640625" style="291" customWidth="1"/>
    <col min="4361" max="4361" width="4.5" style="291" customWidth="1"/>
    <col min="4362" max="4362" width="16.1640625" style="291" customWidth="1"/>
    <col min="4363" max="4363" width="4.83203125" style="291" customWidth="1"/>
    <col min="4364" max="4364" width="17.1640625" style="291" customWidth="1"/>
    <col min="4365" max="4365" width="4.1640625" style="291" customWidth="1"/>
    <col min="4366" max="4607" width="12" style="291"/>
    <col min="4608" max="4608" width="7" style="291" customWidth="1"/>
    <col min="4609" max="4609" width="2.33203125" style="291" customWidth="1"/>
    <col min="4610" max="4611" width="12" style="291"/>
    <col min="4612" max="4612" width="6.5" style="291" customWidth="1"/>
    <col min="4613" max="4613" width="5.1640625" style="291" customWidth="1"/>
    <col min="4614" max="4614" width="12" style="291"/>
    <col min="4615" max="4615" width="5.1640625" style="291" customWidth="1"/>
    <col min="4616" max="4616" width="17.1640625" style="291" customWidth="1"/>
    <col min="4617" max="4617" width="4.5" style="291" customWidth="1"/>
    <col min="4618" max="4618" width="16.1640625" style="291" customWidth="1"/>
    <col min="4619" max="4619" width="4.83203125" style="291" customWidth="1"/>
    <col min="4620" max="4620" width="17.1640625" style="291" customWidth="1"/>
    <col min="4621" max="4621" width="4.1640625" style="291" customWidth="1"/>
    <col min="4622" max="4863" width="12" style="291"/>
    <col min="4864" max="4864" width="7" style="291" customWidth="1"/>
    <col min="4865" max="4865" width="2.33203125" style="291" customWidth="1"/>
    <col min="4866" max="4867" width="12" style="291"/>
    <col min="4868" max="4868" width="6.5" style="291" customWidth="1"/>
    <col min="4869" max="4869" width="5.1640625" style="291" customWidth="1"/>
    <col min="4870" max="4870" width="12" style="291"/>
    <col min="4871" max="4871" width="5.1640625" style="291" customWidth="1"/>
    <col min="4872" max="4872" width="17.1640625" style="291" customWidth="1"/>
    <col min="4873" max="4873" width="4.5" style="291" customWidth="1"/>
    <col min="4874" max="4874" width="16.1640625" style="291" customWidth="1"/>
    <col min="4875" max="4875" width="4.83203125" style="291" customWidth="1"/>
    <col min="4876" max="4876" width="17.1640625" style="291" customWidth="1"/>
    <col min="4877" max="4877" width="4.1640625" style="291" customWidth="1"/>
    <col min="4878" max="5119" width="12" style="291"/>
    <col min="5120" max="5120" width="7" style="291" customWidth="1"/>
    <col min="5121" max="5121" width="2.33203125" style="291" customWidth="1"/>
    <col min="5122" max="5123" width="12" style="291"/>
    <col min="5124" max="5124" width="6.5" style="291" customWidth="1"/>
    <col min="5125" max="5125" width="5.1640625" style="291" customWidth="1"/>
    <col min="5126" max="5126" width="12" style="291"/>
    <col min="5127" max="5127" width="5.1640625" style="291" customWidth="1"/>
    <col min="5128" max="5128" width="17.1640625" style="291" customWidth="1"/>
    <col min="5129" max="5129" width="4.5" style="291" customWidth="1"/>
    <col min="5130" max="5130" width="16.1640625" style="291" customWidth="1"/>
    <col min="5131" max="5131" width="4.83203125" style="291" customWidth="1"/>
    <col min="5132" max="5132" width="17.1640625" style="291" customWidth="1"/>
    <col min="5133" max="5133" width="4.1640625" style="291" customWidth="1"/>
    <col min="5134" max="5375" width="12" style="291"/>
    <col min="5376" max="5376" width="7" style="291" customWidth="1"/>
    <col min="5377" max="5377" width="2.33203125" style="291" customWidth="1"/>
    <col min="5378" max="5379" width="12" style="291"/>
    <col min="5380" max="5380" width="6.5" style="291" customWidth="1"/>
    <col min="5381" max="5381" width="5.1640625" style="291" customWidth="1"/>
    <col min="5382" max="5382" width="12" style="291"/>
    <col min="5383" max="5383" width="5.1640625" style="291" customWidth="1"/>
    <col min="5384" max="5384" width="17.1640625" style="291" customWidth="1"/>
    <col min="5385" max="5385" width="4.5" style="291" customWidth="1"/>
    <col min="5386" max="5386" width="16.1640625" style="291" customWidth="1"/>
    <col min="5387" max="5387" width="4.83203125" style="291" customWidth="1"/>
    <col min="5388" max="5388" width="17.1640625" style="291" customWidth="1"/>
    <col min="5389" max="5389" width="4.1640625" style="291" customWidth="1"/>
    <col min="5390" max="5631" width="12" style="291"/>
    <col min="5632" max="5632" width="7" style="291" customWidth="1"/>
    <col min="5633" max="5633" width="2.33203125" style="291" customWidth="1"/>
    <col min="5634" max="5635" width="12" style="291"/>
    <col min="5636" max="5636" width="6.5" style="291" customWidth="1"/>
    <col min="5637" max="5637" width="5.1640625" style="291" customWidth="1"/>
    <col min="5638" max="5638" width="12" style="291"/>
    <col min="5639" max="5639" width="5.1640625" style="291" customWidth="1"/>
    <col min="5640" max="5640" width="17.1640625" style="291" customWidth="1"/>
    <col min="5641" max="5641" width="4.5" style="291" customWidth="1"/>
    <col min="5642" max="5642" width="16.1640625" style="291" customWidth="1"/>
    <col min="5643" max="5643" width="4.83203125" style="291" customWidth="1"/>
    <col min="5644" max="5644" width="17.1640625" style="291" customWidth="1"/>
    <col min="5645" max="5645" width="4.1640625" style="291" customWidth="1"/>
    <col min="5646" max="5887" width="12" style="291"/>
    <col min="5888" max="5888" width="7" style="291" customWidth="1"/>
    <col min="5889" max="5889" width="2.33203125" style="291" customWidth="1"/>
    <col min="5890" max="5891" width="12" style="291"/>
    <col min="5892" max="5892" width="6.5" style="291" customWidth="1"/>
    <col min="5893" max="5893" width="5.1640625" style="291" customWidth="1"/>
    <col min="5894" max="5894" width="12" style="291"/>
    <col min="5895" max="5895" width="5.1640625" style="291" customWidth="1"/>
    <col min="5896" max="5896" width="17.1640625" style="291" customWidth="1"/>
    <col min="5897" max="5897" width="4.5" style="291" customWidth="1"/>
    <col min="5898" max="5898" width="16.1640625" style="291" customWidth="1"/>
    <col min="5899" max="5899" width="4.83203125" style="291" customWidth="1"/>
    <col min="5900" max="5900" width="17.1640625" style="291" customWidth="1"/>
    <col min="5901" max="5901" width="4.1640625" style="291" customWidth="1"/>
    <col min="5902" max="6143" width="12" style="291"/>
    <col min="6144" max="6144" width="7" style="291" customWidth="1"/>
    <col min="6145" max="6145" width="2.33203125" style="291" customWidth="1"/>
    <col min="6146" max="6147" width="12" style="291"/>
    <col min="6148" max="6148" width="6.5" style="291" customWidth="1"/>
    <col min="6149" max="6149" width="5.1640625" style="291" customWidth="1"/>
    <col min="6150" max="6150" width="12" style="291"/>
    <col min="6151" max="6151" width="5.1640625" style="291" customWidth="1"/>
    <col min="6152" max="6152" width="17.1640625" style="291" customWidth="1"/>
    <col min="6153" max="6153" width="4.5" style="291" customWidth="1"/>
    <col min="6154" max="6154" width="16.1640625" style="291" customWidth="1"/>
    <col min="6155" max="6155" width="4.83203125" style="291" customWidth="1"/>
    <col min="6156" max="6156" width="17.1640625" style="291" customWidth="1"/>
    <col min="6157" max="6157" width="4.1640625" style="291" customWidth="1"/>
    <col min="6158" max="6399" width="12" style="291"/>
    <col min="6400" max="6400" width="7" style="291" customWidth="1"/>
    <col min="6401" max="6401" width="2.33203125" style="291" customWidth="1"/>
    <col min="6402" max="6403" width="12" style="291"/>
    <col min="6404" max="6404" width="6.5" style="291" customWidth="1"/>
    <col min="6405" max="6405" width="5.1640625" style="291" customWidth="1"/>
    <col min="6406" max="6406" width="12" style="291"/>
    <col min="6407" max="6407" width="5.1640625" style="291" customWidth="1"/>
    <col min="6408" max="6408" width="17.1640625" style="291" customWidth="1"/>
    <col min="6409" max="6409" width="4.5" style="291" customWidth="1"/>
    <col min="6410" max="6410" width="16.1640625" style="291" customWidth="1"/>
    <col min="6411" max="6411" width="4.83203125" style="291" customWidth="1"/>
    <col min="6412" max="6412" width="17.1640625" style="291" customWidth="1"/>
    <col min="6413" max="6413" width="4.1640625" style="291" customWidth="1"/>
    <col min="6414" max="6655" width="12" style="291"/>
    <col min="6656" max="6656" width="7" style="291" customWidth="1"/>
    <col min="6657" max="6657" width="2.33203125" style="291" customWidth="1"/>
    <col min="6658" max="6659" width="12" style="291"/>
    <col min="6660" max="6660" width="6.5" style="291" customWidth="1"/>
    <col min="6661" max="6661" width="5.1640625" style="291" customWidth="1"/>
    <col min="6662" max="6662" width="12" style="291"/>
    <col min="6663" max="6663" width="5.1640625" style="291" customWidth="1"/>
    <col min="6664" max="6664" width="17.1640625" style="291" customWidth="1"/>
    <col min="6665" max="6665" width="4.5" style="291" customWidth="1"/>
    <col min="6666" max="6666" width="16.1640625" style="291" customWidth="1"/>
    <col min="6667" max="6667" width="4.83203125" style="291" customWidth="1"/>
    <col min="6668" max="6668" width="17.1640625" style="291" customWidth="1"/>
    <col min="6669" max="6669" width="4.1640625" style="291" customWidth="1"/>
    <col min="6670" max="6911" width="12" style="291"/>
    <col min="6912" max="6912" width="7" style="291" customWidth="1"/>
    <col min="6913" max="6913" width="2.33203125" style="291" customWidth="1"/>
    <col min="6914" max="6915" width="12" style="291"/>
    <col min="6916" max="6916" width="6.5" style="291" customWidth="1"/>
    <col min="6917" max="6917" width="5.1640625" style="291" customWidth="1"/>
    <col min="6918" max="6918" width="12" style="291"/>
    <col min="6919" max="6919" width="5.1640625" style="291" customWidth="1"/>
    <col min="6920" max="6920" width="17.1640625" style="291" customWidth="1"/>
    <col min="6921" max="6921" width="4.5" style="291" customWidth="1"/>
    <col min="6922" max="6922" width="16.1640625" style="291" customWidth="1"/>
    <col min="6923" max="6923" width="4.83203125" style="291" customWidth="1"/>
    <col min="6924" max="6924" width="17.1640625" style="291" customWidth="1"/>
    <col min="6925" max="6925" width="4.1640625" style="291" customWidth="1"/>
    <col min="6926" max="7167" width="12" style="291"/>
    <col min="7168" max="7168" width="7" style="291" customWidth="1"/>
    <col min="7169" max="7169" width="2.33203125" style="291" customWidth="1"/>
    <col min="7170" max="7171" width="12" style="291"/>
    <col min="7172" max="7172" width="6.5" style="291" customWidth="1"/>
    <col min="7173" max="7173" width="5.1640625" style="291" customWidth="1"/>
    <col min="7174" max="7174" width="12" style="291"/>
    <col min="7175" max="7175" width="5.1640625" style="291" customWidth="1"/>
    <col min="7176" max="7176" width="17.1640625" style="291" customWidth="1"/>
    <col min="7177" max="7177" width="4.5" style="291" customWidth="1"/>
    <col min="7178" max="7178" width="16.1640625" style="291" customWidth="1"/>
    <col min="7179" max="7179" width="4.83203125" style="291" customWidth="1"/>
    <col min="7180" max="7180" width="17.1640625" style="291" customWidth="1"/>
    <col min="7181" max="7181" width="4.1640625" style="291" customWidth="1"/>
    <col min="7182" max="7423" width="12" style="291"/>
    <col min="7424" max="7424" width="7" style="291" customWidth="1"/>
    <col min="7425" max="7425" width="2.33203125" style="291" customWidth="1"/>
    <col min="7426" max="7427" width="12" style="291"/>
    <col min="7428" max="7428" width="6.5" style="291" customWidth="1"/>
    <col min="7429" max="7429" width="5.1640625" style="291" customWidth="1"/>
    <col min="7430" max="7430" width="12" style="291"/>
    <col min="7431" max="7431" width="5.1640625" style="291" customWidth="1"/>
    <col min="7432" max="7432" width="17.1640625" style="291" customWidth="1"/>
    <col min="7433" max="7433" width="4.5" style="291" customWidth="1"/>
    <col min="7434" max="7434" width="16.1640625" style="291" customWidth="1"/>
    <col min="7435" max="7435" width="4.83203125" style="291" customWidth="1"/>
    <col min="7436" max="7436" width="17.1640625" style="291" customWidth="1"/>
    <col min="7437" max="7437" width="4.1640625" style="291" customWidth="1"/>
    <col min="7438" max="7679" width="12" style="291"/>
    <col min="7680" max="7680" width="7" style="291" customWidth="1"/>
    <col min="7681" max="7681" width="2.33203125" style="291" customWidth="1"/>
    <col min="7682" max="7683" width="12" style="291"/>
    <col min="7684" max="7684" width="6.5" style="291" customWidth="1"/>
    <col min="7685" max="7685" width="5.1640625" style="291" customWidth="1"/>
    <col min="7686" max="7686" width="12" style="291"/>
    <col min="7687" max="7687" width="5.1640625" style="291" customWidth="1"/>
    <col min="7688" max="7688" width="17.1640625" style="291" customWidth="1"/>
    <col min="7689" max="7689" width="4.5" style="291" customWidth="1"/>
    <col min="7690" max="7690" width="16.1640625" style="291" customWidth="1"/>
    <col min="7691" max="7691" width="4.83203125" style="291" customWidth="1"/>
    <col min="7692" max="7692" width="17.1640625" style="291" customWidth="1"/>
    <col min="7693" max="7693" width="4.1640625" style="291" customWidth="1"/>
    <col min="7694" max="7935" width="12" style="291"/>
    <col min="7936" max="7936" width="7" style="291" customWidth="1"/>
    <col min="7937" max="7937" width="2.33203125" style="291" customWidth="1"/>
    <col min="7938" max="7939" width="12" style="291"/>
    <col min="7940" max="7940" width="6.5" style="291" customWidth="1"/>
    <col min="7941" max="7941" width="5.1640625" style="291" customWidth="1"/>
    <col min="7942" max="7942" width="12" style="291"/>
    <col min="7943" max="7943" width="5.1640625" style="291" customWidth="1"/>
    <col min="7944" max="7944" width="17.1640625" style="291" customWidth="1"/>
    <col min="7945" max="7945" width="4.5" style="291" customWidth="1"/>
    <col min="7946" max="7946" width="16.1640625" style="291" customWidth="1"/>
    <col min="7947" max="7947" width="4.83203125" style="291" customWidth="1"/>
    <col min="7948" max="7948" width="17.1640625" style="291" customWidth="1"/>
    <col min="7949" max="7949" width="4.1640625" style="291" customWidth="1"/>
    <col min="7950" max="8191" width="12" style="291"/>
    <col min="8192" max="8192" width="7" style="291" customWidth="1"/>
    <col min="8193" max="8193" width="2.33203125" style="291" customWidth="1"/>
    <col min="8194" max="8195" width="12" style="291"/>
    <col min="8196" max="8196" width="6.5" style="291" customWidth="1"/>
    <col min="8197" max="8197" width="5.1640625" style="291" customWidth="1"/>
    <col min="8198" max="8198" width="12" style="291"/>
    <col min="8199" max="8199" width="5.1640625" style="291" customWidth="1"/>
    <col min="8200" max="8200" width="17.1640625" style="291" customWidth="1"/>
    <col min="8201" max="8201" width="4.5" style="291" customWidth="1"/>
    <col min="8202" max="8202" width="16.1640625" style="291" customWidth="1"/>
    <col min="8203" max="8203" width="4.83203125" style="291" customWidth="1"/>
    <col min="8204" max="8204" width="17.1640625" style="291" customWidth="1"/>
    <col min="8205" max="8205" width="4.1640625" style="291" customWidth="1"/>
    <col min="8206" max="8447" width="12" style="291"/>
    <col min="8448" max="8448" width="7" style="291" customWidth="1"/>
    <col min="8449" max="8449" width="2.33203125" style="291" customWidth="1"/>
    <col min="8450" max="8451" width="12" style="291"/>
    <col min="8452" max="8452" width="6.5" style="291" customWidth="1"/>
    <col min="8453" max="8453" width="5.1640625" style="291" customWidth="1"/>
    <col min="8454" max="8454" width="12" style="291"/>
    <col min="8455" max="8455" width="5.1640625" style="291" customWidth="1"/>
    <col min="8456" max="8456" width="17.1640625" style="291" customWidth="1"/>
    <col min="8457" max="8457" width="4.5" style="291" customWidth="1"/>
    <col min="8458" max="8458" width="16.1640625" style="291" customWidth="1"/>
    <col min="8459" max="8459" width="4.83203125" style="291" customWidth="1"/>
    <col min="8460" max="8460" width="17.1640625" style="291" customWidth="1"/>
    <col min="8461" max="8461" width="4.1640625" style="291" customWidth="1"/>
    <col min="8462" max="8703" width="12" style="291"/>
    <col min="8704" max="8704" width="7" style="291" customWidth="1"/>
    <col min="8705" max="8705" width="2.33203125" style="291" customWidth="1"/>
    <col min="8706" max="8707" width="12" style="291"/>
    <col min="8708" max="8708" width="6.5" style="291" customWidth="1"/>
    <col min="8709" max="8709" width="5.1640625" style="291" customWidth="1"/>
    <col min="8710" max="8710" width="12" style="291"/>
    <col min="8711" max="8711" width="5.1640625" style="291" customWidth="1"/>
    <col min="8712" max="8712" width="17.1640625" style="291" customWidth="1"/>
    <col min="8713" max="8713" width="4.5" style="291" customWidth="1"/>
    <col min="8714" max="8714" width="16.1640625" style="291" customWidth="1"/>
    <col min="8715" max="8715" width="4.83203125" style="291" customWidth="1"/>
    <col min="8716" max="8716" width="17.1640625" style="291" customWidth="1"/>
    <col min="8717" max="8717" width="4.1640625" style="291" customWidth="1"/>
    <col min="8718" max="8959" width="12" style="291"/>
    <col min="8960" max="8960" width="7" style="291" customWidth="1"/>
    <col min="8961" max="8961" width="2.33203125" style="291" customWidth="1"/>
    <col min="8962" max="8963" width="12" style="291"/>
    <col min="8964" max="8964" width="6.5" style="291" customWidth="1"/>
    <col min="8965" max="8965" width="5.1640625" style="291" customWidth="1"/>
    <col min="8966" max="8966" width="12" style="291"/>
    <col min="8967" max="8967" width="5.1640625" style="291" customWidth="1"/>
    <col min="8968" max="8968" width="17.1640625" style="291" customWidth="1"/>
    <col min="8969" max="8969" width="4.5" style="291" customWidth="1"/>
    <col min="8970" max="8970" width="16.1640625" style="291" customWidth="1"/>
    <col min="8971" max="8971" width="4.83203125" style="291" customWidth="1"/>
    <col min="8972" max="8972" width="17.1640625" style="291" customWidth="1"/>
    <col min="8973" max="8973" width="4.1640625" style="291" customWidth="1"/>
    <col min="8974" max="9215" width="12" style="291"/>
    <col min="9216" max="9216" width="7" style="291" customWidth="1"/>
    <col min="9217" max="9217" width="2.33203125" style="291" customWidth="1"/>
    <col min="9218" max="9219" width="12" style="291"/>
    <col min="9220" max="9220" width="6.5" style="291" customWidth="1"/>
    <col min="9221" max="9221" width="5.1640625" style="291" customWidth="1"/>
    <col min="9222" max="9222" width="12" style="291"/>
    <col min="9223" max="9223" width="5.1640625" style="291" customWidth="1"/>
    <col min="9224" max="9224" width="17.1640625" style="291" customWidth="1"/>
    <col min="9225" max="9225" width="4.5" style="291" customWidth="1"/>
    <col min="9226" max="9226" width="16.1640625" style="291" customWidth="1"/>
    <col min="9227" max="9227" width="4.83203125" style="291" customWidth="1"/>
    <col min="9228" max="9228" width="17.1640625" style="291" customWidth="1"/>
    <col min="9229" max="9229" width="4.1640625" style="291" customWidth="1"/>
    <col min="9230" max="9471" width="12" style="291"/>
    <col min="9472" max="9472" width="7" style="291" customWidth="1"/>
    <col min="9473" max="9473" width="2.33203125" style="291" customWidth="1"/>
    <col min="9474" max="9475" width="12" style="291"/>
    <col min="9476" max="9476" width="6.5" style="291" customWidth="1"/>
    <col min="9477" max="9477" width="5.1640625" style="291" customWidth="1"/>
    <col min="9478" max="9478" width="12" style="291"/>
    <col min="9479" max="9479" width="5.1640625" style="291" customWidth="1"/>
    <col min="9480" max="9480" width="17.1640625" style="291" customWidth="1"/>
    <col min="9481" max="9481" width="4.5" style="291" customWidth="1"/>
    <col min="9482" max="9482" width="16.1640625" style="291" customWidth="1"/>
    <col min="9483" max="9483" width="4.83203125" style="291" customWidth="1"/>
    <col min="9484" max="9484" width="17.1640625" style="291" customWidth="1"/>
    <col min="9485" max="9485" width="4.1640625" style="291" customWidth="1"/>
    <col min="9486" max="9727" width="12" style="291"/>
    <col min="9728" max="9728" width="7" style="291" customWidth="1"/>
    <col min="9729" max="9729" width="2.33203125" style="291" customWidth="1"/>
    <col min="9730" max="9731" width="12" style="291"/>
    <col min="9732" max="9732" width="6.5" style="291" customWidth="1"/>
    <col min="9733" max="9733" width="5.1640625" style="291" customWidth="1"/>
    <col min="9734" max="9734" width="12" style="291"/>
    <col min="9735" max="9735" width="5.1640625" style="291" customWidth="1"/>
    <col min="9736" max="9736" width="17.1640625" style="291" customWidth="1"/>
    <col min="9737" max="9737" width="4.5" style="291" customWidth="1"/>
    <col min="9738" max="9738" width="16.1640625" style="291" customWidth="1"/>
    <col min="9739" max="9739" width="4.83203125" style="291" customWidth="1"/>
    <col min="9740" max="9740" width="17.1640625" style="291" customWidth="1"/>
    <col min="9741" max="9741" width="4.1640625" style="291" customWidth="1"/>
    <col min="9742" max="9983" width="12" style="291"/>
    <col min="9984" max="9984" width="7" style="291" customWidth="1"/>
    <col min="9985" max="9985" width="2.33203125" style="291" customWidth="1"/>
    <col min="9986" max="9987" width="12" style="291"/>
    <col min="9988" max="9988" width="6.5" style="291" customWidth="1"/>
    <col min="9989" max="9989" width="5.1640625" style="291" customWidth="1"/>
    <col min="9990" max="9990" width="12" style="291"/>
    <col min="9991" max="9991" width="5.1640625" style="291" customWidth="1"/>
    <col min="9992" max="9992" width="17.1640625" style="291" customWidth="1"/>
    <col min="9993" max="9993" width="4.5" style="291" customWidth="1"/>
    <col min="9994" max="9994" width="16.1640625" style="291" customWidth="1"/>
    <col min="9995" max="9995" width="4.83203125" style="291" customWidth="1"/>
    <col min="9996" max="9996" width="17.1640625" style="291" customWidth="1"/>
    <col min="9997" max="9997" width="4.1640625" style="291" customWidth="1"/>
    <col min="9998" max="10239" width="12" style="291"/>
    <col min="10240" max="10240" width="7" style="291" customWidth="1"/>
    <col min="10241" max="10241" width="2.33203125" style="291" customWidth="1"/>
    <col min="10242" max="10243" width="12" style="291"/>
    <col min="10244" max="10244" width="6.5" style="291" customWidth="1"/>
    <col min="10245" max="10245" width="5.1640625" style="291" customWidth="1"/>
    <col min="10246" max="10246" width="12" style="291"/>
    <col min="10247" max="10247" width="5.1640625" style="291" customWidth="1"/>
    <col min="10248" max="10248" width="17.1640625" style="291" customWidth="1"/>
    <col min="10249" max="10249" width="4.5" style="291" customWidth="1"/>
    <col min="10250" max="10250" width="16.1640625" style="291" customWidth="1"/>
    <col min="10251" max="10251" width="4.83203125" style="291" customWidth="1"/>
    <col min="10252" max="10252" width="17.1640625" style="291" customWidth="1"/>
    <col min="10253" max="10253" width="4.1640625" style="291" customWidth="1"/>
    <col min="10254" max="10495" width="12" style="291"/>
    <col min="10496" max="10496" width="7" style="291" customWidth="1"/>
    <col min="10497" max="10497" width="2.33203125" style="291" customWidth="1"/>
    <col min="10498" max="10499" width="12" style="291"/>
    <col min="10500" max="10500" width="6.5" style="291" customWidth="1"/>
    <col min="10501" max="10501" width="5.1640625" style="291" customWidth="1"/>
    <col min="10502" max="10502" width="12" style="291"/>
    <col min="10503" max="10503" width="5.1640625" style="291" customWidth="1"/>
    <col min="10504" max="10504" width="17.1640625" style="291" customWidth="1"/>
    <col min="10505" max="10505" width="4.5" style="291" customWidth="1"/>
    <col min="10506" max="10506" width="16.1640625" style="291" customWidth="1"/>
    <col min="10507" max="10507" width="4.83203125" style="291" customWidth="1"/>
    <col min="10508" max="10508" width="17.1640625" style="291" customWidth="1"/>
    <col min="10509" max="10509" width="4.1640625" style="291" customWidth="1"/>
    <col min="10510" max="10751" width="12" style="291"/>
    <col min="10752" max="10752" width="7" style="291" customWidth="1"/>
    <col min="10753" max="10753" width="2.33203125" style="291" customWidth="1"/>
    <col min="10754" max="10755" width="12" style="291"/>
    <col min="10756" max="10756" width="6.5" style="291" customWidth="1"/>
    <col min="10757" max="10757" width="5.1640625" style="291" customWidth="1"/>
    <col min="10758" max="10758" width="12" style="291"/>
    <col min="10759" max="10759" width="5.1640625" style="291" customWidth="1"/>
    <col min="10760" max="10760" width="17.1640625" style="291" customWidth="1"/>
    <col min="10761" max="10761" width="4.5" style="291" customWidth="1"/>
    <col min="10762" max="10762" width="16.1640625" style="291" customWidth="1"/>
    <col min="10763" max="10763" width="4.83203125" style="291" customWidth="1"/>
    <col min="10764" max="10764" width="17.1640625" style="291" customWidth="1"/>
    <col min="10765" max="10765" width="4.1640625" style="291" customWidth="1"/>
    <col min="10766" max="11007" width="12" style="291"/>
    <col min="11008" max="11008" width="7" style="291" customWidth="1"/>
    <col min="11009" max="11009" width="2.33203125" style="291" customWidth="1"/>
    <col min="11010" max="11011" width="12" style="291"/>
    <col min="11012" max="11012" width="6.5" style="291" customWidth="1"/>
    <col min="11013" max="11013" width="5.1640625" style="291" customWidth="1"/>
    <col min="11014" max="11014" width="12" style="291"/>
    <col min="11015" max="11015" width="5.1640625" style="291" customWidth="1"/>
    <col min="11016" max="11016" width="17.1640625" style="291" customWidth="1"/>
    <col min="11017" max="11017" width="4.5" style="291" customWidth="1"/>
    <col min="11018" max="11018" width="16.1640625" style="291" customWidth="1"/>
    <col min="11019" max="11019" width="4.83203125" style="291" customWidth="1"/>
    <col min="11020" max="11020" width="17.1640625" style="291" customWidth="1"/>
    <col min="11021" max="11021" width="4.1640625" style="291" customWidth="1"/>
    <col min="11022" max="11263" width="12" style="291"/>
    <col min="11264" max="11264" width="7" style="291" customWidth="1"/>
    <col min="11265" max="11265" width="2.33203125" style="291" customWidth="1"/>
    <col min="11266" max="11267" width="12" style="291"/>
    <col min="11268" max="11268" width="6.5" style="291" customWidth="1"/>
    <col min="11269" max="11269" width="5.1640625" style="291" customWidth="1"/>
    <col min="11270" max="11270" width="12" style="291"/>
    <col min="11271" max="11271" width="5.1640625" style="291" customWidth="1"/>
    <col min="11272" max="11272" width="17.1640625" style="291" customWidth="1"/>
    <col min="11273" max="11273" width="4.5" style="291" customWidth="1"/>
    <col min="11274" max="11274" width="16.1640625" style="291" customWidth="1"/>
    <col min="11275" max="11275" width="4.83203125" style="291" customWidth="1"/>
    <col min="11276" max="11276" width="17.1640625" style="291" customWidth="1"/>
    <col min="11277" max="11277" width="4.1640625" style="291" customWidth="1"/>
    <col min="11278" max="11519" width="12" style="291"/>
    <col min="11520" max="11520" width="7" style="291" customWidth="1"/>
    <col min="11521" max="11521" width="2.33203125" style="291" customWidth="1"/>
    <col min="11522" max="11523" width="12" style="291"/>
    <col min="11524" max="11524" width="6.5" style="291" customWidth="1"/>
    <col min="11525" max="11525" width="5.1640625" style="291" customWidth="1"/>
    <col min="11526" max="11526" width="12" style="291"/>
    <col min="11527" max="11527" width="5.1640625" style="291" customWidth="1"/>
    <col min="11528" max="11528" width="17.1640625" style="291" customWidth="1"/>
    <col min="11529" max="11529" width="4.5" style="291" customWidth="1"/>
    <col min="11530" max="11530" width="16.1640625" style="291" customWidth="1"/>
    <col min="11531" max="11531" width="4.83203125" style="291" customWidth="1"/>
    <col min="11532" max="11532" width="17.1640625" style="291" customWidth="1"/>
    <col min="11533" max="11533" width="4.1640625" style="291" customWidth="1"/>
    <col min="11534" max="11775" width="12" style="291"/>
    <col min="11776" max="11776" width="7" style="291" customWidth="1"/>
    <col min="11777" max="11777" width="2.33203125" style="291" customWidth="1"/>
    <col min="11778" max="11779" width="12" style="291"/>
    <col min="11780" max="11780" width="6.5" style="291" customWidth="1"/>
    <col min="11781" max="11781" width="5.1640625" style="291" customWidth="1"/>
    <col min="11782" max="11782" width="12" style="291"/>
    <col min="11783" max="11783" width="5.1640625" style="291" customWidth="1"/>
    <col min="11784" max="11784" width="17.1640625" style="291" customWidth="1"/>
    <col min="11785" max="11785" width="4.5" style="291" customWidth="1"/>
    <col min="11786" max="11786" width="16.1640625" style="291" customWidth="1"/>
    <col min="11787" max="11787" width="4.83203125" style="291" customWidth="1"/>
    <col min="11788" max="11788" width="17.1640625" style="291" customWidth="1"/>
    <col min="11789" max="11789" width="4.1640625" style="291" customWidth="1"/>
    <col min="11790" max="12031" width="12" style="291"/>
    <col min="12032" max="12032" width="7" style="291" customWidth="1"/>
    <col min="12033" max="12033" width="2.33203125" style="291" customWidth="1"/>
    <col min="12034" max="12035" width="12" style="291"/>
    <col min="12036" max="12036" width="6.5" style="291" customWidth="1"/>
    <col min="12037" max="12037" width="5.1640625" style="291" customWidth="1"/>
    <col min="12038" max="12038" width="12" style="291"/>
    <col min="12039" max="12039" width="5.1640625" style="291" customWidth="1"/>
    <col min="12040" max="12040" width="17.1640625" style="291" customWidth="1"/>
    <col min="12041" max="12041" width="4.5" style="291" customWidth="1"/>
    <col min="12042" max="12042" width="16.1640625" style="291" customWidth="1"/>
    <col min="12043" max="12043" width="4.83203125" style="291" customWidth="1"/>
    <col min="12044" max="12044" width="17.1640625" style="291" customWidth="1"/>
    <col min="12045" max="12045" width="4.1640625" style="291" customWidth="1"/>
    <col min="12046" max="12287" width="12" style="291"/>
    <col min="12288" max="12288" width="7" style="291" customWidth="1"/>
    <col min="12289" max="12289" width="2.33203125" style="291" customWidth="1"/>
    <col min="12290" max="12291" width="12" style="291"/>
    <col min="12292" max="12292" width="6.5" style="291" customWidth="1"/>
    <col min="12293" max="12293" width="5.1640625" style="291" customWidth="1"/>
    <col min="12294" max="12294" width="12" style="291"/>
    <col min="12295" max="12295" width="5.1640625" style="291" customWidth="1"/>
    <col min="12296" max="12296" width="17.1640625" style="291" customWidth="1"/>
    <col min="12297" max="12297" width="4.5" style="291" customWidth="1"/>
    <col min="12298" max="12298" width="16.1640625" style="291" customWidth="1"/>
    <col min="12299" max="12299" width="4.83203125" style="291" customWidth="1"/>
    <col min="12300" max="12300" width="17.1640625" style="291" customWidth="1"/>
    <col min="12301" max="12301" width="4.1640625" style="291" customWidth="1"/>
    <col min="12302" max="12543" width="12" style="291"/>
    <col min="12544" max="12544" width="7" style="291" customWidth="1"/>
    <col min="12545" max="12545" width="2.33203125" style="291" customWidth="1"/>
    <col min="12546" max="12547" width="12" style="291"/>
    <col min="12548" max="12548" width="6.5" style="291" customWidth="1"/>
    <col min="12549" max="12549" width="5.1640625" style="291" customWidth="1"/>
    <col min="12550" max="12550" width="12" style="291"/>
    <col min="12551" max="12551" width="5.1640625" style="291" customWidth="1"/>
    <col min="12552" max="12552" width="17.1640625" style="291" customWidth="1"/>
    <col min="12553" max="12553" width="4.5" style="291" customWidth="1"/>
    <col min="12554" max="12554" width="16.1640625" style="291" customWidth="1"/>
    <col min="12555" max="12555" width="4.83203125" style="291" customWidth="1"/>
    <col min="12556" max="12556" width="17.1640625" style="291" customWidth="1"/>
    <col min="12557" max="12557" width="4.1640625" style="291" customWidth="1"/>
    <col min="12558" max="12799" width="12" style="291"/>
    <col min="12800" max="12800" width="7" style="291" customWidth="1"/>
    <col min="12801" max="12801" width="2.33203125" style="291" customWidth="1"/>
    <col min="12802" max="12803" width="12" style="291"/>
    <col min="12804" max="12804" width="6.5" style="291" customWidth="1"/>
    <col min="12805" max="12805" width="5.1640625" style="291" customWidth="1"/>
    <col min="12806" max="12806" width="12" style="291"/>
    <col min="12807" max="12807" width="5.1640625" style="291" customWidth="1"/>
    <col min="12808" max="12808" width="17.1640625" style="291" customWidth="1"/>
    <col min="12809" max="12809" width="4.5" style="291" customWidth="1"/>
    <col min="12810" max="12810" width="16.1640625" style="291" customWidth="1"/>
    <col min="12811" max="12811" width="4.83203125" style="291" customWidth="1"/>
    <col min="12812" max="12812" width="17.1640625" style="291" customWidth="1"/>
    <col min="12813" max="12813" width="4.1640625" style="291" customWidth="1"/>
    <col min="12814" max="13055" width="12" style="291"/>
    <col min="13056" max="13056" width="7" style="291" customWidth="1"/>
    <col min="13057" max="13057" width="2.33203125" style="291" customWidth="1"/>
    <col min="13058" max="13059" width="12" style="291"/>
    <col min="13060" max="13060" width="6.5" style="291" customWidth="1"/>
    <col min="13061" max="13061" width="5.1640625" style="291" customWidth="1"/>
    <col min="13062" max="13062" width="12" style="291"/>
    <col min="13063" max="13063" width="5.1640625" style="291" customWidth="1"/>
    <col min="13064" max="13064" width="17.1640625" style="291" customWidth="1"/>
    <col min="13065" max="13065" width="4.5" style="291" customWidth="1"/>
    <col min="13066" max="13066" width="16.1640625" style="291" customWidth="1"/>
    <col min="13067" max="13067" width="4.83203125" style="291" customWidth="1"/>
    <col min="13068" max="13068" width="17.1640625" style="291" customWidth="1"/>
    <col min="13069" max="13069" width="4.1640625" style="291" customWidth="1"/>
    <col min="13070" max="13311" width="12" style="291"/>
    <col min="13312" max="13312" width="7" style="291" customWidth="1"/>
    <col min="13313" max="13313" width="2.33203125" style="291" customWidth="1"/>
    <col min="13314" max="13315" width="12" style="291"/>
    <col min="13316" max="13316" width="6.5" style="291" customWidth="1"/>
    <col min="13317" max="13317" width="5.1640625" style="291" customWidth="1"/>
    <col min="13318" max="13318" width="12" style="291"/>
    <col min="13319" max="13319" width="5.1640625" style="291" customWidth="1"/>
    <col min="13320" max="13320" width="17.1640625" style="291" customWidth="1"/>
    <col min="13321" max="13321" width="4.5" style="291" customWidth="1"/>
    <col min="13322" max="13322" width="16.1640625" style="291" customWidth="1"/>
    <col min="13323" max="13323" width="4.83203125" style="291" customWidth="1"/>
    <col min="13324" max="13324" width="17.1640625" style="291" customWidth="1"/>
    <col min="13325" max="13325" width="4.1640625" style="291" customWidth="1"/>
    <col min="13326" max="13567" width="12" style="291"/>
    <col min="13568" max="13568" width="7" style="291" customWidth="1"/>
    <col min="13569" max="13569" width="2.33203125" style="291" customWidth="1"/>
    <col min="13570" max="13571" width="12" style="291"/>
    <col min="13572" max="13572" width="6.5" style="291" customWidth="1"/>
    <col min="13573" max="13573" width="5.1640625" style="291" customWidth="1"/>
    <col min="13574" max="13574" width="12" style="291"/>
    <col min="13575" max="13575" width="5.1640625" style="291" customWidth="1"/>
    <col min="13576" max="13576" width="17.1640625" style="291" customWidth="1"/>
    <col min="13577" max="13577" width="4.5" style="291" customWidth="1"/>
    <col min="13578" max="13578" width="16.1640625" style="291" customWidth="1"/>
    <col min="13579" max="13579" width="4.83203125" style="291" customWidth="1"/>
    <col min="13580" max="13580" width="17.1640625" style="291" customWidth="1"/>
    <col min="13581" max="13581" width="4.1640625" style="291" customWidth="1"/>
    <col min="13582" max="13823" width="12" style="291"/>
    <col min="13824" max="13824" width="7" style="291" customWidth="1"/>
    <col min="13825" max="13825" width="2.33203125" style="291" customWidth="1"/>
    <col min="13826" max="13827" width="12" style="291"/>
    <col min="13828" max="13828" width="6.5" style="291" customWidth="1"/>
    <col min="13829" max="13829" width="5.1640625" style="291" customWidth="1"/>
    <col min="13830" max="13830" width="12" style="291"/>
    <col min="13831" max="13831" width="5.1640625" style="291" customWidth="1"/>
    <col min="13832" max="13832" width="17.1640625" style="291" customWidth="1"/>
    <col min="13833" max="13833" width="4.5" style="291" customWidth="1"/>
    <col min="13834" max="13834" width="16.1640625" style="291" customWidth="1"/>
    <col min="13835" max="13835" width="4.83203125" style="291" customWidth="1"/>
    <col min="13836" max="13836" width="17.1640625" style="291" customWidth="1"/>
    <col min="13837" max="13837" width="4.1640625" style="291" customWidth="1"/>
    <col min="13838" max="14079" width="12" style="291"/>
    <col min="14080" max="14080" width="7" style="291" customWidth="1"/>
    <col min="14081" max="14081" width="2.33203125" style="291" customWidth="1"/>
    <col min="14082" max="14083" width="12" style="291"/>
    <col min="14084" max="14084" width="6.5" style="291" customWidth="1"/>
    <col min="14085" max="14085" width="5.1640625" style="291" customWidth="1"/>
    <col min="14086" max="14086" width="12" style="291"/>
    <col min="14087" max="14087" width="5.1640625" style="291" customWidth="1"/>
    <col min="14088" max="14088" width="17.1640625" style="291" customWidth="1"/>
    <col min="14089" max="14089" width="4.5" style="291" customWidth="1"/>
    <col min="14090" max="14090" width="16.1640625" style="291" customWidth="1"/>
    <col min="14091" max="14091" width="4.83203125" style="291" customWidth="1"/>
    <col min="14092" max="14092" width="17.1640625" style="291" customWidth="1"/>
    <col min="14093" max="14093" width="4.1640625" style="291" customWidth="1"/>
    <col min="14094" max="14335" width="12" style="291"/>
    <col min="14336" max="14336" width="7" style="291" customWidth="1"/>
    <col min="14337" max="14337" width="2.33203125" style="291" customWidth="1"/>
    <col min="14338" max="14339" width="12" style="291"/>
    <col min="14340" max="14340" width="6.5" style="291" customWidth="1"/>
    <col min="14341" max="14341" width="5.1640625" style="291" customWidth="1"/>
    <col min="14342" max="14342" width="12" style="291"/>
    <col min="14343" max="14343" width="5.1640625" style="291" customWidth="1"/>
    <col min="14344" max="14344" width="17.1640625" style="291" customWidth="1"/>
    <col min="14345" max="14345" width="4.5" style="291" customWidth="1"/>
    <col min="14346" max="14346" width="16.1640625" style="291" customWidth="1"/>
    <col min="14347" max="14347" width="4.83203125" style="291" customWidth="1"/>
    <col min="14348" max="14348" width="17.1640625" style="291" customWidth="1"/>
    <col min="14349" max="14349" width="4.1640625" style="291" customWidth="1"/>
    <col min="14350" max="14591" width="12" style="291"/>
    <col min="14592" max="14592" width="7" style="291" customWidth="1"/>
    <col min="14593" max="14593" width="2.33203125" style="291" customWidth="1"/>
    <col min="14594" max="14595" width="12" style="291"/>
    <col min="14596" max="14596" width="6.5" style="291" customWidth="1"/>
    <col min="14597" max="14597" width="5.1640625" style="291" customWidth="1"/>
    <col min="14598" max="14598" width="12" style="291"/>
    <col min="14599" max="14599" width="5.1640625" style="291" customWidth="1"/>
    <col min="14600" max="14600" width="17.1640625" style="291" customWidth="1"/>
    <col min="14601" max="14601" width="4.5" style="291" customWidth="1"/>
    <col min="14602" max="14602" width="16.1640625" style="291" customWidth="1"/>
    <col min="14603" max="14603" width="4.83203125" style="291" customWidth="1"/>
    <col min="14604" max="14604" width="17.1640625" style="291" customWidth="1"/>
    <col min="14605" max="14605" width="4.1640625" style="291" customWidth="1"/>
    <col min="14606" max="14847" width="12" style="291"/>
    <col min="14848" max="14848" width="7" style="291" customWidth="1"/>
    <col min="14849" max="14849" width="2.33203125" style="291" customWidth="1"/>
    <col min="14850" max="14851" width="12" style="291"/>
    <col min="14852" max="14852" width="6.5" style="291" customWidth="1"/>
    <col min="14853" max="14853" width="5.1640625" style="291" customWidth="1"/>
    <col min="14854" max="14854" width="12" style="291"/>
    <col min="14855" max="14855" width="5.1640625" style="291" customWidth="1"/>
    <col min="14856" max="14856" width="17.1640625" style="291" customWidth="1"/>
    <col min="14857" max="14857" width="4.5" style="291" customWidth="1"/>
    <col min="14858" max="14858" width="16.1640625" style="291" customWidth="1"/>
    <col min="14859" max="14859" width="4.83203125" style="291" customWidth="1"/>
    <col min="14860" max="14860" width="17.1640625" style="291" customWidth="1"/>
    <col min="14861" max="14861" width="4.1640625" style="291" customWidth="1"/>
    <col min="14862" max="15103" width="12" style="291"/>
    <col min="15104" max="15104" width="7" style="291" customWidth="1"/>
    <col min="15105" max="15105" width="2.33203125" style="291" customWidth="1"/>
    <col min="15106" max="15107" width="12" style="291"/>
    <col min="15108" max="15108" width="6.5" style="291" customWidth="1"/>
    <col min="15109" max="15109" width="5.1640625" style="291" customWidth="1"/>
    <col min="15110" max="15110" width="12" style="291"/>
    <col min="15111" max="15111" width="5.1640625" style="291" customWidth="1"/>
    <col min="15112" max="15112" width="17.1640625" style="291" customWidth="1"/>
    <col min="15113" max="15113" width="4.5" style="291" customWidth="1"/>
    <col min="15114" max="15114" width="16.1640625" style="291" customWidth="1"/>
    <col min="15115" max="15115" width="4.83203125" style="291" customWidth="1"/>
    <col min="15116" max="15116" width="17.1640625" style="291" customWidth="1"/>
    <col min="15117" max="15117" width="4.1640625" style="291" customWidth="1"/>
    <col min="15118" max="15359" width="12" style="291"/>
    <col min="15360" max="15360" width="7" style="291" customWidth="1"/>
    <col min="15361" max="15361" width="2.33203125" style="291" customWidth="1"/>
    <col min="15362" max="15363" width="12" style="291"/>
    <col min="15364" max="15364" width="6.5" style="291" customWidth="1"/>
    <col min="15365" max="15365" width="5.1640625" style="291" customWidth="1"/>
    <col min="15366" max="15366" width="12" style="291"/>
    <col min="15367" max="15367" width="5.1640625" style="291" customWidth="1"/>
    <col min="15368" max="15368" width="17.1640625" style="291" customWidth="1"/>
    <col min="15369" max="15369" width="4.5" style="291" customWidth="1"/>
    <col min="15370" max="15370" width="16.1640625" style="291" customWidth="1"/>
    <col min="15371" max="15371" width="4.83203125" style="291" customWidth="1"/>
    <col min="15372" max="15372" width="17.1640625" style="291" customWidth="1"/>
    <col min="15373" max="15373" width="4.1640625" style="291" customWidth="1"/>
    <col min="15374" max="15615" width="12" style="291"/>
    <col min="15616" max="15616" width="7" style="291" customWidth="1"/>
    <col min="15617" max="15617" width="2.33203125" style="291" customWidth="1"/>
    <col min="15618" max="15619" width="12" style="291"/>
    <col min="15620" max="15620" width="6.5" style="291" customWidth="1"/>
    <col min="15621" max="15621" width="5.1640625" style="291" customWidth="1"/>
    <col min="15622" max="15622" width="12" style="291"/>
    <col min="15623" max="15623" width="5.1640625" style="291" customWidth="1"/>
    <col min="15624" max="15624" width="17.1640625" style="291" customWidth="1"/>
    <col min="15625" max="15625" width="4.5" style="291" customWidth="1"/>
    <col min="15626" max="15626" width="16.1640625" style="291" customWidth="1"/>
    <col min="15627" max="15627" width="4.83203125" style="291" customWidth="1"/>
    <col min="15628" max="15628" width="17.1640625" style="291" customWidth="1"/>
    <col min="15629" max="15629" width="4.1640625" style="291" customWidth="1"/>
    <col min="15630" max="15871" width="12" style="291"/>
    <col min="15872" max="15872" width="7" style="291" customWidth="1"/>
    <col min="15873" max="15873" width="2.33203125" style="291" customWidth="1"/>
    <col min="15874" max="15875" width="12" style="291"/>
    <col min="15876" max="15876" width="6.5" style="291" customWidth="1"/>
    <col min="15877" max="15877" width="5.1640625" style="291" customWidth="1"/>
    <col min="15878" max="15878" width="12" style="291"/>
    <col min="15879" max="15879" width="5.1640625" style="291" customWidth="1"/>
    <col min="15880" max="15880" width="17.1640625" style="291" customWidth="1"/>
    <col min="15881" max="15881" width="4.5" style="291" customWidth="1"/>
    <col min="15882" max="15882" width="16.1640625" style="291" customWidth="1"/>
    <col min="15883" max="15883" width="4.83203125" style="291" customWidth="1"/>
    <col min="15884" max="15884" width="17.1640625" style="291" customWidth="1"/>
    <col min="15885" max="15885" width="4.1640625" style="291" customWidth="1"/>
    <col min="15886" max="16127" width="12" style="291"/>
    <col min="16128" max="16128" width="7" style="291" customWidth="1"/>
    <col min="16129" max="16129" width="2.33203125" style="291" customWidth="1"/>
    <col min="16130" max="16131" width="12" style="291"/>
    <col min="16132" max="16132" width="6.5" style="291" customWidth="1"/>
    <col min="16133" max="16133" width="5.1640625" style="291" customWidth="1"/>
    <col min="16134" max="16134" width="12" style="291"/>
    <col min="16135" max="16135" width="5.1640625" style="291" customWidth="1"/>
    <col min="16136" max="16136" width="17.1640625" style="291" customWidth="1"/>
    <col min="16137" max="16137" width="4.5" style="291" customWidth="1"/>
    <col min="16138" max="16138" width="16.1640625" style="291" customWidth="1"/>
    <col min="16139" max="16139" width="4.83203125" style="291" customWidth="1"/>
    <col min="16140" max="16140" width="17.1640625" style="291" customWidth="1"/>
    <col min="16141" max="16141" width="4.1640625" style="291" customWidth="1"/>
    <col min="16142" max="16384" width="12" style="291"/>
  </cols>
  <sheetData>
    <row r="1" spans="1:14">
      <c r="A1" s="443"/>
      <c r="I1" s="198" t="str">
        <f>+'PGA Demand Cost Allocation'!J2</f>
        <v>CNGC Advice W22-09-01</v>
      </c>
    </row>
    <row r="2" spans="1:14">
      <c r="A2" s="443"/>
      <c r="I2" s="212" t="s">
        <v>193</v>
      </c>
    </row>
    <row r="3" spans="1:14">
      <c r="A3" s="443"/>
      <c r="I3" s="212" t="s">
        <v>381</v>
      </c>
    </row>
    <row r="4" spans="1:14">
      <c r="A4" s="443"/>
      <c r="M4" s="444"/>
    </row>
    <row r="5" spans="1:14">
      <c r="A5" s="443"/>
      <c r="C5" s="445" t="s">
        <v>47</v>
      </c>
      <c r="D5" s="445"/>
      <c r="E5" s="446"/>
      <c r="F5" s="446"/>
      <c r="G5" s="446"/>
      <c r="H5" s="446"/>
      <c r="I5" s="446"/>
      <c r="J5" s="446"/>
      <c r="K5" s="446"/>
      <c r="L5" s="446"/>
      <c r="M5" s="444"/>
    </row>
    <row r="6" spans="1:14">
      <c r="C6" s="1015" t="s">
        <v>207</v>
      </c>
      <c r="D6" s="1015"/>
      <c r="E6" s="1015"/>
      <c r="F6" s="1015"/>
      <c r="G6" s="1015"/>
      <c r="H6" s="1015"/>
      <c r="I6" s="1015"/>
      <c r="J6" s="1015"/>
      <c r="K6" s="1015"/>
      <c r="L6" s="1015"/>
      <c r="M6" s="363"/>
    </row>
    <row r="7" spans="1:14" hidden="1">
      <c r="C7" s="445" t="s">
        <v>174</v>
      </c>
      <c r="D7" s="445"/>
      <c r="E7" s="446"/>
      <c r="F7" s="446"/>
      <c r="G7" s="446"/>
      <c r="H7" s="446"/>
      <c r="I7" s="446"/>
      <c r="J7" s="446"/>
      <c r="K7" s="446"/>
      <c r="L7" s="446"/>
      <c r="M7" s="444"/>
    </row>
    <row r="8" spans="1:14">
      <c r="C8" s="445" t="s">
        <v>48</v>
      </c>
      <c r="D8" s="445"/>
      <c r="E8" s="446"/>
      <c r="F8" s="446"/>
      <c r="G8" s="446"/>
      <c r="H8" s="447"/>
      <c r="I8" s="446"/>
      <c r="J8" s="446"/>
      <c r="K8" s="446"/>
      <c r="L8" s="446"/>
    </row>
    <row r="9" spans="1:14">
      <c r="D9" s="291" t="str">
        <f>+'Effects of PGA Avg. Bill'!D9</f>
        <v>UG-210755</v>
      </c>
      <c r="I9" s="469" t="s">
        <v>6</v>
      </c>
      <c r="K9" s="893" t="s">
        <v>6</v>
      </c>
    </row>
    <row r="10" spans="1:14">
      <c r="D10" s="290" t="s">
        <v>79</v>
      </c>
      <c r="F10" s="469" t="s">
        <v>154</v>
      </c>
      <c r="G10" s="290" t="s">
        <v>154</v>
      </c>
      <c r="H10" s="469" t="s">
        <v>6</v>
      </c>
      <c r="I10" s="471">
        <v>44866</v>
      </c>
      <c r="K10" s="481">
        <v>44866</v>
      </c>
    </row>
    <row r="11" spans="1:14">
      <c r="A11" s="448" t="s">
        <v>7</v>
      </c>
      <c r="D11" s="290" t="s">
        <v>80</v>
      </c>
      <c r="E11" s="469" t="s">
        <v>229</v>
      </c>
      <c r="F11" s="471" t="s">
        <v>396</v>
      </c>
      <c r="G11" s="471" t="s">
        <v>396</v>
      </c>
      <c r="H11" s="471">
        <v>44866</v>
      </c>
      <c r="I11" s="469" t="s">
        <v>246</v>
      </c>
      <c r="J11" s="469" t="s">
        <v>241</v>
      </c>
      <c r="K11" s="482" t="s">
        <v>244</v>
      </c>
      <c r="L11" s="290"/>
      <c r="N11" s="447"/>
    </row>
    <row r="12" spans="1:14">
      <c r="A12" s="892" t="s">
        <v>9</v>
      </c>
      <c r="B12" s="291" t="s">
        <v>399</v>
      </c>
      <c r="C12" s="478" t="s">
        <v>228</v>
      </c>
      <c r="D12" s="478" t="s">
        <v>236</v>
      </c>
      <c r="E12" s="479" t="s">
        <v>230</v>
      </c>
      <c r="F12" s="479" t="s">
        <v>231</v>
      </c>
      <c r="G12" s="478" t="s">
        <v>235</v>
      </c>
      <c r="H12" s="479" t="s">
        <v>244</v>
      </c>
      <c r="I12" s="479" t="s">
        <v>235</v>
      </c>
      <c r="J12" s="479" t="s">
        <v>242</v>
      </c>
      <c r="K12" s="483" t="s">
        <v>243</v>
      </c>
      <c r="L12" s="290"/>
      <c r="N12" s="447"/>
    </row>
    <row r="13" spans="1:14">
      <c r="A13" s="448"/>
      <c r="C13" s="290"/>
      <c r="D13" s="290"/>
      <c r="E13" s="469"/>
      <c r="F13" s="469"/>
      <c r="G13" s="290" t="s">
        <v>237</v>
      </c>
      <c r="H13" s="469"/>
      <c r="I13" s="290" t="s">
        <v>240</v>
      </c>
      <c r="K13" s="484"/>
      <c r="L13" s="290"/>
      <c r="N13" s="447"/>
    </row>
    <row r="14" spans="1:14">
      <c r="C14" s="290" t="s">
        <v>14</v>
      </c>
      <c r="D14" s="469" t="s">
        <v>15</v>
      </c>
      <c r="E14" s="290" t="s">
        <v>16</v>
      </c>
      <c r="F14" s="290" t="s">
        <v>17</v>
      </c>
      <c r="G14" s="290" t="s">
        <v>18</v>
      </c>
      <c r="H14" s="290" t="s">
        <v>81</v>
      </c>
      <c r="I14" s="469" t="s">
        <v>62</v>
      </c>
      <c r="J14" s="469" t="s">
        <v>63</v>
      </c>
      <c r="K14" s="490" t="s">
        <v>64</v>
      </c>
    </row>
    <row r="15" spans="1:14">
      <c r="K15" s="490"/>
    </row>
    <row r="16" spans="1:14">
      <c r="A16" s="443">
        <v>1</v>
      </c>
      <c r="C16" s="291" t="s">
        <v>218</v>
      </c>
      <c r="D16" s="476">
        <f>+'Effects of PGA Avg. Bill'!D16</f>
        <v>54</v>
      </c>
      <c r="E16" s="894">
        <f>+'Effects of PGA Avg. Bill'!E16</f>
        <v>5</v>
      </c>
      <c r="F16" s="472">
        <f>+'Effects of PGA Avg. Bill'!F16</f>
        <v>1.03712</v>
      </c>
      <c r="G16" s="292">
        <f>+E16+(D16*F16)</f>
        <v>61.004480000000001</v>
      </c>
      <c r="H16" s="472">
        <f>+F16+'TTA Amount of Change'!J12</f>
        <v>1.0718300000000001</v>
      </c>
      <c r="I16" s="477">
        <f>E16+(D16*H16)</f>
        <v>62.878820000000005</v>
      </c>
      <c r="J16" s="475">
        <f>+I16-G16</f>
        <v>1.8743400000000037</v>
      </c>
      <c r="K16" s="491">
        <f>+J16/G16</f>
        <v>3.0724628748577214E-2</v>
      </c>
      <c r="L16" s="292"/>
      <c r="N16" s="449"/>
    </row>
    <row r="17" spans="1:14">
      <c r="D17" s="476"/>
      <c r="E17" s="894"/>
      <c r="F17" s="472"/>
      <c r="G17" s="292"/>
      <c r="H17" s="472"/>
      <c r="I17" s="477"/>
      <c r="J17" s="475"/>
      <c r="K17" s="491"/>
    </row>
    <row r="18" spans="1:14">
      <c r="A18" s="443">
        <v>2</v>
      </c>
      <c r="C18" s="291" t="s">
        <v>219</v>
      </c>
      <c r="D18" s="476">
        <f>+'Effects of PGA Avg. Bill'!D18</f>
        <v>271</v>
      </c>
      <c r="E18" s="894">
        <f>+'Effects of PGA Avg. Bill'!E18</f>
        <v>13</v>
      </c>
      <c r="F18" s="472">
        <f>+'Effects of PGA Avg. Bill'!F18</f>
        <v>0.97065999999999997</v>
      </c>
      <c r="G18" s="292">
        <f>+E18+(D18*F18)</f>
        <v>276.04885999999999</v>
      </c>
      <c r="H18" s="472">
        <f>+F18+'TTA Amount of Change'!J13</f>
        <v>1.0053699999999999</v>
      </c>
      <c r="I18" s="477">
        <f>E18+(D18*H18)</f>
        <v>285.45526999999998</v>
      </c>
      <c r="J18" s="475">
        <f t="shared" ref="J18" si="0">+I18-G18</f>
        <v>9.4064099999999939</v>
      </c>
      <c r="K18" s="491">
        <f t="shared" ref="K18:K35" si="1">+J18/G18</f>
        <v>3.4075163360573174E-2</v>
      </c>
      <c r="L18" s="292"/>
      <c r="N18" s="449"/>
    </row>
    <row r="19" spans="1:14">
      <c r="D19" s="476"/>
      <c r="E19" s="894"/>
      <c r="F19" s="472"/>
      <c r="G19" s="292"/>
      <c r="H19" s="472"/>
      <c r="J19" s="475"/>
      <c r="K19" s="491"/>
    </row>
    <row r="20" spans="1:14">
      <c r="A20" s="443">
        <v>3</v>
      </c>
      <c r="C20" s="291" t="s">
        <v>220</v>
      </c>
      <c r="D20" s="476"/>
      <c r="E20" s="894">
        <f>+'Effects of PGA Avg. Bill'!E20</f>
        <v>60</v>
      </c>
      <c r="F20" s="472"/>
      <c r="G20" s="292"/>
      <c r="H20" s="472"/>
      <c r="J20" s="475"/>
      <c r="K20" s="491"/>
      <c r="L20" s="293"/>
      <c r="N20" s="449"/>
    </row>
    <row r="21" spans="1:14">
      <c r="A21" s="443">
        <v>4</v>
      </c>
      <c r="C21" s="291" t="s">
        <v>221</v>
      </c>
      <c r="D21" s="476"/>
      <c r="E21" s="894"/>
      <c r="F21" s="472">
        <f>+'Effects of PGA Avg. Bill'!F21</f>
        <v>0.89552000000000009</v>
      </c>
      <c r="G21" s="292">
        <f>+E20+(500*F21)</f>
        <v>507.76000000000005</v>
      </c>
      <c r="H21" s="472">
        <f>+F21+'TTA Amount of Change'!J14</f>
        <v>0.93023000000000011</v>
      </c>
      <c r="I21" s="292">
        <f>+E20+(500*H21)</f>
        <v>525.11500000000001</v>
      </c>
      <c r="J21" s="475"/>
      <c r="K21" s="491"/>
      <c r="L21" s="293"/>
      <c r="N21" s="449"/>
    </row>
    <row r="22" spans="1:14">
      <c r="A22" s="443">
        <v>5</v>
      </c>
      <c r="C22" s="291" t="s">
        <v>222</v>
      </c>
      <c r="D22" s="476"/>
      <c r="E22" s="894"/>
      <c r="F22" s="472">
        <f>+'Effects of PGA Avg. Bill'!F22</f>
        <v>0.85544000000000009</v>
      </c>
      <c r="G22" s="292">
        <f>+(D24-500)*F22</f>
        <v>1276.3164800000002</v>
      </c>
      <c r="H22" s="472">
        <f>+F22+'TTA Amount of Change'!J14</f>
        <v>0.89015000000000011</v>
      </c>
      <c r="I22" s="292">
        <f>+(D24-500)*H22</f>
        <v>1328.1038000000001</v>
      </c>
      <c r="J22" s="475"/>
      <c r="K22" s="491"/>
      <c r="L22" s="293"/>
      <c r="N22" s="449"/>
    </row>
    <row r="23" spans="1:14">
      <c r="A23" s="443">
        <v>6</v>
      </c>
      <c r="C23" s="291" t="s">
        <v>223</v>
      </c>
      <c r="D23" s="476"/>
      <c r="E23" s="894"/>
      <c r="F23" s="472">
        <f>+'Effects of PGA Avg. Bill'!F23</f>
        <v>0.84938000000000002</v>
      </c>
      <c r="G23" s="292"/>
      <c r="H23" s="472">
        <f>+F23+'TTA Amount of Change'!J14</f>
        <v>0.88409000000000004</v>
      </c>
      <c r="J23" s="475"/>
      <c r="K23" s="491"/>
      <c r="L23" s="293"/>
    </row>
    <row r="24" spans="1:14">
      <c r="A24" s="443">
        <v>7</v>
      </c>
      <c r="C24" s="448" t="s">
        <v>232</v>
      </c>
      <c r="D24" s="470">
        <f>+'Effects of PGA Avg. Bill'!D24</f>
        <v>1992</v>
      </c>
      <c r="E24" s="894"/>
      <c r="F24" s="472"/>
      <c r="G24" s="292">
        <f>+SUM((G21:G23))</f>
        <v>1784.0764800000002</v>
      </c>
      <c r="H24" s="292"/>
      <c r="I24" s="292">
        <f>+SUM(I21:I23)</f>
        <v>1853.2188000000001</v>
      </c>
      <c r="J24" s="475">
        <f t="shared" ref="J24:J30" si="2">+I24-G24</f>
        <v>69.142319999999927</v>
      </c>
      <c r="K24" s="491">
        <f t="shared" si="1"/>
        <v>3.8755244394007099E-2</v>
      </c>
      <c r="L24" s="293"/>
      <c r="N24" s="449"/>
    </row>
    <row r="25" spans="1:14">
      <c r="A25" s="443"/>
      <c r="C25" s="444"/>
      <c r="D25" s="476"/>
      <c r="E25" s="894"/>
      <c r="F25" s="472"/>
      <c r="G25" s="292"/>
      <c r="H25" s="472"/>
      <c r="J25" s="475"/>
      <c r="K25" s="491"/>
      <c r="L25" s="293"/>
      <c r="N25" s="449"/>
    </row>
    <row r="26" spans="1:14">
      <c r="A26" s="291">
        <v>8</v>
      </c>
      <c r="C26" s="291" t="s">
        <v>224</v>
      </c>
      <c r="D26" s="476"/>
      <c r="E26" s="894">
        <f>+'Effects of PGA Avg. Bill'!E26</f>
        <v>125</v>
      </c>
      <c r="F26" s="472"/>
      <c r="G26" s="292"/>
      <c r="H26" s="472"/>
      <c r="J26" s="475"/>
      <c r="K26" s="491"/>
      <c r="L26" s="293"/>
      <c r="N26" s="449"/>
    </row>
    <row r="27" spans="1:14">
      <c r="A27" s="291">
        <v>9</v>
      </c>
      <c r="C27" s="291" t="s">
        <v>221</v>
      </c>
      <c r="D27" s="476"/>
      <c r="E27" s="894"/>
      <c r="F27" s="472">
        <f>+'Effects of PGA Avg. Bill'!F27</f>
        <v>0.78754000000000002</v>
      </c>
      <c r="G27" s="292">
        <f>+E26+(+F27*500)</f>
        <v>518.77</v>
      </c>
      <c r="H27" s="472">
        <f>+F27+'TTA Amount of Change'!J15</f>
        <v>0.82225000000000004</v>
      </c>
      <c r="I27" s="292">
        <f>+E26+(+H27*500)</f>
        <v>536.125</v>
      </c>
      <c r="J27" s="475"/>
      <c r="K27" s="491"/>
    </row>
    <row r="28" spans="1:14">
      <c r="A28" s="291">
        <v>10</v>
      </c>
      <c r="B28" s="444"/>
      <c r="C28" s="291" t="s">
        <v>222</v>
      </c>
      <c r="D28" s="476"/>
      <c r="E28" s="894"/>
      <c r="F28" s="472">
        <f>+'Effects of PGA Avg. Bill'!F28</f>
        <v>0.74803999999999993</v>
      </c>
      <c r="G28" s="292">
        <f>+F28*3500</f>
        <v>2618.14</v>
      </c>
      <c r="H28" s="472">
        <f>+F28+'TTA Amount of Change'!J15</f>
        <v>0.78274999999999995</v>
      </c>
      <c r="I28" s="292">
        <f>+H28*3500</f>
        <v>2739.625</v>
      </c>
      <c r="J28" s="475"/>
      <c r="K28" s="491"/>
    </row>
    <row r="29" spans="1:14">
      <c r="A29" s="291">
        <v>11</v>
      </c>
      <c r="B29" s="444"/>
      <c r="C29" s="291" t="s">
        <v>223</v>
      </c>
      <c r="D29" s="476"/>
      <c r="E29" s="894"/>
      <c r="F29" s="472">
        <f>+'Effects of PGA Avg. Bill'!F29</f>
        <v>0.65034000000000003</v>
      </c>
      <c r="G29" s="292">
        <f>+(+D30-(4000))*F29</f>
        <v>8219.6472599999997</v>
      </c>
      <c r="H29" s="472">
        <f>+F29+'TTA Amount of Change'!J15</f>
        <v>0.68505000000000005</v>
      </c>
      <c r="I29" s="292">
        <f>+(+D30-(4000))*H29</f>
        <v>8658.346950000001</v>
      </c>
      <c r="J29" s="475"/>
      <c r="K29" s="491"/>
    </row>
    <row r="30" spans="1:14">
      <c r="A30" s="291">
        <v>12</v>
      </c>
      <c r="B30" s="444"/>
      <c r="C30" s="473" t="s">
        <v>233</v>
      </c>
      <c r="D30" s="470">
        <f>+'Effects of PGA Avg. Bill'!D30</f>
        <v>16639</v>
      </c>
      <c r="E30" s="894"/>
      <c r="F30" s="472"/>
      <c r="G30" s="292">
        <f>+SUM(G27:G29)</f>
        <v>11356.55726</v>
      </c>
      <c r="H30" s="292"/>
      <c r="I30" s="292">
        <f>+SUM(I27:I29)</f>
        <v>11934.096950000001</v>
      </c>
      <c r="J30" s="475">
        <f t="shared" si="2"/>
        <v>577.53969000000143</v>
      </c>
      <c r="K30" s="491">
        <f t="shared" si="1"/>
        <v>5.0855173515851358E-2</v>
      </c>
    </row>
    <row r="31" spans="1:14">
      <c r="D31" s="470"/>
      <c r="E31" s="894"/>
      <c r="F31" s="472"/>
      <c r="G31" s="292"/>
      <c r="H31" s="472"/>
      <c r="J31" s="475"/>
      <c r="K31" s="491"/>
    </row>
    <row r="32" spans="1:14">
      <c r="A32" s="291">
        <v>13</v>
      </c>
      <c r="C32" s="291" t="s">
        <v>225</v>
      </c>
      <c r="D32" s="470"/>
      <c r="E32" s="894">
        <f>+'Effects of PGA Avg. Bill'!E32</f>
        <v>163</v>
      </c>
      <c r="F32" s="472"/>
      <c r="G32" s="292"/>
      <c r="H32" s="472"/>
      <c r="J32" s="475"/>
      <c r="K32" s="491"/>
    </row>
    <row r="33" spans="1:14">
      <c r="A33" s="291">
        <v>14</v>
      </c>
      <c r="C33" s="291" t="s">
        <v>226</v>
      </c>
      <c r="D33" s="470"/>
      <c r="F33" s="472">
        <f>+'Effects of PGA Avg. Bill'!F33</f>
        <v>0.75481999999999994</v>
      </c>
      <c r="G33" s="292">
        <f>+E32+(D35*F33)</f>
        <v>17699.733059999999</v>
      </c>
      <c r="H33" s="472">
        <f>+F33+'TTA Amount of Change'!J16</f>
        <v>0.78952999999999995</v>
      </c>
      <c r="I33" s="292">
        <f>+E32+(D35*H33)</f>
        <v>18506.15049</v>
      </c>
      <c r="J33" s="475"/>
      <c r="K33" s="491"/>
    </row>
    <row r="34" spans="1:14">
      <c r="A34" s="291">
        <v>15</v>
      </c>
      <c r="C34" s="291" t="s">
        <v>227</v>
      </c>
      <c r="D34" s="470"/>
      <c r="F34" s="472">
        <f>+'Effects of PGA Avg. Bill'!F34</f>
        <v>0.68815000000000004</v>
      </c>
      <c r="G34" s="292"/>
      <c r="H34" s="472">
        <f>+F34+'TTA Amount of Change'!J16</f>
        <v>0.72286000000000006</v>
      </c>
      <c r="J34" s="475"/>
      <c r="K34" s="491"/>
    </row>
    <row r="35" spans="1:14">
      <c r="A35" s="291">
        <v>16</v>
      </c>
      <c r="C35" s="473" t="s">
        <v>234</v>
      </c>
      <c r="D35" s="470">
        <f>+'Effects of PGA Avg. Bill'!D35</f>
        <v>23233</v>
      </c>
      <c r="G35" s="859">
        <f>+G33+G34</f>
        <v>17699.733059999999</v>
      </c>
      <c r="H35" s="292"/>
      <c r="I35" s="292">
        <f>+I33+I34</f>
        <v>18506.15049</v>
      </c>
      <c r="J35" s="475">
        <f t="shared" ref="J35" si="3">+I35-G35</f>
        <v>806.41743000000133</v>
      </c>
      <c r="K35" s="492">
        <f t="shared" si="1"/>
        <v>4.5560993901226747E-2</v>
      </c>
    </row>
    <row r="37" spans="1:14" ht="15.75" customHeight="1">
      <c r="A37" s="291">
        <v>17</v>
      </c>
      <c r="C37" s="1016" t="s">
        <v>397</v>
      </c>
      <c r="D37" s="1016"/>
      <c r="N37" s="474"/>
    </row>
    <row r="38" spans="1:14">
      <c r="C38" s="1016"/>
      <c r="D38" s="1016"/>
    </row>
  </sheetData>
  <mergeCells count="2">
    <mergeCell ref="C6:L6"/>
    <mergeCell ref="C37:D38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078D-D47F-477A-846A-BA56C0BC8CDB}">
  <dimension ref="A1:O47"/>
  <sheetViews>
    <sheetView topLeftCell="A23" workbookViewId="0">
      <selection activeCell="C52" sqref="C52"/>
    </sheetView>
  </sheetViews>
  <sheetFormatPr defaultColWidth="12" defaultRowHeight="15.75"/>
  <cols>
    <col min="1" max="1" width="7" style="291" customWidth="1"/>
    <col min="2" max="2" width="2.33203125" style="291" customWidth="1"/>
    <col min="3" max="3" width="40.33203125" style="291" bestFit="1" customWidth="1"/>
    <col min="4" max="4" width="13.83203125" style="291" bestFit="1" customWidth="1"/>
    <col min="5" max="5" width="16.83203125" style="291" bestFit="1" customWidth="1"/>
    <col min="6" max="6" width="18.5" style="291" bestFit="1" customWidth="1"/>
    <col min="7" max="7" width="17.83203125" style="291" bestFit="1" customWidth="1"/>
    <col min="8" max="8" width="24.1640625" style="291" bestFit="1" customWidth="1"/>
    <col min="9" max="9" width="21.33203125" style="291" bestFit="1" customWidth="1"/>
    <col min="10" max="10" width="12.83203125" style="291" bestFit="1" customWidth="1"/>
    <col min="11" max="11" width="24.1640625" style="469" bestFit="1" customWidth="1"/>
    <col min="12" max="12" width="17.1640625" style="291" customWidth="1"/>
    <col min="13" max="13" width="4.1640625" style="291" customWidth="1"/>
    <col min="14" max="255" width="12" style="291"/>
    <col min="256" max="256" width="7" style="291" customWidth="1"/>
    <col min="257" max="257" width="2.33203125" style="291" customWidth="1"/>
    <col min="258" max="259" width="12" style="291"/>
    <col min="260" max="260" width="6.5" style="291" customWidth="1"/>
    <col min="261" max="261" width="5.1640625" style="291" customWidth="1"/>
    <col min="262" max="262" width="12" style="291"/>
    <col min="263" max="263" width="5.1640625" style="291" customWidth="1"/>
    <col min="264" max="264" width="17.1640625" style="291" customWidth="1"/>
    <col min="265" max="265" width="4.5" style="291" customWidth="1"/>
    <col min="266" max="266" width="16.1640625" style="291" customWidth="1"/>
    <col min="267" max="267" width="4.83203125" style="291" customWidth="1"/>
    <col min="268" max="268" width="17.1640625" style="291" customWidth="1"/>
    <col min="269" max="269" width="4.1640625" style="291" customWidth="1"/>
    <col min="270" max="511" width="12" style="291"/>
    <col min="512" max="512" width="7" style="291" customWidth="1"/>
    <col min="513" max="513" width="2.33203125" style="291" customWidth="1"/>
    <col min="514" max="515" width="12" style="291"/>
    <col min="516" max="516" width="6.5" style="291" customWidth="1"/>
    <col min="517" max="517" width="5.1640625" style="291" customWidth="1"/>
    <col min="518" max="518" width="12" style="291"/>
    <col min="519" max="519" width="5.1640625" style="291" customWidth="1"/>
    <col min="520" max="520" width="17.1640625" style="291" customWidth="1"/>
    <col min="521" max="521" width="4.5" style="291" customWidth="1"/>
    <col min="522" max="522" width="16.1640625" style="291" customWidth="1"/>
    <col min="523" max="523" width="4.83203125" style="291" customWidth="1"/>
    <col min="524" max="524" width="17.1640625" style="291" customWidth="1"/>
    <col min="525" max="525" width="4.1640625" style="291" customWidth="1"/>
    <col min="526" max="767" width="12" style="291"/>
    <col min="768" max="768" width="7" style="291" customWidth="1"/>
    <col min="769" max="769" width="2.33203125" style="291" customWidth="1"/>
    <col min="770" max="771" width="12" style="291"/>
    <col min="772" max="772" width="6.5" style="291" customWidth="1"/>
    <col min="773" max="773" width="5.1640625" style="291" customWidth="1"/>
    <col min="774" max="774" width="12" style="291"/>
    <col min="775" max="775" width="5.1640625" style="291" customWidth="1"/>
    <col min="776" max="776" width="17.1640625" style="291" customWidth="1"/>
    <col min="777" max="777" width="4.5" style="291" customWidth="1"/>
    <col min="778" max="778" width="16.1640625" style="291" customWidth="1"/>
    <col min="779" max="779" width="4.83203125" style="291" customWidth="1"/>
    <col min="780" max="780" width="17.1640625" style="291" customWidth="1"/>
    <col min="781" max="781" width="4.1640625" style="291" customWidth="1"/>
    <col min="782" max="1023" width="12" style="291"/>
    <col min="1024" max="1024" width="7" style="291" customWidth="1"/>
    <col min="1025" max="1025" width="2.33203125" style="291" customWidth="1"/>
    <col min="1026" max="1027" width="12" style="291"/>
    <col min="1028" max="1028" width="6.5" style="291" customWidth="1"/>
    <col min="1029" max="1029" width="5.1640625" style="291" customWidth="1"/>
    <col min="1030" max="1030" width="12" style="291"/>
    <col min="1031" max="1031" width="5.1640625" style="291" customWidth="1"/>
    <col min="1032" max="1032" width="17.1640625" style="291" customWidth="1"/>
    <col min="1033" max="1033" width="4.5" style="291" customWidth="1"/>
    <col min="1034" max="1034" width="16.1640625" style="291" customWidth="1"/>
    <col min="1035" max="1035" width="4.83203125" style="291" customWidth="1"/>
    <col min="1036" max="1036" width="17.1640625" style="291" customWidth="1"/>
    <col min="1037" max="1037" width="4.1640625" style="291" customWidth="1"/>
    <col min="1038" max="1279" width="12" style="291"/>
    <col min="1280" max="1280" width="7" style="291" customWidth="1"/>
    <col min="1281" max="1281" width="2.33203125" style="291" customWidth="1"/>
    <col min="1282" max="1283" width="12" style="291"/>
    <col min="1284" max="1284" width="6.5" style="291" customWidth="1"/>
    <col min="1285" max="1285" width="5.1640625" style="291" customWidth="1"/>
    <col min="1286" max="1286" width="12" style="291"/>
    <col min="1287" max="1287" width="5.1640625" style="291" customWidth="1"/>
    <col min="1288" max="1288" width="17.1640625" style="291" customWidth="1"/>
    <col min="1289" max="1289" width="4.5" style="291" customWidth="1"/>
    <col min="1290" max="1290" width="16.1640625" style="291" customWidth="1"/>
    <col min="1291" max="1291" width="4.83203125" style="291" customWidth="1"/>
    <col min="1292" max="1292" width="17.1640625" style="291" customWidth="1"/>
    <col min="1293" max="1293" width="4.1640625" style="291" customWidth="1"/>
    <col min="1294" max="1535" width="12" style="291"/>
    <col min="1536" max="1536" width="7" style="291" customWidth="1"/>
    <col min="1537" max="1537" width="2.33203125" style="291" customWidth="1"/>
    <col min="1538" max="1539" width="12" style="291"/>
    <col min="1540" max="1540" width="6.5" style="291" customWidth="1"/>
    <col min="1541" max="1541" width="5.1640625" style="291" customWidth="1"/>
    <col min="1542" max="1542" width="12" style="291"/>
    <col min="1543" max="1543" width="5.1640625" style="291" customWidth="1"/>
    <col min="1544" max="1544" width="17.1640625" style="291" customWidth="1"/>
    <col min="1545" max="1545" width="4.5" style="291" customWidth="1"/>
    <col min="1546" max="1546" width="16.1640625" style="291" customWidth="1"/>
    <col min="1547" max="1547" width="4.83203125" style="291" customWidth="1"/>
    <col min="1548" max="1548" width="17.1640625" style="291" customWidth="1"/>
    <col min="1549" max="1549" width="4.1640625" style="291" customWidth="1"/>
    <col min="1550" max="1791" width="12" style="291"/>
    <col min="1792" max="1792" width="7" style="291" customWidth="1"/>
    <col min="1793" max="1793" width="2.33203125" style="291" customWidth="1"/>
    <col min="1794" max="1795" width="12" style="291"/>
    <col min="1796" max="1796" width="6.5" style="291" customWidth="1"/>
    <col min="1797" max="1797" width="5.1640625" style="291" customWidth="1"/>
    <col min="1798" max="1798" width="12" style="291"/>
    <col min="1799" max="1799" width="5.1640625" style="291" customWidth="1"/>
    <col min="1800" max="1800" width="17.1640625" style="291" customWidth="1"/>
    <col min="1801" max="1801" width="4.5" style="291" customWidth="1"/>
    <col min="1802" max="1802" width="16.1640625" style="291" customWidth="1"/>
    <col min="1803" max="1803" width="4.83203125" style="291" customWidth="1"/>
    <col min="1804" max="1804" width="17.1640625" style="291" customWidth="1"/>
    <col min="1805" max="1805" width="4.1640625" style="291" customWidth="1"/>
    <col min="1806" max="2047" width="12" style="291"/>
    <col min="2048" max="2048" width="7" style="291" customWidth="1"/>
    <col min="2049" max="2049" width="2.33203125" style="291" customWidth="1"/>
    <col min="2050" max="2051" width="12" style="291"/>
    <col min="2052" max="2052" width="6.5" style="291" customWidth="1"/>
    <col min="2053" max="2053" width="5.1640625" style="291" customWidth="1"/>
    <col min="2054" max="2054" width="12" style="291"/>
    <col min="2055" max="2055" width="5.1640625" style="291" customWidth="1"/>
    <col min="2056" max="2056" width="17.1640625" style="291" customWidth="1"/>
    <col min="2057" max="2057" width="4.5" style="291" customWidth="1"/>
    <col min="2058" max="2058" width="16.1640625" style="291" customWidth="1"/>
    <col min="2059" max="2059" width="4.83203125" style="291" customWidth="1"/>
    <col min="2060" max="2060" width="17.1640625" style="291" customWidth="1"/>
    <col min="2061" max="2061" width="4.1640625" style="291" customWidth="1"/>
    <col min="2062" max="2303" width="12" style="291"/>
    <col min="2304" max="2304" width="7" style="291" customWidth="1"/>
    <col min="2305" max="2305" width="2.33203125" style="291" customWidth="1"/>
    <col min="2306" max="2307" width="12" style="291"/>
    <col min="2308" max="2308" width="6.5" style="291" customWidth="1"/>
    <col min="2309" max="2309" width="5.1640625" style="291" customWidth="1"/>
    <col min="2310" max="2310" width="12" style="291"/>
    <col min="2311" max="2311" width="5.1640625" style="291" customWidth="1"/>
    <col min="2312" max="2312" width="17.1640625" style="291" customWidth="1"/>
    <col min="2313" max="2313" width="4.5" style="291" customWidth="1"/>
    <col min="2314" max="2314" width="16.1640625" style="291" customWidth="1"/>
    <col min="2315" max="2315" width="4.83203125" style="291" customWidth="1"/>
    <col min="2316" max="2316" width="17.1640625" style="291" customWidth="1"/>
    <col min="2317" max="2317" width="4.1640625" style="291" customWidth="1"/>
    <col min="2318" max="2559" width="12" style="291"/>
    <col min="2560" max="2560" width="7" style="291" customWidth="1"/>
    <col min="2561" max="2561" width="2.33203125" style="291" customWidth="1"/>
    <col min="2562" max="2563" width="12" style="291"/>
    <col min="2564" max="2564" width="6.5" style="291" customWidth="1"/>
    <col min="2565" max="2565" width="5.1640625" style="291" customWidth="1"/>
    <col min="2566" max="2566" width="12" style="291"/>
    <col min="2567" max="2567" width="5.1640625" style="291" customWidth="1"/>
    <col min="2568" max="2568" width="17.1640625" style="291" customWidth="1"/>
    <col min="2569" max="2569" width="4.5" style="291" customWidth="1"/>
    <col min="2570" max="2570" width="16.1640625" style="291" customWidth="1"/>
    <col min="2571" max="2571" width="4.83203125" style="291" customWidth="1"/>
    <col min="2572" max="2572" width="17.1640625" style="291" customWidth="1"/>
    <col min="2573" max="2573" width="4.1640625" style="291" customWidth="1"/>
    <col min="2574" max="2815" width="12" style="291"/>
    <col min="2816" max="2816" width="7" style="291" customWidth="1"/>
    <col min="2817" max="2817" width="2.33203125" style="291" customWidth="1"/>
    <col min="2818" max="2819" width="12" style="291"/>
    <col min="2820" max="2820" width="6.5" style="291" customWidth="1"/>
    <col min="2821" max="2821" width="5.1640625" style="291" customWidth="1"/>
    <col min="2822" max="2822" width="12" style="291"/>
    <col min="2823" max="2823" width="5.1640625" style="291" customWidth="1"/>
    <col min="2824" max="2824" width="17.1640625" style="291" customWidth="1"/>
    <col min="2825" max="2825" width="4.5" style="291" customWidth="1"/>
    <col min="2826" max="2826" width="16.1640625" style="291" customWidth="1"/>
    <col min="2827" max="2827" width="4.83203125" style="291" customWidth="1"/>
    <col min="2828" max="2828" width="17.1640625" style="291" customWidth="1"/>
    <col min="2829" max="2829" width="4.1640625" style="291" customWidth="1"/>
    <col min="2830" max="3071" width="12" style="291"/>
    <col min="3072" max="3072" width="7" style="291" customWidth="1"/>
    <col min="3073" max="3073" width="2.33203125" style="291" customWidth="1"/>
    <col min="3074" max="3075" width="12" style="291"/>
    <col min="3076" max="3076" width="6.5" style="291" customWidth="1"/>
    <col min="3077" max="3077" width="5.1640625" style="291" customWidth="1"/>
    <col min="3078" max="3078" width="12" style="291"/>
    <col min="3079" max="3079" width="5.1640625" style="291" customWidth="1"/>
    <col min="3080" max="3080" width="17.1640625" style="291" customWidth="1"/>
    <col min="3081" max="3081" width="4.5" style="291" customWidth="1"/>
    <col min="3082" max="3082" width="16.1640625" style="291" customWidth="1"/>
    <col min="3083" max="3083" width="4.83203125" style="291" customWidth="1"/>
    <col min="3084" max="3084" width="17.1640625" style="291" customWidth="1"/>
    <col min="3085" max="3085" width="4.1640625" style="291" customWidth="1"/>
    <col min="3086" max="3327" width="12" style="291"/>
    <col min="3328" max="3328" width="7" style="291" customWidth="1"/>
    <col min="3329" max="3329" width="2.33203125" style="291" customWidth="1"/>
    <col min="3330" max="3331" width="12" style="291"/>
    <col min="3332" max="3332" width="6.5" style="291" customWidth="1"/>
    <col min="3333" max="3333" width="5.1640625" style="291" customWidth="1"/>
    <col min="3334" max="3334" width="12" style="291"/>
    <col min="3335" max="3335" width="5.1640625" style="291" customWidth="1"/>
    <col min="3336" max="3336" width="17.1640625" style="291" customWidth="1"/>
    <col min="3337" max="3337" width="4.5" style="291" customWidth="1"/>
    <col min="3338" max="3338" width="16.1640625" style="291" customWidth="1"/>
    <col min="3339" max="3339" width="4.83203125" style="291" customWidth="1"/>
    <col min="3340" max="3340" width="17.1640625" style="291" customWidth="1"/>
    <col min="3341" max="3341" width="4.1640625" style="291" customWidth="1"/>
    <col min="3342" max="3583" width="12" style="291"/>
    <col min="3584" max="3584" width="7" style="291" customWidth="1"/>
    <col min="3585" max="3585" width="2.33203125" style="291" customWidth="1"/>
    <col min="3586" max="3587" width="12" style="291"/>
    <col min="3588" max="3588" width="6.5" style="291" customWidth="1"/>
    <col min="3589" max="3589" width="5.1640625" style="291" customWidth="1"/>
    <col min="3590" max="3590" width="12" style="291"/>
    <col min="3591" max="3591" width="5.1640625" style="291" customWidth="1"/>
    <col min="3592" max="3592" width="17.1640625" style="291" customWidth="1"/>
    <col min="3593" max="3593" width="4.5" style="291" customWidth="1"/>
    <col min="3594" max="3594" width="16.1640625" style="291" customWidth="1"/>
    <col min="3595" max="3595" width="4.83203125" style="291" customWidth="1"/>
    <col min="3596" max="3596" width="17.1640625" style="291" customWidth="1"/>
    <col min="3597" max="3597" width="4.1640625" style="291" customWidth="1"/>
    <col min="3598" max="3839" width="12" style="291"/>
    <col min="3840" max="3840" width="7" style="291" customWidth="1"/>
    <col min="3841" max="3841" width="2.33203125" style="291" customWidth="1"/>
    <col min="3842" max="3843" width="12" style="291"/>
    <col min="3844" max="3844" width="6.5" style="291" customWidth="1"/>
    <col min="3845" max="3845" width="5.1640625" style="291" customWidth="1"/>
    <col min="3846" max="3846" width="12" style="291"/>
    <col min="3847" max="3847" width="5.1640625" style="291" customWidth="1"/>
    <col min="3848" max="3848" width="17.1640625" style="291" customWidth="1"/>
    <col min="3849" max="3849" width="4.5" style="291" customWidth="1"/>
    <col min="3850" max="3850" width="16.1640625" style="291" customWidth="1"/>
    <col min="3851" max="3851" width="4.83203125" style="291" customWidth="1"/>
    <col min="3852" max="3852" width="17.1640625" style="291" customWidth="1"/>
    <col min="3853" max="3853" width="4.1640625" style="291" customWidth="1"/>
    <col min="3854" max="4095" width="12" style="291"/>
    <col min="4096" max="4096" width="7" style="291" customWidth="1"/>
    <col min="4097" max="4097" width="2.33203125" style="291" customWidth="1"/>
    <col min="4098" max="4099" width="12" style="291"/>
    <col min="4100" max="4100" width="6.5" style="291" customWidth="1"/>
    <col min="4101" max="4101" width="5.1640625" style="291" customWidth="1"/>
    <col min="4102" max="4102" width="12" style="291"/>
    <col min="4103" max="4103" width="5.1640625" style="291" customWidth="1"/>
    <col min="4104" max="4104" width="17.1640625" style="291" customWidth="1"/>
    <col min="4105" max="4105" width="4.5" style="291" customWidth="1"/>
    <col min="4106" max="4106" width="16.1640625" style="291" customWidth="1"/>
    <col min="4107" max="4107" width="4.83203125" style="291" customWidth="1"/>
    <col min="4108" max="4108" width="17.1640625" style="291" customWidth="1"/>
    <col min="4109" max="4109" width="4.1640625" style="291" customWidth="1"/>
    <col min="4110" max="4351" width="12" style="291"/>
    <col min="4352" max="4352" width="7" style="291" customWidth="1"/>
    <col min="4353" max="4353" width="2.33203125" style="291" customWidth="1"/>
    <col min="4354" max="4355" width="12" style="291"/>
    <col min="4356" max="4356" width="6.5" style="291" customWidth="1"/>
    <col min="4357" max="4357" width="5.1640625" style="291" customWidth="1"/>
    <col min="4358" max="4358" width="12" style="291"/>
    <col min="4359" max="4359" width="5.1640625" style="291" customWidth="1"/>
    <col min="4360" max="4360" width="17.1640625" style="291" customWidth="1"/>
    <col min="4361" max="4361" width="4.5" style="291" customWidth="1"/>
    <col min="4362" max="4362" width="16.1640625" style="291" customWidth="1"/>
    <col min="4363" max="4363" width="4.83203125" style="291" customWidth="1"/>
    <col min="4364" max="4364" width="17.1640625" style="291" customWidth="1"/>
    <col min="4365" max="4365" width="4.1640625" style="291" customWidth="1"/>
    <col min="4366" max="4607" width="12" style="291"/>
    <col min="4608" max="4608" width="7" style="291" customWidth="1"/>
    <col min="4609" max="4609" width="2.33203125" style="291" customWidth="1"/>
    <col min="4610" max="4611" width="12" style="291"/>
    <col min="4612" max="4612" width="6.5" style="291" customWidth="1"/>
    <col min="4613" max="4613" width="5.1640625" style="291" customWidth="1"/>
    <col min="4614" max="4614" width="12" style="291"/>
    <col min="4615" max="4615" width="5.1640625" style="291" customWidth="1"/>
    <col min="4616" max="4616" width="17.1640625" style="291" customWidth="1"/>
    <col min="4617" max="4617" width="4.5" style="291" customWidth="1"/>
    <col min="4618" max="4618" width="16.1640625" style="291" customWidth="1"/>
    <col min="4619" max="4619" width="4.83203125" style="291" customWidth="1"/>
    <col min="4620" max="4620" width="17.1640625" style="291" customWidth="1"/>
    <col min="4621" max="4621" width="4.1640625" style="291" customWidth="1"/>
    <col min="4622" max="4863" width="12" style="291"/>
    <col min="4864" max="4864" width="7" style="291" customWidth="1"/>
    <col min="4865" max="4865" width="2.33203125" style="291" customWidth="1"/>
    <col min="4866" max="4867" width="12" style="291"/>
    <col min="4868" max="4868" width="6.5" style="291" customWidth="1"/>
    <col min="4869" max="4869" width="5.1640625" style="291" customWidth="1"/>
    <col min="4870" max="4870" width="12" style="291"/>
    <col min="4871" max="4871" width="5.1640625" style="291" customWidth="1"/>
    <col min="4872" max="4872" width="17.1640625" style="291" customWidth="1"/>
    <col min="4873" max="4873" width="4.5" style="291" customWidth="1"/>
    <col min="4874" max="4874" width="16.1640625" style="291" customWidth="1"/>
    <col min="4875" max="4875" width="4.83203125" style="291" customWidth="1"/>
    <col min="4876" max="4876" width="17.1640625" style="291" customWidth="1"/>
    <col min="4877" max="4877" width="4.1640625" style="291" customWidth="1"/>
    <col min="4878" max="5119" width="12" style="291"/>
    <col min="5120" max="5120" width="7" style="291" customWidth="1"/>
    <col min="5121" max="5121" width="2.33203125" style="291" customWidth="1"/>
    <col min="5122" max="5123" width="12" style="291"/>
    <col min="5124" max="5124" width="6.5" style="291" customWidth="1"/>
    <col min="5125" max="5125" width="5.1640625" style="291" customWidth="1"/>
    <col min="5126" max="5126" width="12" style="291"/>
    <col min="5127" max="5127" width="5.1640625" style="291" customWidth="1"/>
    <col min="5128" max="5128" width="17.1640625" style="291" customWidth="1"/>
    <col min="5129" max="5129" width="4.5" style="291" customWidth="1"/>
    <col min="5130" max="5130" width="16.1640625" style="291" customWidth="1"/>
    <col min="5131" max="5131" width="4.83203125" style="291" customWidth="1"/>
    <col min="5132" max="5132" width="17.1640625" style="291" customWidth="1"/>
    <col min="5133" max="5133" width="4.1640625" style="291" customWidth="1"/>
    <col min="5134" max="5375" width="12" style="291"/>
    <col min="5376" max="5376" width="7" style="291" customWidth="1"/>
    <col min="5377" max="5377" width="2.33203125" style="291" customWidth="1"/>
    <col min="5378" max="5379" width="12" style="291"/>
    <col min="5380" max="5380" width="6.5" style="291" customWidth="1"/>
    <col min="5381" max="5381" width="5.1640625" style="291" customWidth="1"/>
    <col min="5382" max="5382" width="12" style="291"/>
    <col min="5383" max="5383" width="5.1640625" style="291" customWidth="1"/>
    <col min="5384" max="5384" width="17.1640625" style="291" customWidth="1"/>
    <col min="5385" max="5385" width="4.5" style="291" customWidth="1"/>
    <col min="5386" max="5386" width="16.1640625" style="291" customWidth="1"/>
    <col min="5387" max="5387" width="4.83203125" style="291" customWidth="1"/>
    <col min="5388" max="5388" width="17.1640625" style="291" customWidth="1"/>
    <col min="5389" max="5389" width="4.1640625" style="291" customWidth="1"/>
    <col min="5390" max="5631" width="12" style="291"/>
    <col min="5632" max="5632" width="7" style="291" customWidth="1"/>
    <col min="5633" max="5633" width="2.33203125" style="291" customWidth="1"/>
    <col min="5634" max="5635" width="12" style="291"/>
    <col min="5636" max="5636" width="6.5" style="291" customWidth="1"/>
    <col min="5637" max="5637" width="5.1640625" style="291" customWidth="1"/>
    <col min="5638" max="5638" width="12" style="291"/>
    <col min="5639" max="5639" width="5.1640625" style="291" customWidth="1"/>
    <col min="5640" max="5640" width="17.1640625" style="291" customWidth="1"/>
    <col min="5641" max="5641" width="4.5" style="291" customWidth="1"/>
    <col min="5642" max="5642" width="16.1640625" style="291" customWidth="1"/>
    <col min="5643" max="5643" width="4.83203125" style="291" customWidth="1"/>
    <col min="5644" max="5644" width="17.1640625" style="291" customWidth="1"/>
    <col min="5645" max="5645" width="4.1640625" style="291" customWidth="1"/>
    <col min="5646" max="5887" width="12" style="291"/>
    <col min="5888" max="5888" width="7" style="291" customWidth="1"/>
    <col min="5889" max="5889" width="2.33203125" style="291" customWidth="1"/>
    <col min="5890" max="5891" width="12" style="291"/>
    <col min="5892" max="5892" width="6.5" style="291" customWidth="1"/>
    <col min="5893" max="5893" width="5.1640625" style="291" customWidth="1"/>
    <col min="5894" max="5894" width="12" style="291"/>
    <col min="5895" max="5895" width="5.1640625" style="291" customWidth="1"/>
    <col min="5896" max="5896" width="17.1640625" style="291" customWidth="1"/>
    <col min="5897" max="5897" width="4.5" style="291" customWidth="1"/>
    <col min="5898" max="5898" width="16.1640625" style="291" customWidth="1"/>
    <col min="5899" max="5899" width="4.83203125" style="291" customWidth="1"/>
    <col min="5900" max="5900" width="17.1640625" style="291" customWidth="1"/>
    <col min="5901" max="5901" width="4.1640625" style="291" customWidth="1"/>
    <col min="5902" max="6143" width="12" style="291"/>
    <col min="6144" max="6144" width="7" style="291" customWidth="1"/>
    <col min="6145" max="6145" width="2.33203125" style="291" customWidth="1"/>
    <col min="6146" max="6147" width="12" style="291"/>
    <col min="6148" max="6148" width="6.5" style="291" customWidth="1"/>
    <col min="6149" max="6149" width="5.1640625" style="291" customWidth="1"/>
    <col min="6150" max="6150" width="12" style="291"/>
    <col min="6151" max="6151" width="5.1640625" style="291" customWidth="1"/>
    <col min="6152" max="6152" width="17.1640625" style="291" customWidth="1"/>
    <col min="6153" max="6153" width="4.5" style="291" customWidth="1"/>
    <col min="6154" max="6154" width="16.1640625" style="291" customWidth="1"/>
    <col min="6155" max="6155" width="4.83203125" style="291" customWidth="1"/>
    <col min="6156" max="6156" width="17.1640625" style="291" customWidth="1"/>
    <col min="6157" max="6157" width="4.1640625" style="291" customWidth="1"/>
    <col min="6158" max="6399" width="12" style="291"/>
    <col min="6400" max="6400" width="7" style="291" customWidth="1"/>
    <col min="6401" max="6401" width="2.33203125" style="291" customWidth="1"/>
    <col min="6402" max="6403" width="12" style="291"/>
    <col min="6404" max="6404" width="6.5" style="291" customWidth="1"/>
    <col min="6405" max="6405" width="5.1640625" style="291" customWidth="1"/>
    <col min="6406" max="6406" width="12" style="291"/>
    <col min="6407" max="6407" width="5.1640625" style="291" customWidth="1"/>
    <col min="6408" max="6408" width="17.1640625" style="291" customWidth="1"/>
    <col min="6409" max="6409" width="4.5" style="291" customWidth="1"/>
    <col min="6410" max="6410" width="16.1640625" style="291" customWidth="1"/>
    <col min="6411" max="6411" width="4.83203125" style="291" customWidth="1"/>
    <col min="6412" max="6412" width="17.1640625" style="291" customWidth="1"/>
    <col min="6413" max="6413" width="4.1640625" style="291" customWidth="1"/>
    <col min="6414" max="6655" width="12" style="291"/>
    <col min="6656" max="6656" width="7" style="291" customWidth="1"/>
    <col min="6657" max="6657" width="2.33203125" style="291" customWidth="1"/>
    <col min="6658" max="6659" width="12" style="291"/>
    <col min="6660" max="6660" width="6.5" style="291" customWidth="1"/>
    <col min="6661" max="6661" width="5.1640625" style="291" customWidth="1"/>
    <col min="6662" max="6662" width="12" style="291"/>
    <col min="6663" max="6663" width="5.1640625" style="291" customWidth="1"/>
    <col min="6664" max="6664" width="17.1640625" style="291" customWidth="1"/>
    <col min="6665" max="6665" width="4.5" style="291" customWidth="1"/>
    <col min="6666" max="6666" width="16.1640625" style="291" customWidth="1"/>
    <col min="6667" max="6667" width="4.83203125" style="291" customWidth="1"/>
    <col min="6668" max="6668" width="17.1640625" style="291" customWidth="1"/>
    <col min="6669" max="6669" width="4.1640625" style="291" customWidth="1"/>
    <col min="6670" max="6911" width="12" style="291"/>
    <col min="6912" max="6912" width="7" style="291" customWidth="1"/>
    <col min="6913" max="6913" width="2.33203125" style="291" customWidth="1"/>
    <col min="6914" max="6915" width="12" style="291"/>
    <col min="6916" max="6916" width="6.5" style="291" customWidth="1"/>
    <col min="6917" max="6917" width="5.1640625" style="291" customWidth="1"/>
    <col min="6918" max="6918" width="12" style="291"/>
    <col min="6919" max="6919" width="5.1640625" style="291" customWidth="1"/>
    <col min="6920" max="6920" width="17.1640625" style="291" customWidth="1"/>
    <col min="6921" max="6921" width="4.5" style="291" customWidth="1"/>
    <col min="6922" max="6922" width="16.1640625" style="291" customWidth="1"/>
    <col min="6923" max="6923" width="4.83203125" style="291" customWidth="1"/>
    <col min="6924" max="6924" width="17.1640625" style="291" customWidth="1"/>
    <col min="6925" max="6925" width="4.1640625" style="291" customWidth="1"/>
    <col min="6926" max="7167" width="12" style="291"/>
    <col min="7168" max="7168" width="7" style="291" customWidth="1"/>
    <col min="7169" max="7169" width="2.33203125" style="291" customWidth="1"/>
    <col min="7170" max="7171" width="12" style="291"/>
    <col min="7172" max="7172" width="6.5" style="291" customWidth="1"/>
    <col min="7173" max="7173" width="5.1640625" style="291" customWidth="1"/>
    <col min="7174" max="7174" width="12" style="291"/>
    <col min="7175" max="7175" width="5.1640625" style="291" customWidth="1"/>
    <col min="7176" max="7176" width="17.1640625" style="291" customWidth="1"/>
    <col min="7177" max="7177" width="4.5" style="291" customWidth="1"/>
    <col min="7178" max="7178" width="16.1640625" style="291" customWidth="1"/>
    <col min="7179" max="7179" width="4.83203125" style="291" customWidth="1"/>
    <col min="7180" max="7180" width="17.1640625" style="291" customWidth="1"/>
    <col min="7181" max="7181" width="4.1640625" style="291" customWidth="1"/>
    <col min="7182" max="7423" width="12" style="291"/>
    <col min="7424" max="7424" width="7" style="291" customWidth="1"/>
    <col min="7425" max="7425" width="2.33203125" style="291" customWidth="1"/>
    <col min="7426" max="7427" width="12" style="291"/>
    <col min="7428" max="7428" width="6.5" style="291" customWidth="1"/>
    <col min="7429" max="7429" width="5.1640625" style="291" customWidth="1"/>
    <col min="7430" max="7430" width="12" style="291"/>
    <col min="7431" max="7431" width="5.1640625" style="291" customWidth="1"/>
    <col min="7432" max="7432" width="17.1640625" style="291" customWidth="1"/>
    <col min="7433" max="7433" width="4.5" style="291" customWidth="1"/>
    <col min="7434" max="7434" width="16.1640625" style="291" customWidth="1"/>
    <col min="7435" max="7435" width="4.83203125" style="291" customWidth="1"/>
    <col min="7436" max="7436" width="17.1640625" style="291" customWidth="1"/>
    <col min="7437" max="7437" width="4.1640625" style="291" customWidth="1"/>
    <col min="7438" max="7679" width="12" style="291"/>
    <col min="7680" max="7680" width="7" style="291" customWidth="1"/>
    <col min="7681" max="7681" width="2.33203125" style="291" customWidth="1"/>
    <col min="7682" max="7683" width="12" style="291"/>
    <col min="7684" max="7684" width="6.5" style="291" customWidth="1"/>
    <col min="7685" max="7685" width="5.1640625" style="291" customWidth="1"/>
    <col min="7686" max="7686" width="12" style="291"/>
    <col min="7687" max="7687" width="5.1640625" style="291" customWidth="1"/>
    <col min="7688" max="7688" width="17.1640625" style="291" customWidth="1"/>
    <col min="7689" max="7689" width="4.5" style="291" customWidth="1"/>
    <col min="7690" max="7690" width="16.1640625" style="291" customWidth="1"/>
    <col min="7691" max="7691" width="4.83203125" style="291" customWidth="1"/>
    <col min="7692" max="7692" width="17.1640625" style="291" customWidth="1"/>
    <col min="7693" max="7693" width="4.1640625" style="291" customWidth="1"/>
    <col min="7694" max="7935" width="12" style="291"/>
    <col min="7936" max="7936" width="7" style="291" customWidth="1"/>
    <col min="7937" max="7937" width="2.33203125" style="291" customWidth="1"/>
    <col min="7938" max="7939" width="12" style="291"/>
    <col min="7940" max="7940" width="6.5" style="291" customWidth="1"/>
    <col min="7941" max="7941" width="5.1640625" style="291" customWidth="1"/>
    <col min="7942" max="7942" width="12" style="291"/>
    <col min="7943" max="7943" width="5.1640625" style="291" customWidth="1"/>
    <col min="7944" max="7944" width="17.1640625" style="291" customWidth="1"/>
    <col min="7945" max="7945" width="4.5" style="291" customWidth="1"/>
    <col min="7946" max="7946" width="16.1640625" style="291" customWidth="1"/>
    <col min="7947" max="7947" width="4.83203125" style="291" customWidth="1"/>
    <col min="7948" max="7948" width="17.1640625" style="291" customWidth="1"/>
    <col min="7949" max="7949" width="4.1640625" style="291" customWidth="1"/>
    <col min="7950" max="8191" width="12" style="291"/>
    <col min="8192" max="8192" width="7" style="291" customWidth="1"/>
    <col min="8193" max="8193" width="2.33203125" style="291" customWidth="1"/>
    <col min="8194" max="8195" width="12" style="291"/>
    <col min="8196" max="8196" width="6.5" style="291" customWidth="1"/>
    <col min="8197" max="8197" width="5.1640625" style="291" customWidth="1"/>
    <col min="8198" max="8198" width="12" style="291"/>
    <col min="8199" max="8199" width="5.1640625" style="291" customWidth="1"/>
    <col min="8200" max="8200" width="17.1640625" style="291" customWidth="1"/>
    <col min="8201" max="8201" width="4.5" style="291" customWidth="1"/>
    <col min="8202" max="8202" width="16.1640625" style="291" customWidth="1"/>
    <col min="8203" max="8203" width="4.83203125" style="291" customWidth="1"/>
    <col min="8204" max="8204" width="17.1640625" style="291" customWidth="1"/>
    <col min="8205" max="8205" width="4.1640625" style="291" customWidth="1"/>
    <col min="8206" max="8447" width="12" style="291"/>
    <col min="8448" max="8448" width="7" style="291" customWidth="1"/>
    <col min="8449" max="8449" width="2.33203125" style="291" customWidth="1"/>
    <col min="8450" max="8451" width="12" style="291"/>
    <col min="8452" max="8452" width="6.5" style="291" customWidth="1"/>
    <col min="8453" max="8453" width="5.1640625" style="291" customWidth="1"/>
    <col min="8454" max="8454" width="12" style="291"/>
    <col min="8455" max="8455" width="5.1640625" style="291" customWidth="1"/>
    <col min="8456" max="8456" width="17.1640625" style="291" customWidth="1"/>
    <col min="8457" max="8457" width="4.5" style="291" customWidth="1"/>
    <col min="8458" max="8458" width="16.1640625" style="291" customWidth="1"/>
    <col min="8459" max="8459" width="4.83203125" style="291" customWidth="1"/>
    <col min="8460" max="8460" width="17.1640625" style="291" customWidth="1"/>
    <col min="8461" max="8461" width="4.1640625" style="291" customWidth="1"/>
    <col min="8462" max="8703" width="12" style="291"/>
    <col min="8704" max="8704" width="7" style="291" customWidth="1"/>
    <col min="8705" max="8705" width="2.33203125" style="291" customWidth="1"/>
    <col min="8706" max="8707" width="12" style="291"/>
    <col min="8708" max="8708" width="6.5" style="291" customWidth="1"/>
    <col min="8709" max="8709" width="5.1640625" style="291" customWidth="1"/>
    <col min="8710" max="8710" width="12" style="291"/>
    <col min="8711" max="8711" width="5.1640625" style="291" customWidth="1"/>
    <col min="8712" max="8712" width="17.1640625" style="291" customWidth="1"/>
    <col min="8713" max="8713" width="4.5" style="291" customWidth="1"/>
    <col min="8714" max="8714" width="16.1640625" style="291" customWidth="1"/>
    <col min="8715" max="8715" width="4.83203125" style="291" customWidth="1"/>
    <col min="8716" max="8716" width="17.1640625" style="291" customWidth="1"/>
    <col min="8717" max="8717" width="4.1640625" style="291" customWidth="1"/>
    <col min="8718" max="8959" width="12" style="291"/>
    <col min="8960" max="8960" width="7" style="291" customWidth="1"/>
    <col min="8961" max="8961" width="2.33203125" style="291" customWidth="1"/>
    <col min="8962" max="8963" width="12" style="291"/>
    <col min="8964" max="8964" width="6.5" style="291" customWidth="1"/>
    <col min="8965" max="8965" width="5.1640625" style="291" customWidth="1"/>
    <col min="8966" max="8966" width="12" style="291"/>
    <col min="8967" max="8967" width="5.1640625" style="291" customWidth="1"/>
    <col min="8968" max="8968" width="17.1640625" style="291" customWidth="1"/>
    <col min="8969" max="8969" width="4.5" style="291" customWidth="1"/>
    <col min="8970" max="8970" width="16.1640625" style="291" customWidth="1"/>
    <col min="8971" max="8971" width="4.83203125" style="291" customWidth="1"/>
    <col min="8972" max="8972" width="17.1640625" style="291" customWidth="1"/>
    <col min="8973" max="8973" width="4.1640625" style="291" customWidth="1"/>
    <col min="8974" max="9215" width="12" style="291"/>
    <col min="9216" max="9216" width="7" style="291" customWidth="1"/>
    <col min="9217" max="9217" width="2.33203125" style="291" customWidth="1"/>
    <col min="9218" max="9219" width="12" style="291"/>
    <col min="9220" max="9220" width="6.5" style="291" customWidth="1"/>
    <col min="9221" max="9221" width="5.1640625" style="291" customWidth="1"/>
    <col min="9222" max="9222" width="12" style="291"/>
    <col min="9223" max="9223" width="5.1640625" style="291" customWidth="1"/>
    <col min="9224" max="9224" width="17.1640625" style="291" customWidth="1"/>
    <col min="9225" max="9225" width="4.5" style="291" customWidth="1"/>
    <col min="9226" max="9226" width="16.1640625" style="291" customWidth="1"/>
    <col min="9227" max="9227" width="4.83203125" style="291" customWidth="1"/>
    <col min="9228" max="9228" width="17.1640625" style="291" customWidth="1"/>
    <col min="9229" max="9229" width="4.1640625" style="291" customWidth="1"/>
    <col min="9230" max="9471" width="12" style="291"/>
    <col min="9472" max="9472" width="7" style="291" customWidth="1"/>
    <col min="9473" max="9473" width="2.33203125" style="291" customWidth="1"/>
    <col min="9474" max="9475" width="12" style="291"/>
    <col min="9476" max="9476" width="6.5" style="291" customWidth="1"/>
    <col min="9477" max="9477" width="5.1640625" style="291" customWidth="1"/>
    <col min="9478" max="9478" width="12" style="291"/>
    <col min="9479" max="9479" width="5.1640625" style="291" customWidth="1"/>
    <col min="9480" max="9480" width="17.1640625" style="291" customWidth="1"/>
    <col min="9481" max="9481" width="4.5" style="291" customWidth="1"/>
    <col min="9482" max="9482" width="16.1640625" style="291" customWidth="1"/>
    <col min="9483" max="9483" width="4.83203125" style="291" customWidth="1"/>
    <col min="9484" max="9484" width="17.1640625" style="291" customWidth="1"/>
    <col min="9485" max="9485" width="4.1640625" style="291" customWidth="1"/>
    <col min="9486" max="9727" width="12" style="291"/>
    <col min="9728" max="9728" width="7" style="291" customWidth="1"/>
    <col min="9729" max="9729" width="2.33203125" style="291" customWidth="1"/>
    <col min="9730" max="9731" width="12" style="291"/>
    <col min="9732" max="9732" width="6.5" style="291" customWidth="1"/>
    <col min="9733" max="9733" width="5.1640625" style="291" customWidth="1"/>
    <col min="9734" max="9734" width="12" style="291"/>
    <col min="9735" max="9735" width="5.1640625" style="291" customWidth="1"/>
    <col min="9736" max="9736" width="17.1640625" style="291" customWidth="1"/>
    <col min="9737" max="9737" width="4.5" style="291" customWidth="1"/>
    <col min="9738" max="9738" width="16.1640625" style="291" customWidth="1"/>
    <col min="9739" max="9739" width="4.83203125" style="291" customWidth="1"/>
    <col min="9740" max="9740" width="17.1640625" style="291" customWidth="1"/>
    <col min="9741" max="9741" width="4.1640625" style="291" customWidth="1"/>
    <col min="9742" max="9983" width="12" style="291"/>
    <col min="9984" max="9984" width="7" style="291" customWidth="1"/>
    <col min="9985" max="9985" width="2.33203125" style="291" customWidth="1"/>
    <col min="9986" max="9987" width="12" style="291"/>
    <col min="9988" max="9988" width="6.5" style="291" customWidth="1"/>
    <col min="9989" max="9989" width="5.1640625" style="291" customWidth="1"/>
    <col min="9990" max="9990" width="12" style="291"/>
    <col min="9991" max="9991" width="5.1640625" style="291" customWidth="1"/>
    <col min="9992" max="9992" width="17.1640625" style="291" customWidth="1"/>
    <col min="9993" max="9993" width="4.5" style="291" customWidth="1"/>
    <col min="9994" max="9994" width="16.1640625" style="291" customWidth="1"/>
    <col min="9995" max="9995" width="4.83203125" style="291" customWidth="1"/>
    <col min="9996" max="9996" width="17.1640625" style="291" customWidth="1"/>
    <col min="9997" max="9997" width="4.1640625" style="291" customWidth="1"/>
    <col min="9998" max="10239" width="12" style="291"/>
    <col min="10240" max="10240" width="7" style="291" customWidth="1"/>
    <col min="10241" max="10241" width="2.33203125" style="291" customWidth="1"/>
    <col min="10242" max="10243" width="12" style="291"/>
    <col min="10244" max="10244" width="6.5" style="291" customWidth="1"/>
    <col min="10245" max="10245" width="5.1640625" style="291" customWidth="1"/>
    <col min="10246" max="10246" width="12" style="291"/>
    <col min="10247" max="10247" width="5.1640625" style="291" customWidth="1"/>
    <col min="10248" max="10248" width="17.1640625" style="291" customWidth="1"/>
    <col min="10249" max="10249" width="4.5" style="291" customWidth="1"/>
    <col min="10250" max="10250" width="16.1640625" style="291" customWidth="1"/>
    <col min="10251" max="10251" width="4.83203125" style="291" customWidth="1"/>
    <col min="10252" max="10252" width="17.1640625" style="291" customWidth="1"/>
    <col min="10253" max="10253" width="4.1640625" style="291" customWidth="1"/>
    <col min="10254" max="10495" width="12" style="291"/>
    <col min="10496" max="10496" width="7" style="291" customWidth="1"/>
    <col min="10497" max="10497" width="2.33203125" style="291" customWidth="1"/>
    <col min="10498" max="10499" width="12" style="291"/>
    <col min="10500" max="10500" width="6.5" style="291" customWidth="1"/>
    <col min="10501" max="10501" width="5.1640625" style="291" customWidth="1"/>
    <col min="10502" max="10502" width="12" style="291"/>
    <col min="10503" max="10503" width="5.1640625" style="291" customWidth="1"/>
    <col min="10504" max="10504" width="17.1640625" style="291" customWidth="1"/>
    <col min="10505" max="10505" width="4.5" style="291" customWidth="1"/>
    <col min="10506" max="10506" width="16.1640625" style="291" customWidth="1"/>
    <col min="10507" max="10507" width="4.83203125" style="291" customWidth="1"/>
    <col min="10508" max="10508" width="17.1640625" style="291" customWidth="1"/>
    <col min="10509" max="10509" width="4.1640625" style="291" customWidth="1"/>
    <col min="10510" max="10751" width="12" style="291"/>
    <col min="10752" max="10752" width="7" style="291" customWidth="1"/>
    <col min="10753" max="10753" width="2.33203125" style="291" customWidth="1"/>
    <col min="10754" max="10755" width="12" style="291"/>
    <col min="10756" max="10756" width="6.5" style="291" customWidth="1"/>
    <col min="10757" max="10757" width="5.1640625" style="291" customWidth="1"/>
    <col min="10758" max="10758" width="12" style="291"/>
    <col min="10759" max="10759" width="5.1640625" style="291" customWidth="1"/>
    <col min="10760" max="10760" width="17.1640625" style="291" customWidth="1"/>
    <col min="10761" max="10761" width="4.5" style="291" customWidth="1"/>
    <col min="10762" max="10762" width="16.1640625" style="291" customWidth="1"/>
    <col min="10763" max="10763" width="4.83203125" style="291" customWidth="1"/>
    <col min="10764" max="10764" width="17.1640625" style="291" customWidth="1"/>
    <col min="10765" max="10765" width="4.1640625" style="291" customWidth="1"/>
    <col min="10766" max="11007" width="12" style="291"/>
    <col min="11008" max="11008" width="7" style="291" customWidth="1"/>
    <col min="11009" max="11009" width="2.33203125" style="291" customWidth="1"/>
    <col min="11010" max="11011" width="12" style="291"/>
    <col min="11012" max="11012" width="6.5" style="291" customWidth="1"/>
    <col min="11013" max="11013" width="5.1640625" style="291" customWidth="1"/>
    <col min="11014" max="11014" width="12" style="291"/>
    <col min="11015" max="11015" width="5.1640625" style="291" customWidth="1"/>
    <col min="11016" max="11016" width="17.1640625" style="291" customWidth="1"/>
    <col min="11017" max="11017" width="4.5" style="291" customWidth="1"/>
    <col min="11018" max="11018" width="16.1640625" style="291" customWidth="1"/>
    <col min="11019" max="11019" width="4.83203125" style="291" customWidth="1"/>
    <col min="11020" max="11020" width="17.1640625" style="291" customWidth="1"/>
    <col min="11021" max="11021" width="4.1640625" style="291" customWidth="1"/>
    <col min="11022" max="11263" width="12" style="291"/>
    <col min="11264" max="11264" width="7" style="291" customWidth="1"/>
    <col min="11265" max="11265" width="2.33203125" style="291" customWidth="1"/>
    <col min="11266" max="11267" width="12" style="291"/>
    <col min="11268" max="11268" width="6.5" style="291" customWidth="1"/>
    <col min="11269" max="11269" width="5.1640625" style="291" customWidth="1"/>
    <col min="11270" max="11270" width="12" style="291"/>
    <col min="11271" max="11271" width="5.1640625" style="291" customWidth="1"/>
    <col min="11272" max="11272" width="17.1640625" style="291" customWidth="1"/>
    <col min="11273" max="11273" width="4.5" style="291" customWidth="1"/>
    <col min="11274" max="11274" width="16.1640625" style="291" customWidth="1"/>
    <col min="11275" max="11275" width="4.83203125" style="291" customWidth="1"/>
    <col min="11276" max="11276" width="17.1640625" style="291" customWidth="1"/>
    <col min="11277" max="11277" width="4.1640625" style="291" customWidth="1"/>
    <col min="11278" max="11519" width="12" style="291"/>
    <col min="11520" max="11520" width="7" style="291" customWidth="1"/>
    <col min="11521" max="11521" width="2.33203125" style="291" customWidth="1"/>
    <col min="11522" max="11523" width="12" style="291"/>
    <col min="11524" max="11524" width="6.5" style="291" customWidth="1"/>
    <col min="11525" max="11525" width="5.1640625" style="291" customWidth="1"/>
    <col min="11526" max="11526" width="12" style="291"/>
    <col min="11527" max="11527" width="5.1640625" style="291" customWidth="1"/>
    <col min="11528" max="11528" width="17.1640625" style="291" customWidth="1"/>
    <col min="11529" max="11529" width="4.5" style="291" customWidth="1"/>
    <col min="11530" max="11530" width="16.1640625" style="291" customWidth="1"/>
    <col min="11531" max="11531" width="4.83203125" style="291" customWidth="1"/>
    <col min="11532" max="11532" width="17.1640625" style="291" customWidth="1"/>
    <col min="11533" max="11533" width="4.1640625" style="291" customWidth="1"/>
    <col min="11534" max="11775" width="12" style="291"/>
    <col min="11776" max="11776" width="7" style="291" customWidth="1"/>
    <col min="11777" max="11777" width="2.33203125" style="291" customWidth="1"/>
    <col min="11778" max="11779" width="12" style="291"/>
    <col min="11780" max="11780" width="6.5" style="291" customWidth="1"/>
    <col min="11781" max="11781" width="5.1640625" style="291" customWidth="1"/>
    <col min="11782" max="11782" width="12" style="291"/>
    <col min="11783" max="11783" width="5.1640625" style="291" customWidth="1"/>
    <col min="11784" max="11784" width="17.1640625" style="291" customWidth="1"/>
    <col min="11785" max="11785" width="4.5" style="291" customWidth="1"/>
    <col min="11786" max="11786" width="16.1640625" style="291" customWidth="1"/>
    <col min="11787" max="11787" width="4.83203125" style="291" customWidth="1"/>
    <col min="11788" max="11788" width="17.1640625" style="291" customWidth="1"/>
    <col min="11789" max="11789" width="4.1640625" style="291" customWidth="1"/>
    <col min="11790" max="12031" width="12" style="291"/>
    <col min="12032" max="12032" width="7" style="291" customWidth="1"/>
    <col min="12033" max="12033" width="2.33203125" style="291" customWidth="1"/>
    <col min="12034" max="12035" width="12" style="291"/>
    <col min="12036" max="12036" width="6.5" style="291" customWidth="1"/>
    <col min="12037" max="12037" width="5.1640625" style="291" customWidth="1"/>
    <col min="12038" max="12038" width="12" style="291"/>
    <col min="12039" max="12039" width="5.1640625" style="291" customWidth="1"/>
    <col min="12040" max="12040" width="17.1640625" style="291" customWidth="1"/>
    <col min="12041" max="12041" width="4.5" style="291" customWidth="1"/>
    <col min="12042" max="12042" width="16.1640625" style="291" customWidth="1"/>
    <col min="12043" max="12043" width="4.83203125" style="291" customWidth="1"/>
    <col min="12044" max="12044" width="17.1640625" style="291" customWidth="1"/>
    <col min="12045" max="12045" width="4.1640625" style="291" customWidth="1"/>
    <col min="12046" max="12287" width="12" style="291"/>
    <col min="12288" max="12288" width="7" style="291" customWidth="1"/>
    <col min="12289" max="12289" width="2.33203125" style="291" customWidth="1"/>
    <col min="12290" max="12291" width="12" style="291"/>
    <col min="12292" max="12292" width="6.5" style="291" customWidth="1"/>
    <col min="12293" max="12293" width="5.1640625" style="291" customWidth="1"/>
    <col min="12294" max="12294" width="12" style="291"/>
    <col min="12295" max="12295" width="5.1640625" style="291" customWidth="1"/>
    <col min="12296" max="12296" width="17.1640625" style="291" customWidth="1"/>
    <col min="12297" max="12297" width="4.5" style="291" customWidth="1"/>
    <col min="12298" max="12298" width="16.1640625" style="291" customWidth="1"/>
    <col min="12299" max="12299" width="4.83203125" style="291" customWidth="1"/>
    <col min="12300" max="12300" width="17.1640625" style="291" customWidth="1"/>
    <col min="12301" max="12301" width="4.1640625" style="291" customWidth="1"/>
    <col min="12302" max="12543" width="12" style="291"/>
    <col min="12544" max="12544" width="7" style="291" customWidth="1"/>
    <col min="12545" max="12545" width="2.33203125" style="291" customWidth="1"/>
    <col min="12546" max="12547" width="12" style="291"/>
    <col min="12548" max="12548" width="6.5" style="291" customWidth="1"/>
    <col min="12549" max="12549" width="5.1640625" style="291" customWidth="1"/>
    <col min="12550" max="12550" width="12" style="291"/>
    <col min="12551" max="12551" width="5.1640625" style="291" customWidth="1"/>
    <col min="12552" max="12552" width="17.1640625" style="291" customWidth="1"/>
    <col min="12553" max="12553" width="4.5" style="291" customWidth="1"/>
    <col min="12554" max="12554" width="16.1640625" style="291" customWidth="1"/>
    <col min="12555" max="12555" width="4.83203125" style="291" customWidth="1"/>
    <col min="12556" max="12556" width="17.1640625" style="291" customWidth="1"/>
    <col min="12557" max="12557" width="4.1640625" style="291" customWidth="1"/>
    <col min="12558" max="12799" width="12" style="291"/>
    <col min="12800" max="12800" width="7" style="291" customWidth="1"/>
    <col min="12801" max="12801" width="2.33203125" style="291" customWidth="1"/>
    <col min="12802" max="12803" width="12" style="291"/>
    <col min="12804" max="12804" width="6.5" style="291" customWidth="1"/>
    <col min="12805" max="12805" width="5.1640625" style="291" customWidth="1"/>
    <col min="12806" max="12806" width="12" style="291"/>
    <col min="12807" max="12807" width="5.1640625" style="291" customWidth="1"/>
    <col min="12808" max="12808" width="17.1640625" style="291" customWidth="1"/>
    <col min="12809" max="12809" width="4.5" style="291" customWidth="1"/>
    <col min="12810" max="12810" width="16.1640625" style="291" customWidth="1"/>
    <col min="12811" max="12811" width="4.83203125" style="291" customWidth="1"/>
    <col min="12812" max="12812" width="17.1640625" style="291" customWidth="1"/>
    <col min="12813" max="12813" width="4.1640625" style="291" customWidth="1"/>
    <col min="12814" max="13055" width="12" style="291"/>
    <col min="13056" max="13056" width="7" style="291" customWidth="1"/>
    <col min="13057" max="13057" width="2.33203125" style="291" customWidth="1"/>
    <col min="13058" max="13059" width="12" style="291"/>
    <col min="13060" max="13060" width="6.5" style="291" customWidth="1"/>
    <col min="13061" max="13061" width="5.1640625" style="291" customWidth="1"/>
    <col min="13062" max="13062" width="12" style="291"/>
    <col min="13063" max="13063" width="5.1640625" style="291" customWidth="1"/>
    <col min="13064" max="13064" width="17.1640625" style="291" customWidth="1"/>
    <col min="13065" max="13065" width="4.5" style="291" customWidth="1"/>
    <col min="13066" max="13066" width="16.1640625" style="291" customWidth="1"/>
    <col min="13067" max="13067" width="4.83203125" style="291" customWidth="1"/>
    <col min="13068" max="13068" width="17.1640625" style="291" customWidth="1"/>
    <col min="13069" max="13069" width="4.1640625" style="291" customWidth="1"/>
    <col min="13070" max="13311" width="12" style="291"/>
    <col min="13312" max="13312" width="7" style="291" customWidth="1"/>
    <col min="13313" max="13313" width="2.33203125" style="291" customWidth="1"/>
    <col min="13314" max="13315" width="12" style="291"/>
    <col min="13316" max="13316" width="6.5" style="291" customWidth="1"/>
    <col min="13317" max="13317" width="5.1640625" style="291" customWidth="1"/>
    <col min="13318" max="13318" width="12" style="291"/>
    <col min="13319" max="13319" width="5.1640625" style="291" customWidth="1"/>
    <col min="13320" max="13320" width="17.1640625" style="291" customWidth="1"/>
    <col min="13321" max="13321" width="4.5" style="291" customWidth="1"/>
    <col min="13322" max="13322" width="16.1640625" style="291" customWidth="1"/>
    <col min="13323" max="13323" width="4.83203125" style="291" customWidth="1"/>
    <col min="13324" max="13324" width="17.1640625" style="291" customWidth="1"/>
    <col min="13325" max="13325" width="4.1640625" style="291" customWidth="1"/>
    <col min="13326" max="13567" width="12" style="291"/>
    <col min="13568" max="13568" width="7" style="291" customWidth="1"/>
    <col min="13569" max="13569" width="2.33203125" style="291" customWidth="1"/>
    <col min="13570" max="13571" width="12" style="291"/>
    <col min="13572" max="13572" width="6.5" style="291" customWidth="1"/>
    <col min="13573" max="13573" width="5.1640625" style="291" customWidth="1"/>
    <col min="13574" max="13574" width="12" style="291"/>
    <col min="13575" max="13575" width="5.1640625" style="291" customWidth="1"/>
    <col min="13576" max="13576" width="17.1640625" style="291" customWidth="1"/>
    <col min="13577" max="13577" width="4.5" style="291" customWidth="1"/>
    <col min="13578" max="13578" width="16.1640625" style="291" customWidth="1"/>
    <col min="13579" max="13579" width="4.83203125" style="291" customWidth="1"/>
    <col min="13580" max="13580" width="17.1640625" style="291" customWidth="1"/>
    <col min="13581" max="13581" width="4.1640625" style="291" customWidth="1"/>
    <col min="13582" max="13823" width="12" style="291"/>
    <col min="13824" max="13824" width="7" style="291" customWidth="1"/>
    <col min="13825" max="13825" width="2.33203125" style="291" customWidth="1"/>
    <col min="13826" max="13827" width="12" style="291"/>
    <col min="13828" max="13828" width="6.5" style="291" customWidth="1"/>
    <col min="13829" max="13829" width="5.1640625" style="291" customWidth="1"/>
    <col min="13830" max="13830" width="12" style="291"/>
    <col min="13831" max="13831" width="5.1640625" style="291" customWidth="1"/>
    <col min="13832" max="13832" width="17.1640625" style="291" customWidth="1"/>
    <col min="13833" max="13833" width="4.5" style="291" customWidth="1"/>
    <col min="13834" max="13834" width="16.1640625" style="291" customWidth="1"/>
    <col min="13835" max="13835" width="4.83203125" style="291" customWidth="1"/>
    <col min="13836" max="13836" width="17.1640625" style="291" customWidth="1"/>
    <col min="13837" max="13837" width="4.1640625" style="291" customWidth="1"/>
    <col min="13838" max="14079" width="12" style="291"/>
    <col min="14080" max="14080" width="7" style="291" customWidth="1"/>
    <col min="14081" max="14081" width="2.33203125" style="291" customWidth="1"/>
    <col min="14082" max="14083" width="12" style="291"/>
    <col min="14084" max="14084" width="6.5" style="291" customWidth="1"/>
    <col min="14085" max="14085" width="5.1640625" style="291" customWidth="1"/>
    <col min="14086" max="14086" width="12" style="291"/>
    <col min="14087" max="14087" width="5.1640625" style="291" customWidth="1"/>
    <col min="14088" max="14088" width="17.1640625" style="291" customWidth="1"/>
    <col min="14089" max="14089" width="4.5" style="291" customWidth="1"/>
    <col min="14090" max="14090" width="16.1640625" style="291" customWidth="1"/>
    <col min="14091" max="14091" width="4.83203125" style="291" customWidth="1"/>
    <col min="14092" max="14092" width="17.1640625" style="291" customWidth="1"/>
    <col min="14093" max="14093" width="4.1640625" style="291" customWidth="1"/>
    <col min="14094" max="14335" width="12" style="291"/>
    <col min="14336" max="14336" width="7" style="291" customWidth="1"/>
    <col min="14337" max="14337" width="2.33203125" style="291" customWidth="1"/>
    <col min="14338" max="14339" width="12" style="291"/>
    <col min="14340" max="14340" width="6.5" style="291" customWidth="1"/>
    <col min="14341" max="14341" width="5.1640625" style="291" customWidth="1"/>
    <col min="14342" max="14342" width="12" style="291"/>
    <col min="14343" max="14343" width="5.1640625" style="291" customWidth="1"/>
    <col min="14344" max="14344" width="17.1640625" style="291" customWidth="1"/>
    <col min="14345" max="14345" width="4.5" style="291" customWidth="1"/>
    <col min="14346" max="14346" width="16.1640625" style="291" customWidth="1"/>
    <col min="14347" max="14347" width="4.83203125" style="291" customWidth="1"/>
    <col min="14348" max="14348" width="17.1640625" style="291" customWidth="1"/>
    <col min="14349" max="14349" width="4.1640625" style="291" customWidth="1"/>
    <col min="14350" max="14591" width="12" style="291"/>
    <col min="14592" max="14592" width="7" style="291" customWidth="1"/>
    <col min="14593" max="14593" width="2.33203125" style="291" customWidth="1"/>
    <col min="14594" max="14595" width="12" style="291"/>
    <col min="14596" max="14596" width="6.5" style="291" customWidth="1"/>
    <col min="14597" max="14597" width="5.1640625" style="291" customWidth="1"/>
    <col min="14598" max="14598" width="12" style="291"/>
    <col min="14599" max="14599" width="5.1640625" style="291" customWidth="1"/>
    <col min="14600" max="14600" width="17.1640625" style="291" customWidth="1"/>
    <col min="14601" max="14601" width="4.5" style="291" customWidth="1"/>
    <col min="14602" max="14602" width="16.1640625" style="291" customWidth="1"/>
    <col min="14603" max="14603" width="4.83203125" style="291" customWidth="1"/>
    <col min="14604" max="14604" width="17.1640625" style="291" customWidth="1"/>
    <col min="14605" max="14605" width="4.1640625" style="291" customWidth="1"/>
    <col min="14606" max="14847" width="12" style="291"/>
    <col min="14848" max="14848" width="7" style="291" customWidth="1"/>
    <col min="14849" max="14849" width="2.33203125" style="291" customWidth="1"/>
    <col min="14850" max="14851" width="12" style="291"/>
    <col min="14852" max="14852" width="6.5" style="291" customWidth="1"/>
    <col min="14853" max="14853" width="5.1640625" style="291" customWidth="1"/>
    <col min="14854" max="14854" width="12" style="291"/>
    <col min="14855" max="14855" width="5.1640625" style="291" customWidth="1"/>
    <col min="14856" max="14856" width="17.1640625" style="291" customWidth="1"/>
    <col min="14857" max="14857" width="4.5" style="291" customWidth="1"/>
    <col min="14858" max="14858" width="16.1640625" style="291" customWidth="1"/>
    <col min="14859" max="14859" width="4.83203125" style="291" customWidth="1"/>
    <col min="14860" max="14860" width="17.1640625" style="291" customWidth="1"/>
    <col min="14861" max="14861" width="4.1640625" style="291" customWidth="1"/>
    <col min="14862" max="15103" width="12" style="291"/>
    <col min="15104" max="15104" width="7" style="291" customWidth="1"/>
    <col min="15105" max="15105" width="2.33203125" style="291" customWidth="1"/>
    <col min="15106" max="15107" width="12" style="291"/>
    <col min="15108" max="15108" width="6.5" style="291" customWidth="1"/>
    <col min="15109" max="15109" width="5.1640625" style="291" customWidth="1"/>
    <col min="15110" max="15110" width="12" style="291"/>
    <col min="15111" max="15111" width="5.1640625" style="291" customWidth="1"/>
    <col min="15112" max="15112" width="17.1640625" style="291" customWidth="1"/>
    <col min="15113" max="15113" width="4.5" style="291" customWidth="1"/>
    <col min="15114" max="15114" width="16.1640625" style="291" customWidth="1"/>
    <col min="15115" max="15115" width="4.83203125" style="291" customWidth="1"/>
    <col min="15116" max="15116" width="17.1640625" style="291" customWidth="1"/>
    <col min="15117" max="15117" width="4.1640625" style="291" customWidth="1"/>
    <col min="15118" max="15359" width="12" style="291"/>
    <col min="15360" max="15360" width="7" style="291" customWidth="1"/>
    <col min="15361" max="15361" width="2.33203125" style="291" customWidth="1"/>
    <col min="15362" max="15363" width="12" style="291"/>
    <col min="15364" max="15364" width="6.5" style="291" customWidth="1"/>
    <col min="15365" max="15365" width="5.1640625" style="291" customWidth="1"/>
    <col min="15366" max="15366" width="12" style="291"/>
    <col min="15367" max="15367" width="5.1640625" style="291" customWidth="1"/>
    <col min="15368" max="15368" width="17.1640625" style="291" customWidth="1"/>
    <col min="15369" max="15369" width="4.5" style="291" customWidth="1"/>
    <col min="15370" max="15370" width="16.1640625" style="291" customWidth="1"/>
    <col min="15371" max="15371" width="4.83203125" style="291" customWidth="1"/>
    <col min="15372" max="15372" width="17.1640625" style="291" customWidth="1"/>
    <col min="15373" max="15373" width="4.1640625" style="291" customWidth="1"/>
    <col min="15374" max="15615" width="12" style="291"/>
    <col min="15616" max="15616" width="7" style="291" customWidth="1"/>
    <col min="15617" max="15617" width="2.33203125" style="291" customWidth="1"/>
    <col min="15618" max="15619" width="12" style="291"/>
    <col min="15620" max="15620" width="6.5" style="291" customWidth="1"/>
    <col min="15621" max="15621" width="5.1640625" style="291" customWidth="1"/>
    <col min="15622" max="15622" width="12" style="291"/>
    <col min="15623" max="15623" width="5.1640625" style="291" customWidth="1"/>
    <col min="15624" max="15624" width="17.1640625" style="291" customWidth="1"/>
    <col min="15625" max="15625" width="4.5" style="291" customWidth="1"/>
    <col min="15626" max="15626" width="16.1640625" style="291" customWidth="1"/>
    <col min="15627" max="15627" width="4.83203125" style="291" customWidth="1"/>
    <col min="15628" max="15628" width="17.1640625" style="291" customWidth="1"/>
    <col min="15629" max="15629" width="4.1640625" style="291" customWidth="1"/>
    <col min="15630" max="15871" width="12" style="291"/>
    <col min="15872" max="15872" width="7" style="291" customWidth="1"/>
    <col min="15873" max="15873" width="2.33203125" style="291" customWidth="1"/>
    <col min="15874" max="15875" width="12" style="291"/>
    <col min="15876" max="15876" width="6.5" style="291" customWidth="1"/>
    <col min="15877" max="15877" width="5.1640625" style="291" customWidth="1"/>
    <col min="15878" max="15878" width="12" style="291"/>
    <col min="15879" max="15879" width="5.1640625" style="291" customWidth="1"/>
    <col min="15880" max="15880" width="17.1640625" style="291" customWidth="1"/>
    <col min="15881" max="15881" width="4.5" style="291" customWidth="1"/>
    <col min="15882" max="15882" width="16.1640625" style="291" customWidth="1"/>
    <col min="15883" max="15883" width="4.83203125" style="291" customWidth="1"/>
    <col min="15884" max="15884" width="17.1640625" style="291" customWidth="1"/>
    <col min="15885" max="15885" width="4.1640625" style="291" customWidth="1"/>
    <col min="15886" max="16127" width="12" style="291"/>
    <col min="16128" max="16128" width="7" style="291" customWidth="1"/>
    <col min="16129" max="16129" width="2.33203125" style="291" customWidth="1"/>
    <col min="16130" max="16131" width="12" style="291"/>
    <col min="16132" max="16132" width="6.5" style="291" customWidth="1"/>
    <col min="16133" max="16133" width="5.1640625" style="291" customWidth="1"/>
    <col min="16134" max="16134" width="12" style="291"/>
    <col min="16135" max="16135" width="5.1640625" style="291" customWidth="1"/>
    <col min="16136" max="16136" width="17.1640625" style="291" customWidth="1"/>
    <col min="16137" max="16137" width="4.5" style="291" customWidth="1"/>
    <col min="16138" max="16138" width="16.1640625" style="291" customWidth="1"/>
    <col min="16139" max="16139" width="4.83203125" style="291" customWidth="1"/>
    <col min="16140" max="16140" width="17.1640625" style="291" customWidth="1"/>
    <col min="16141" max="16141" width="4.1640625" style="291" customWidth="1"/>
    <col min="16142" max="16384" width="12" style="291"/>
  </cols>
  <sheetData>
    <row r="1" spans="1:14">
      <c r="A1" s="443"/>
      <c r="M1" s="444"/>
    </row>
    <row r="2" spans="1:14">
      <c r="A2" s="443"/>
      <c r="C2" s="445" t="s">
        <v>47</v>
      </c>
      <c r="D2" s="445"/>
      <c r="E2" s="446"/>
      <c r="F2" s="446"/>
      <c r="G2" s="446"/>
      <c r="H2" s="446"/>
      <c r="I2" s="446"/>
      <c r="J2" s="446"/>
      <c r="L2" s="446"/>
      <c r="M2" s="444"/>
    </row>
    <row r="3" spans="1:14">
      <c r="C3" s="1015" t="s">
        <v>245</v>
      </c>
      <c r="D3" s="1015"/>
      <c r="E3" s="1015"/>
      <c r="F3" s="1015"/>
      <c r="G3" s="1015"/>
      <c r="H3" s="1015"/>
      <c r="I3" s="1015"/>
      <c r="J3" s="1015"/>
      <c r="K3" s="1015"/>
      <c r="L3" s="363"/>
      <c r="M3" s="363"/>
    </row>
    <row r="4" spans="1:14" hidden="1">
      <c r="C4" s="445" t="s">
        <v>174</v>
      </c>
      <c r="D4" s="445"/>
      <c r="E4" s="446"/>
      <c r="F4" s="446"/>
      <c r="G4" s="446"/>
      <c r="H4" s="446"/>
      <c r="I4" s="446"/>
      <c r="J4" s="446"/>
      <c r="L4" s="446"/>
      <c r="M4" s="444"/>
    </row>
    <row r="5" spans="1:14">
      <c r="C5" s="445" t="s">
        <v>48</v>
      </c>
      <c r="D5" s="445"/>
      <c r="E5" s="446"/>
      <c r="F5" s="446"/>
      <c r="G5" s="446"/>
      <c r="H5" s="447"/>
      <c r="I5" s="446"/>
      <c r="J5" s="446"/>
      <c r="L5" s="446"/>
    </row>
    <row r="6" spans="1:14">
      <c r="D6" s="291" t="str">
        <f>+'Effects of TTA Avg. Bill'!D9</f>
        <v>UG-210755</v>
      </c>
      <c r="I6" s="469" t="s">
        <v>6</v>
      </c>
      <c r="K6" s="480" t="s">
        <v>6</v>
      </c>
    </row>
    <row r="7" spans="1:14">
      <c r="D7" s="290" t="s">
        <v>79</v>
      </c>
      <c r="F7" s="469" t="s">
        <v>154</v>
      </c>
      <c r="G7" s="290" t="s">
        <v>154</v>
      </c>
      <c r="H7" s="469" t="s">
        <v>6</v>
      </c>
      <c r="I7" s="471">
        <v>44866</v>
      </c>
      <c r="K7" s="481">
        <v>44866</v>
      </c>
    </row>
    <row r="8" spans="1:14">
      <c r="A8" s="448" t="s">
        <v>7</v>
      </c>
      <c r="D8" s="290" t="s">
        <v>80</v>
      </c>
      <c r="E8" s="469" t="s">
        <v>229</v>
      </c>
      <c r="F8" s="471" t="s">
        <v>396</v>
      </c>
      <c r="G8" s="471" t="s">
        <v>396</v>
      </c>
      <c r="H8" s="471">
        <v>44866</v>
      </c>
      <c r="I8" s="469" t="s">
        <v>247</v>
      </c>
      <c r="J8" s="469" t="s">
        <v>241</v>
      </c>
      <c r="K8" s="487" t="s">
        <v>248</v>
      </c>
      <c r="L8" s="290"/>
      <c r="N8" s="447"/>
    </row>
    <row r="9" spans="1:14">
      <c r="A9" s="892" t="s">
        <v>9</v>
      </c>
      <c r="C9" s="478" t="s">
        <v>228</v>
      </c>
      <c r="D9" s="478" t="s">
        <v>236</v>
      </c>
      <c r="E9" s="479" t="s">
        <v>230</v>
      </c>
      <c r="F9" s="479" t="s">
        <v>231</v>
      </c>
      <c r="G9" s="478" t="s">
        <v>235</v>
      </c>
      <c r="H9" s="488" t="s">
        <v>248</v>
      </c>
      <c r="I9" s="479" t="s">
        <v>235</v>
      </c>
      <c r="J9" s="479" t="s">
        <v>242</v>
      </c>
      <c r="K9" s="488" t="s">
        <v>243</v>
      </c>
      <c r="L9" s="290"/>
      <c r="N9" s="447"/>
    </row>
    <row r="10" spans="1:14">
      <c r="A10" s="448"/>
      <c r="C10" s="290"/>
      <c r="D10" s="290"/>
      <c r="E10" s="469"/>
      <c r="F10" s="469"/>
      <c r="G10" s="290" t="s">
        <v>237</v>
      </c>
      <c r="H10" s="469"/>
      <c r="I10" s="290" t="s">
        <v>240</v>
      </c>
      <c r="K10" s="489"/>
      <c r="L10" s="290"/>
      <c r="N10" s="447"/>
    </row>
    <row r="11" spans="1:14">
      <c r="C11" s="290" t="s">
        <v>14</v>
      </c>
      <c r="D11" s="469" t="s">
        <v>15</v>
      </c>
      <c r="E11" s="290" t="s">
        <v>16</v>
      </c>
      <c r="F11" s="290" t="s">
        <v>17</v>
      </c>
      <c r="G11" s="290" t="s">
        <v>18</v>
      </c>
      <c r="H11" s="290" t="s">
        <v>81</v>
      </c>
      <c r="I11" s="469" t="s">
        <v>62</v>
      </c>
      <c r="J11" s="380" t="s">
        <v>63</v>
      </c>
      <c r="K11" s="380" t="s">
        <v>64</v>
      </c>
    </row>
    <row r="12" spans="1:14">
      <c r="K12" s="490"/>
    </row>
    <row r="13" spans="1:14">
      <c r="A13" s="443">
        <v>1</v>
      </c>
      <c r="C13" s="291" t="s">
        <v>218</v>
      </c>
      <c r="D13" s="476">
        <f>+'Effects of TTA Avg. Bill'!D16</f>
        <v>54</v>
      </c>
      <c r="E13" s="894">
        <f>+'Effects of TTA Avg. Bill'!E16</f>
        <v>5</v>
      </c>
      <c r="F13" s="472">
        <f>+'Effects of TTA Avg. Bill'!F16</f>
        <v>1.03712</v>
      </c>
      <c r="G13" s="292">
        <f>+E13+(D13*F13)</f>
        <v>61.004480000000001</v>
      </c>
      <c r="H13" s="472">
        <f>+F13+'TTA Amount of Change'!J12+'PGA Amount Change'!I16</f>
        <v>1.2878100000000001</v>
      </c>
      <c r="I13" s="477">
        <f>E13+(D13*H13)</f>
        <v>74.541740000000004</v>
      </c>
      <c r="J13" s="475">
        <f>+I13-G13</f>
        <v>13.537260000000003</v>
      </c>
      <c r="K13" s="491">
        <f>+J13/G13</f>
        <v>0.22190599772344594</v>
      </c>
      <c r="L13" s="292"/>
      <c r="N13" s="449"/>
    </row>
    <row r="14" spans="1:14">
      <c r="D14" s="476"/>
      <c r="E14" s="894"/>
      <c r="F14" s="472"/>
      <c r="G14" s="292"/>
      <c r="H14" s="472"/>
      <c r="I14" s="477"/>
      <c r="J14" s="475"/>
      <c r="K14" s="491"/>
    </row>
    <row r="15" spans="1:14">
      <c r="A15" s="443">
        <v>2</v>
      </c>
      <c r="C15" s="291" t="s">
        <v>219</v>
      </c>
      <c r="D15" s="476">
        <f>+'Effects of TTA Avg. Bill'!D18</f>
        <v>271</v>
      </c>
      <c r="E15" s="894">
        <f>+'Effects of TTA Avg. Bill'!E18</f>
        <v>13</v>
      </c>
      <c r="F15" s="472">
        <f>+'Effects of TTA Avg. Bill'!F18</f>
        <v>0.97065999999999997</v>
      </c>
      <c r="G15" s="292">
        <f>+E15+(D15*F15)</f>
        <v>276.04885999999999</v>
      </c>
      <c r="H15" s="472">
        <f>+F15+'TTA Amount of Change'!J13+'PGA Amount Change'!I17</f>
        <v>1.22139</v>
      </c>
      <c r="I15" s="477">
        <f>E15+(D15*H15)</f>
        <v>343.99669</v>
      </c>
      <c r="J15" s="475">
        <f t="shared" ref="J15" si="0">+I15-G15</f>
        <v>67.94783000000001</v>
      </c>
      <c r="K15" s="491">
        <f t="shared" ref="K15:K32" si="1">+J15/G15</f>
        <v>0.24614421519436816</v>
      </c>
      <c r="L15" s="292"/>
      <c r="N15" s="449"/>
    </row>
    <row r="16" spans="1:14">
      <c r="D16" s="476"/>
      <c r="E16" s="894"/>
      <c r="F16" s="472"/>
      <c r="G16" s="292"/>
      <c r="H16" s="472"/>
      <c r="J16" s="475"/>
      <c r="K16" s="491"/>
    </row>
    <row r="17" spans="1:14">
      <c r="A17" s="443">
        <v>3</v>
      </c>
      <c r="C17" s="291" t="s">
        <v>220</v>
      </c>
      <c r="D17" s="476"/>
      <c r="E17" s="894">
        <f>+'Effects of TTA Avg. Bill'!E20</f>
        <v>60</v>
      </c>
      <c r="F17" s="472"/>
      <c r="G17" s="292"/>
      <c r="H17" s="472"/>
      <c r="J17" s="475"/>
      <c r="K17" s="491"/>
      <c r="L17" s="293"/>
      <c r="N17" s="449"/>
    </row>
    <row r="18" spans="1:14">
      <c r="A18" s="443">
        <v>4</v>
      </c>
      <c r="C18" s="291" t="s">
        <v>221</v>
      </c>
      <c r="D18" s="476"/>
      <c r="E18" s="894"/>
      <c r="F18" s="472">
        <f>+'Effects of TTA Avg. Bill'!F21</f>
        <v>0.89552000000000009</v>
      </c>
      <c r="G18" s="292">
        <f>+E17+(500*F18)</f>
        <v>507.76000000000005</v>
      </c>
      <c r="H18" s="472">
        <f>+F18+'TTA Amount of Change'!J14+'PGA Amount Change'!I18</f>
        <v>1.1464800000000002</v>
      </c>
      <c r="I18" s="292">
        <f>+E17+(500*H18)</f>
        <v>633.24000000000012</v>
      </c>
      <c r="J18" s="475"/>
      <c r="K18" s="491"/>
      <c r="L18" s="293"/>
      <c r="N18" s="449"/>
    </row>
    <row r="19" spans="1:14">
      <c r="A19" s="443">
        <v>5</v>
      </c>
      <c r="C19" s="291" t="s">
        <v>222</v>
      </c>
      <c r="D19" s="476"/>
      <c r="E19" s="894"/>
      <c r="F19" s="472">
        <f>+'Effects of TTA Avg. Bill'!F22</f>
        <v>0.85544000000000009</v>
      </c>
      <c r="G19" s="292">
        <f>+(D21-500)*F19</f>
        <v>1276.3164800000002</v>
      </c>
      <c r="H19" s="472">
        <f>+F19+'TTA Amount of Change'!J14+'PGA Amount Change'!I18</f>
        <v>1.1064000000000001</v>
      </c>
      <c r="I19" s="292">
        <f>+(D21-500)*H19</f>
        <v>1650.7488000000001</v>
      </c>
      <c r="J19" s="475"/>
      <c r="K19" s="491"/>
      <c r="L19" s="293"/>
      <c r="N19" s="449"/>
    </row>
    <row r="20" spans="1:14">
      <c r="A20" s="443">
        <v>6</v>
      </c>
      <c r="C20" s="291" t="s">
        <v>223</v>
      </c>
      <c r="D20" s="476"/>
      <c r="E20" s="894"/>
      <c r="F20" s="472">
        <f>+'Effects of TTA Avg. Bill'!F23</f>
        <v>0.84938000000000002</v>
      </c>
      <c r="G20" s="292"/>
      <c r="H20" s="472">
        <f>+F20+'TTA Amount of Change'!J14+'PGA Amount Change'!I18</f>
        <v>1.1003400000000001</v>
      </c>
      <c r="J20" s="475"/>
      <c r="K20" s="491"/>
      <c r="L20" s="293"/>
    </row>
    <row r="21" spans="1:14">
      <c r="A21" s="443">
        <v>7</v>
      </c>
      <c r="C21" s="448" t="s">
        <v>232</v>
      </c>
      <c r="D21" s="470">
        <f>+'Effects of TTA Avg. Bill'!D24</f>
        <v>1992</v>
      </c>
      <c r="E21" s="894"/>
      <c r="F21" s="472"/>
      <c r="G21" s="292">
        <f>+SUM((G18:G20))</f>
        <v>1784.0764800000002</v>
      </c>
      <c r="H21" s="292"/>
      <c r="I21" s="292">
        <f>+SUM(I18:I20)</f>
        <v>2283.9888000000001</v>
      </c>
      <c r="J21" s="475">
        <f>+I21-G21</f>
        <v>499.91231999999991</v>
      </c>
      <c r="K21" s="491">
        <f t="shared" si="1"/>
        <v>0.28020789781388739</v>
      </c>
      <c r="L21" s="293"/>
      <c r="N21" s="449"/>
    </row>
    <row r="22" spans="1:14">
      <c r="A22" s="443"/>
      <c r="C22" s="444"/>
      <c r="D22" s="476"/>
      <c r="E22" s="894"/>
      <c r="F22" s="472"/>
      <c r="G22" s="292"/>
      <c r="H22" s="472"/>
      <c r="J22" s="475"/>
      <c r="K22" s="491"/>
      <c r="L22" s="293"/>
      <c r="N22" s="449"/>
    </row>
    <row r="23" spans="1:14">
      <c r="A23" s="291">
        <v>8</v>
      </c>
      <c r="C23" s="291" t="s">
        <v>224</v>
      </c>
      <c r="D23" s="476"/>
      <c r="E23" s="894">
        <f>+'Effects of TTA Avg. Bill'!E26</f>
        <v>125</v>
      </c>
      <c r="F23" s="472"/>
      <c r="G23" s="292"/>
      <c r="H23" s="472"/>
      <c r="J23" s="475"/>
      <c r="K23" s="491"/>
      <c r="L23" s="293"/>
      <c r="N23" s="449"/>
    </row>
    <row r="24" spans="1:14">
      <c r="A24" s="291">
        <v>9</v>
      </c>
      <c r="C24" s="291" t="s">
        <v>221</v>
      </c>
      <c r="D24" s="476"/>
      <c r="E24" s="894"/>
      <c r="F24" s="472">
        <f>+'Effects of TTA Avg. Bill'!F27</f>
        <v>0.78754000000000002</v>
      </c>
      <c r="G24" s="292">
        <f>+E23+(+F24*500)</f>
        <v>518.77</v>
      </c>
      <c r="H24" s="472">
        <f>+F24+'TTA Amount of Change'!J15+'PGA Amount Change'!I19</f>
        <v>1.0385</v>
      </c>
      <c r="I24" s="292">
        <f>+E23+(+H24*500)</f>
        <v>644.25</v>
      </c>
      <c r="J24" s="475"/>
      <c r="K24" s="491"/>
    </row>
    <row r="25" spans="1:14">
      <c r="A25" s="291">
        <v>10</v>
      </c>
      <c r="B25" s="444"/>
      <c r="C25" s="291" t="s">
        <v>222</v>
      </c>
      <c r="D25" s="476"/>
      <c r="E25" s="894"/>
      <c r="F25" s="472">
        <f>+'Effects of TTA Avg. Bill'!F28</f>
        <v>0.74803999999999993</v>
      </c>
      <c r="G25" s="292">
        <f>+F25*3500</f>
        <v>2618.14</v>
      </c>
      <c r="H25" s="472">
        <f>+F25+'TTA Amount of Change'!J15+'PGA Amount Change'!I19</f>
        <v>0.99899999999999989</v>
      </c>
      <c r="I25" s="292">
        <f>+H25*3500</f>
        <v>3496.4999999999995</v>
      </c>
      <c r="J25" s="475"/>
      <c r="K25" s="491"/>
    </row>
    <row r="26" spans="1:14">
      <c r="A26" s="291">
        <v>11</v>
      </c>
      <c r="B26" s="444"/>
      <c r="C26" s="291" t="s">
        <v>223</v>
      </c>
      <c r="D26" s="476"/>
      <c r="E26" s="894"/>
      <c r="F26" s="472">
        <f>+'Effects of TTA Avg. Bill'!F29</f>
        <v>0.65034000000000003</v>
      </c>
      <c r="G26" s="292">
        <f>+(+D27-(4000))*F26</f>
        <v>8219.6472599999997</v>
      </c>
      <c r="H26" s="472">
        <f>+F26+'TTA Amount of Change'!J15+'PGA Amount Change'!I19</f>
        <v>0.90129999999999999</v>
      </c>
      <c r="I26" s="292">
        <f>+(+D27-(4000))*H26</f>
        <v>11391.530699999999</v>
      </c>
      <c r="J26" s="475"/>
      <c r="K26" s="491"/>
    </row>
    <row r="27" spans="1:14">
      <c r="A27" s="291">
        <v>12</v>
      </c>
      <c r="B27" s="444"/>
      <c r="C27" s="473" t="s">
        <v>233</v>
      </c>
      <c r="D27" s="470">
        <f>+'Effects of TTA Avg. Bill'!D30</f>
        <v>16639</v>
      </c>
      <c r="E27" s="894"/>
      <c r="F27" s="472"/>
      <c r="G27" s="292">
        <f>+SUM(G24:G26)</f>
        <v>11356.55726</v>
      </c>
      <c r="H27" s="292"/>
      <c r="I27" s="292">
        <f>+SUM(I24:I26)</f>
        <v>15532.280699999999</v>
      </c>
      <c r="J27" s="475">
        <f t="shared" ref="J27" si="2">+I27-G27</f>
        <v>4175.7234399999998</v>
      </c>
      <c r="K27" s="491">
        <f>+J27/G27</f>
        <v>0.36769272098928335</v>
      </c>
    </row>
    <row r="28" spans="1:14">
      <c r="D28" s="470"/>
      <c r="E28" s="894"/>
      <c r="F28" s="472"/>
      <c r="G28" s="292"/>
      <c r="H28" s="472"/>
      <c r="J28" s="475"/>
      <c r="K28" s="491"/>
    </row>
    <row r="29" spans="1:14">
      <c r="A29" s="291">
        <v>13</v>
      </c>
      <c r="C29" s="291" t="s">
        <v>225</v>
      </c>
      <c r="D29" s="470"/>
      <c r="E29" s="894">
        <f>+'Effects of TTA Avg. Bill'!E32</f>
        <v>163</v>
      </c>
      <c r="F29" s="472"/>
      <c r="G29" s="292"/>
      <c r="H29" s="472"/>
      <c r="J29" s="475"/>
      <c r="K29" s="491"/>
    </row>
    <row r="30" spans="1:14">
      <c r="A30" s="291">
        <v>14</v>
      </c>
      <c r="C30" s="291" t="s">
        <v>226</v>
      </c>
      <c r="D30" s="470"/>
      <c r="F30" s="472">
        <f>+'Effects of TTA Avg. Bill'!F33</f>
        <v>0.75481999999999994</v>
      </c>
      <c r="G30" s="292">
        <f>+E29+(D32*F30)</f>
        <v>17699.733059999999</v>
      </c>
      <c r="H30" s="472">
        <f>+F30+'TTA Amount of Change'!J16+'PGA Amount Change'!I20</f>
        <v>1.0060099999999998</v>
      </c>
      <c r="I30" s="292">
        <f>+E29+(D32*H30)</f>
        <v>23535.630329999996</v>
      </c>
      <c r="J30" s="475"/>
      <c r="K30" s="491"/>
    </row>
    <row r="31" spans="1:14">
      <c r="A31" s="291">
        <v>15</v>
      </c>
      <c r="C31" s="291" t="s">
        <v>227</v>
      </c>
      <c r="D31" s="470"/>
      <c r="F31" s="472">
        <f>+'Effects of TTA Avg. Bill'!F34</f>
        <v>0.68815000000000004</v>
      </c>
      <c r="G31" s="292"/>
      <c r="H31" s="472">
        <f>+F31+'TTA Amount of Change'!J16+'PGA Amount Change'!I20</f>
        <v>0.93934000000000006</v>
      </c>
      <c r="J31" s="475"/>
      <c r="K31" s="491"/>
    </row>
    <row r="32" spans="1:14">
      <c r="A32" s="291">
        <v>16</v>
      </c>
      <c r="C32" s="473" t="s">
        <v>234</v>
      </c>
      <c r="D32" s="470">
        <f>+'Effects of TTA Avg. Bill'!D35</f>
        <v>23233</v>
      </c>
      <c r="G32" s="859">
        <f>+G30+G31</f>
        <v>17699.733059999999</v>
      </c>
      <c r="H32" s="292"/>
      <c r="I32" s="292">
        <f>+I30+I31</f>
        <v>23535.630329999996</v>
      </c>
      <c r="J32" s="475">
        <f t="shared" ref="J32" si="3">+I32-G32</f>
        <v>5835.8972699999977</v>
      </c>
      <c r="K32" s="492">
        <f t="shared" si="1"/>
        <v>0.32971668274414068</v>
      </c>
    </row>
    <row r="33" spans="1:15">
      <c r="C33" s="473"/>
      <c r="D33" s="470"/>
      <c r="G33" s="859"/>
      <c r="H33" s="292"/>
      <c r="I33" s="292"/>
      <c r="J33" s="475"/>
      <c r="K33" s="964"/>
    </row>
    <row r="34" spans="1:15">
      <c r="A34" s="291">
        <v>17</v>
      </c>
      <c r="C34" s="1028" t="s">
        <v>397</v>
      </c>
      <c r="D34" s="470"/>
      <c r="G34" s="859"/>
      <c r="H34" s="292"/>
      <c r="I34" s="292"/>
      <c r="J34" s="475"/>
      <c r="K34" s="964"/>
    </row>
    <row r="35" spans="1:15">
      <c r="C35" s="1028"/>
      <c r="D35" s="470"/>
      <c r="G35" s="859"/>
      <c r="H35" s="292"/>
      <c r="I35" s="292"/>
      <c r="J35" s="475"/>
      <c r="K35" s="964"/>
    </row>
    <row r="37" spans="1:15">
      <c r="A37" s="371"/>
      <c r="B37" s="372"/>
      <c r="C37" s="373"/>
      <c r="D37" s="373"/>
      <c r="E37" s="438"/>
      <c r="F37" s="374"/>
      <c r="G37" s="374"/>
      <c r="H37" s="376" t="s">
        <v>50</v>
      </c>
      <c r="I37" s="792"/>
      <c r="J37" s="798"/>
      <c r="K37" s="366"/>
      <c r="O37" s="117"/>
    </row>
    <row r="38" spans="1:15">
      <c r="A38" s="378" t="s">
        <v>7</v>
      </c>
      <c r="B38" s="366"/>
      <c r="C38" s="379"/>
      <c r="D38" s="380" t="s">
        <v>46</v>
      </c>
      <c r="E38" s="439" t="s">
        <v>51</v>
      </c>
      <c r="F38" s="378" t="s">
        <v>211</v>
      </c>
      <c r="G38" s="378" t="s">
        <v>53</v>
      </c>
      <c r="H38" s="381" t="s">
        <v>216</v>
      </c>
      <c r="I38" s="793" t="s">
        <v>54</v>
      </c>
      <c r="J38" s="378" t="s">
        <v>55</v>
      </c>
      <c r="K38" s="387"/>
      <c r="O38" s="117"/>
    </row>
    <row r="39" spans="1:15">
      <c r="A39" s="378" t="s">
        <v>9</v>
      </c>
      <c r="B39" s="384" t="s">
        <v>0</v>
      </c>
      <c r="C39" s="382"/>
      <c r="D39" s="380" t="s">
        <v>56</v>
      </c>
      <c r="E39" s="439" t="s">
        <v>57</v>
      </c>
      <c r="F39" s="378" t="s">
        <v>58</v>
      </c>
      <c r="G39" s="378" t="s">
        <v>59</v>
      </c>
      <c r="H39" s="381" t="s">
        <v>60</v>
      </c>
      <c r="I39" s="793" t="s">
        <v>60</v>
      </c>
      <c r="J39" s="799" t="s">
        <v>60</v>
      </c>
      <c r="K39" s="387"/>
      <c r="O39" s="117"/>
    </row>
    <row r="40" spans="1:15">
      <c r="A40" s="383"/>
      <c r="B40" s="1026" t="s">
        <v>14</v>
      </c>
      <c r="C40" s="1027"/>
      <c r="D40" s="380" t="s">
        <v>15</v>
      </c>
      <c r="E40" s="439" t="s">
        <v>16</v>
      </c>
      <c r="F40" s="385" t="s">
        <v>17</v>
      </c>
      <c r="G40" s="385" t="s">
        <v>61</v>
      </c>
      <c r="H40" s="388" t="s">
        <v>81</v>
      </c>
      <c r="I40" s="439" t="s">
        <v>62</v>
      </c>
      <c r="J40" s="378" t="s">
        <v>63</v>
      </c>
      <c r="K40" s="387"/>
      <c r="O40" s="49"/>
    </row>
    <row r="41" spans="1:15">
      <c r="A41" s="390"/>
      <c r="B41" s="391" t="s">
        <v>65</v>
      </c>
      <c r="C41" s="392"/>
      <c r="D41" s="392"/>
      <c r="E41" s="392"/>
      <c r="F41" s="392"/>
      <c r="G41" s="393"/>
      <c r="H41" s="394"/>
      <c r="I41" s="794"/>
      <c r="J41" s="800"/>
      <c r="K41" s="366"/>
      <c r="O41" s="117"/>
    </row>
    <row r="42" spans="1:15">
      <c r="A42" s="378">
        <v>1</v>
      </c>
      <c r="B42" s="395" t="s">
        <v>98</v>
      </c>
      <c r="C42" s="400"/>
      <c r="D42" s="380" t="s">
        <v>67</v>
      </c>
      <c r="E42" s="326">
        <f>+'Bills-Therms-Revs'!F12</f>
        <v>200356</v>
      </c>
      <c r="F42" s="396">
        <f>+'Test Period Volumes'!C34</f>
        <v>131993811.11343679</v>
      </c>
      <c r="G42" s="396">
        <f>+'Bills-Therms-Revs'!I16</f>
        <v>160697460.31999999</v>
      </c>
      <c r="H42" s="398">
        <f>+'TTA Proposed Rate 595'!F13+'PGA Proposed Rate Adj.'!G17</f>
        <v>0.25068999999999997</v>
      </c>
      <c r="I42" s="796">
        <f>F42*H42</f>
        <v>33089528.508027464</v>
      </c>
      <c r="J42" s="486">
        <f>+I42/G42</f>
        <v>0.20591195680464172</v>
      </c>
      <c r="K42" s="795"/>
      <c r="O42" s="117"/>
    </row>
    <row r="43" spans="1:15">
      <c r="A43" s="378">
        <v>2</v>
      </c>
      <c r="B43" s="395" t="s">
        <v>99</v>
      </c>
      <c r="C43" s="375"/>
      <c r="D43" s="380" t="s">
        <v>69</v>
      </c>
      <c r="E43" s="326">
        <f>+'Bills-Therms-Revs'!F18</f>
        <v>27210</v>
      </c>
      <c r="F43" s="396">
        <f>+'Test Period Volumes'!D34</f>
        <v>93567596.866792873</v>
      </c>
      <c r="G43" s="396">
        <f>+'Bills-Therms-Revs'!I18+'Bills-Therms-Revs'!I21+'Bills-Therms-Revs'!I22</f>
        <v>103915277.34</v>
      </c>
      <c r="H43" s="398">
        <f>+'TTA Proposed Rate 595'!F14+'PGA Proposed Rate Adj.'!H19</f>
        <v>0.25073000000000001</v>
      </c>
      <c r="I43" s="796">
        <f>ROUND(F43*H43,0)</f>
        <v>23460204</v>
      </c>
      <c r="J43" s="486">
        <f t="shared" ref="J43:J46" si="4">+I43/G43</f>
        <v>0.22576280024005177</v>
      </c>
      <c r="K43" s="795"/>
      <c r="O43" s="117"/>
    </row>
    <row r="44" spans="1:15">
      <c r="A44" s="378">
        <v>3</v>
      </c>
      <c r="B44" s="395" t="s">
        <v>100</v>
      </c>
      <c r="C44" s="400"/>
      <c r="D44" s="380" t="s">
        <v>73</v>
      </c>
      <c r="E44" s="326">
        <f>+'Bills-Therms-Revs'!F28</f>
        <v>487</v>
      </c>
      <c r="F44" s="396">
        <f>+'Test Period Volumes'!E34</f>
        <v>12906567.97753373</v>
      </c>
      <c r="G44" s="396">
        <f>+'Bills-Therms-Revs'!I28</f>
        <v>11638459.84</v>
      </c>
      <c r="H44" s="398">
        <f>+'TTA Proposed Rate 595'!F16+'PGA Proposed Rate Adj.'!I21</f>
        <v>0.25095999999999996</v>
      </c>
      <c r="I44" s="796">
        <f>F44*H44</f>
        <v>3239032.2996418644</v>
      </c>
      <c r="J44" s="486">
        <f t="shared" si="4"/>
        <v>0.27830420383543331</v>
      </c>
      <c r="K44" s="795"/>
      <c r="O44" s="117"/>
    </row>
    <row r="45" spans="1:15">
      <c r="A45" s="378">
        <v>4</v>
      </c>
      <c r="B45" s="395" t="s">
        <v>70</v>
      </c>
      <c r="C45" s="375"/>
      <c r="D45" s="380" t="s">
        <v>71</v>
      </c>
      <c r="E45" s="326">
        <f>+'Bills-Therms-Revs'!F19+'Bills-Therms-Revs'!F29</f>
        <v>99</v>
      </c>
      <c r="F45" s="396">
        <f>+'Test Period Volumes'!F34</f>
        <v>15549500.235253498</v>
      </c>
      <c r="G45" s="396">
        <f>+'Bills-Therms-Revs'!I19+'Bills-Therms-Revs'!I23+'Bills-Therms-Revs'!I24+'Bills-Therms-Revs'!I29</f>
        <v>12937586.609999999</v>
      </c>
      <c r="H45" s="398">
        <f>+H44</f>
        <v>0.25095999999999996</v>
      </c>
      <c r="I45" s="796">
        <f>F45*H45</f>
        <v>3902302.5790392174</v>
      </c>
      <c r="J45" s="486">
        <f t="shared" si="4"/>
        <v>0.30162523325818474</v>
      </c>
      <c r="K45" s="795"/>
      <c r="O45" s="117"/>
    </row>
    <row r="46" spans="1:15">
      <c r="A46" s="378">
        <v>5</v>
      </c>
      <c r="B46" s="395" t="s">
        <v>101</v>
      </c>
      <c r="C46" s="375"/>
      <c r="D46" s="380" t="s">
        <v>74</v>
      </c>
      <c r="E46" s="326">
        <f>+'Bills-Therms-Revs'!F34</f>
        <v>7</v>
      </c>
      <c r="F46" s="396">
        <f>+'Test Period Volumes'!G34</f>
        <v>2331720.8069831203</v>
      </c>
      <c r="G46" s="396">
        <f>+'Bills-Therms-Revs'!I39</f>
        <v>1682021.53</v>
      </c>
      <c r="H46" s="398">
        <f>+'TTA Proposed Rate 595'!F17+'PGA Proposed Rate Adj.'!J23</f>
        <v>0.25119000000000002</v>
      </c>
      <c r="I46" s="796">
        <f>F46*H46</f>
        <v>585704.94950609002</v>
      </c>
      <c r="J46" s="486">
        <f t="shared" si="4"/>
        <v>0.3482148944348471</v>
      </c>
      <c r="K46" s="795"/>
      <c r="O46" s="117"/>
    </row>
    <row r="47" spans="1:15">
      <c r="A47" s="385">
        <v>6</v>
      </c>
      <c r="B47" s="391" t="s">
        <v>210</v>
      </c>
      <c r="C47" s="403"/>
      <c r="D47" s="404"/>
      <c r="E47" s="440">
        <f>SUM(E42:E46)</f>
        <v>228159</v>
      </c>
      <c r="F47" s="405">
        <f>SUM(F42:F46)</f>
        <v>256349197</v>
      </c>
      <c r="G47" s="405">
        <f>SUM(G42:G46)</f>
        <v>290870805.63999999</v>
      </c>
      <c r="H47" s="407"/>
      <c r="I47" s="797">
        <f>SUM(I42:I46)</f>
        <v>64276772.336214632</v>
      </c>
      <c r="J47" s="801">
        <f>+I47/G47</f>
        <v>0.22098048717810342</v>
      </c>
      <c r="K47" s="795"/>
      <c r="O47" s="48"/>
    </row>
  </sheetData>
  <mergeCells count="3">
    <mergeCell ref="B40:C40"/>
    <mergeCell ref="C34:C35"/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0A2D-0DE4-46F5-B682-8904E393D296}">
  <sheetPr>
    <tabColor rgb="FFFFC000"/>
  </sheetPr>
  <dimension ref="A1:E20"/>
  <sheetViews>
    <sheetView workbookViewId="0">
      <selection sqref="A1:E1"/>
    </sheetView>
  </sheetViews>
  <sheetFormatPr defaultRowHeight="10.5"/>
  <cols>
    <col min="1" max="1" width="73.33203125" bestFit="1" customWidth="1"/>
    <col min="5" max="5" width="9.33203125" style="615"/>
  </cols>
  <sheetData>
    <row r="1" spans="1:5" ht="15.75">
      <c r="A1" s="1011" t="s">
        <v>153</v>
      </c>
      <c r="B1" s="1011"/>
      <c r="C1" s="1011"/>
      <c r="D1" s="1011"/>
      <c r="E1" s="1011"/>
    </row>
    <row r="3" spans="1:5" ht="15.75">
      <c r="A3" s="1010" t="s">
        <v>194</v>
      </c>
      <c r="B3" s="1010"/>
      <c r="C3" s="1010"/>
      <c r="D3" s="1010"/>
      <c r="E3" s="1010"/>
    </row>
    <row r="6" spans="1:5" ht="15.75">
      <c r="A6" s="1010" t="s">
        <v>209</v>
      </c>
      <c r="B6" s="1010"/>
      <c r="C6" s="1010"/>
      <c r="D6" s="1010"/>
      <c r="E6" s="1010"/>
    </row>
    <row r="9" spans="1:5" ht="15.75">
      <c r="A9" s="415" t="s">
        <v>0</v>
      </c>
      <c r="B9" s="414"/>
      <c r="C9" s="414"/>
      <c r="D9" s="414"/>
      <c r="E9" s="415" t="s">
        <v>195</v>
      </c>
    </row>
    <row r="10" spans="1:5" ht="15.75">
      <c r="A10" s="414"/>
      <c r="B10" s="414"/>
      <c r="C10" s="414"/>
      <c r="D10" s="414"/>
      <c r="E10" s="416"/>
    </row>
    <row r="11" spans="1:5" ht="15.75">
      <c r="A11" s="414" t="s">
        <v>249</v>
      </c>
      <c r="B11" s="414"/>
      <c r="C11" s="414"/>
      <c r="D11" s="414"/>
      <c r="E11" s="416">
        <v>1</v>
      </c>
    </row>
    <row r="12" spans="1:5" ht="15.75">
      <c r="A12" s="414" t="s">
        <v>250</v>
      </c>
      <c r="B12" s="414"/>
      <c r="C12" s="414"/>
      <c r="D12" s="414"/>
      <c r="E12" s="416">
        <v>2</v>
      </c>
    </row>
    <row r="13" spans="1:5" ht="15.75">
      <c r="A13" s="414" t="s">
        <v>251</v>
      </c>
      <c r="B13" s="414"/>
      <c r="C13" s="414"/>
      <c r="D13" s="414"/>
      <c r="E13" s="416">
        <v>3</v>
      </c>
    </row>
    <row r="14" spans="1:5" ht="15.75">
      <c r="A14" s="414" t="s">
        <v>252</v>
      </c>
      <c r="B14" s="414"/>
      <c r="C14" s="414"/>
      <c r="D14" s="414"/>
      <c r="E14" s="416">
        <v>4</v>
      </c>
    </row>
    <row r="15" spans="1:5" ht="15.75">
      <c r="B15" s="414"/>
      <c r="C15" s="414"/>
      <c r="D15" s="414"/>
      <c r="E15" s="416"/>
    </row>
    <row r="16" spans="1:5" ht="15.75">
      <c r="B16" s="414"/>
      <c r="C16" s="414"/>
      <c r="D16" s="414"/>
      <c r="E16" s="416"/>
    </row>
    <row r="17" spans="2:5" ht="15.75">
      <c r="B17" s="414"/>
      <c r="C17" s="414"/>
      <c r="D17" s="414"/>
      <c r="E17" s="416"/>
    </row>
    <row r="18" spans="2:5" ht="15.75">
      <c r="B18" s="414"/>
      <c r="C18" s="414"/>
      <c r="D18" s="414"/>
      <c r="E18" s="416"/>
    </row>
    <row r="19" spans="2:5" ht="15.75">
      <c r="B19" s="414"/>
      <c r="C19" s="414"/>
      <c r="D19" s="414"/>
      <c r="E19" s="416"/>
    </row>
    <row r="20" spans="2:5" ht="15.75">
      <c r="B20" s="414"/>
      <c r="C20" s="414"/>
      <c r="D20" s="414"/>
      <c r="E20" s="416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B5C5-0EF9-4050-AF8F-F07EA2B7ED60}">
  <sheetPr transitionEvaluation="1">
    <tabColor rgb="FFFFC000"/>
    <pageSetUpPr fitToPage="1"/>
  </sheetPr>
  <dimension ref="A1:K31"/>
  <sheetViews>
    <sheetView workbookViewId="0">
      <selection sqref="A1:J1"/>
    </sheetView>
  </sheetViews>
  <sheetFormatPr defaultColWidth="18.33203125" defaultRowHeight="15" customHeight="1"/>
  <cols>
    <col min="1" max="1" width="10.1640625" style="416" bestFit="1" customWidth="1"/>
    <col min="2" max="2" width="22.6640625" style="414" bestFit="1" customWidth="1"/>
    <col min="3" max="7" width="18.33203125" style="414"/>
    <col min="8" max="8" width="22.83203125" style="414" customWidth="1"/>
    <col min="9" max="9" width="25" style="414" customWidth="1"/>
    <col min="10" max="16384" width="18.33203125" style="414"/>
  </cols>
  <sheetData>
    <row r="1" spans="1:11" ht="15" customHeight="1">
      <c r="D1" s="1010" t="s">
        <v>47</v>
      </c>
      <c r="E1" s="1010"/>
      <c r="F1" s="1010"/>
      <c r="G1" s="1010"/>
      <c r="H1" s="1010"/>
      <c r="I1" s="1010"/>
      <c r="J1" s="1010"/>
      <c r="K1" s="494" t="s">
        <v>382</v>
      </c>
    </row>
    <row r="2" spans="1:11" ht="15" customHeight="1">
      <c r="A2" s="495"/>
      <c r="D2" s="1031" t="s">
        <v>253</v>
      </c>
      <c r="E2" s="1031"/>
      <c r="F2" s="1031"/>
      <c r="G2" s="1031"/>
      <c r="H2" s="1031"/>
      <c r="I2" s="1031"/>
      <c r="J2" s="1031"/>
      <c r="K2" s="496" t="s">
        <v>254</v>
      </c>
    </row>
    <row r="3" spans="1:11" ht="15" customHeight="1">
      <c r="D3" s="1010" t="s">
        <v>48</v>
      </c>
      <c r="E3" s="1010"/>
      <c r="F3" s="1010"/>
      <c r="G3" s="1010"/>
      <c r="H3" s="1010"/>
      <c r="I3" s="1010"/>
      <c r="J3" s="1010"/>
      <c r="K3" s="496" t="s">
        <v>383</v>
      </c>
    </row>
    <row r="4" spans="1:11" ht="15" customHeight="1">
      <c r="D4" s="1032"/>
      <c r="E4" s="1032"/>
      <c r="F4" s="1032"/>
      <c r="G4" s="1032"/>
      <c r="H4" s="1032"/>
      <c r="I4" s="1032"/>
      <c r="J4" s="1032"/>
      <c r="K4" s="496"/>
    </row>
    <row r="5" spans="1:11" ht="15" customHeight="1" thickBot="1">
      <c r="D5" s="497"/>
      <c r="E5" s="498"/>
      <c r="F5" s="498"/>
      <c r="H5" s="498"/>
      <c r="I5" s="498"/>
      <c r="J5" s="498"/>
      <c r="K5" s="499"/>
    </row>
    <row r="6" spans="1:11" s="416" customFormat="1" ht="15" customHeight="1">
      <c r="D6" s="501"/>
      <c r="H6" s="1033" t="s">
        <v>127</v>
      </c>
      <c r="I6" s="1034"/>
      <c r="K6" s="501"/>
    </row>
    <row r="7" spans="1:11" s="416" customFormat="1" ht="15.75">
      <c r="G7" s="502"/>
      <c r="H7" s="1029" t="s">
        <v>4</v>
      </c>
      <c r="I7" s="1030"/>
      <c r="J7" s="501"/>
    </row>
    <row r="8" spans="1:11" s="416" customFormat="1" ht="78.75">
      <c r="A8" s="503" t="s">
        <v>125</v>
      </c>
      <c r="B8" s="503" t="s">
        <v>124</v>
      </c>
      <c r="C8" s="303" t="s">
        <v>280</v>
      </c>
      <c r="D8" s="303" t="s">
        <v>281</v>
      </c>
      <c r="E8" s="502" t="s">
        <v>123</v>
      </c>
      <c r="F8" s="504" t="s">
        <v>126</v>
      </c>
      <c r="G8" s="501" t="s">
        <v>11</v>
      </c>
      <c r="H8" s="505" t="s">
        <v>97</v>
      </c>
      <c r="I8" s="905" t="s">
        <v>102</v>
      </c>
      <c r="J8" s="506" t="s">
        <v>128</v>
      </c>
      <c r="K8" s="501" t="s">
        <v>13</v>
      </c>
    </row>
    <row r="9" spans="1:11" ht="15" customHeight="1">
      <c r="A9" s="507"/>
      <c r="B9" s="508" t="s">
        <v>14</v>
      </c>
      <c r="C9" s="508" t="s">
        <v>15</v>
      </c>
      <c r="D9" s="508" t="s">
        <v>16</v>
      </c>
      <c r="E9" s="508" t="s">
        <v>17</v>
      </c>
      <c r="F9" s="508" t="s">
        <v>18</v>
      </c>
      <c r="G9" s="508" t="s">
        <v>19</v>
      </c>
      <c r="H9" s="509" t="s">
        <v>20</v>
      </c>
      <c r="I9" s="906" t="s">
        <v>21</v>
      </c>
      <c r="J9" s="508" t="s">
        <v>64</v>
      </c>
      <c r="K9" s="508" t="s">
        <v>22</v>
      </c>
    </row>
    <row r="10" spans="1:11" ht="15" customHeight="1">
      <c r="B10" s="510"/>
      <c r="C10" s="501"/>
      <c r="D10" s="311"/>
      <c r="E10" s="501"/>
      <c r="F10" s="501"/>
      <c r="G10" s="501"/>
      <c r="H10" s="511"/>
      <c r="I10" s="907"/>
      <c r="J10" s="501"/>
      <c r="K10" s="501"/>
    </row>
    <row r="11" spans="1:11" ht="15" customHeight="1">
      <c r="A11" s="501">
        <v>1</v>
      </c>
      <c r="B11" s="512" t="str">
        <f>+'Balances at 7-31-2022'!A24</f>
        <v>CORE Conservation</v>
      </c>
      <c r="C11" s="513">
        <f>+'Balances at 7-31-2022'!D24</f>
        <v>8223271.0600000005</v>
      </c>
      <c r="D11" s="314">
        <f>+EstimatedBalances!H25</f>
        <v>-914141.09000000008</v>
      </c>
      <c r="E11" s="314">
        <f>((C11+D11)/(1-0.04423))-(C11+D11)</f>
        <v>338243.3206452392</v>
      </c>
      <c r="F11" s="314">
        <f>+' Int during Amort'!S43</f>
        <v>105249.02324615694</v>
      </c>
      <c r="G11" s="314">
        <f>SUM(C11:F11)</f>
        <v>7752622.3138913969</v>
      </c>
      <c r="H11" s="321"/>
      <c r="I11" s="908"/>
      <c r="K11" s="414" t="s">
        <v>256</v>
      </c>
    </row>
    <row r="12" spans="1:11" ht="15" customHeight="1">
      <c r="A12" s="501">
        <v>2</v>
      </c>
      <c r="C12" s="513"/>
      <c r="D12" s="314"/>
      <c r="E12" s="314"/>
      <c r="F12" s="512" t="s">
        <v>35</v>
      </c>
      <c r="G12" s="318">
        <f>+'Test Period Volumes'!I34</f>
        <v>256349197</v>
      </c>
      <c r="H12" s="320">
        <f>ROUND(G11/G12,5)</f>
        <v>3.024E-2</v>
      </c>
      <c r="I12" s="909">
        <f>ROUND(G11/G12,5)</f>
        <v>3.024E-2</v>
      </c>
      <c r="J12" s="501" t="s">
        <v>215</v>
      </c>
      <c r="K12" s="512" t="s">
        <v>36</v>
      </c>
    </row>
    <row r="13" spans="1:11" ht="15" customHeight="1">
      <c r="A13" s="501"/>
      <c r="C13" s="513"/>
      <c r="D13" s="314"/>
      <c r="E13" s="314"/>
      <c r="F13" s="314"/>
      <c r="G13" s="318"/>
      <c r="H13" s="320"/>
      <c r="I13" s="909"/>
      <c r="J13" s="501"/>
      <c r="K13" s="512"/>
    </row>
    <row r="14" spans="1:11" ht="15" customHeight="1">
      <c r="A14" s="501"/>
      <c r="C14" s="514"/>
      <c r="D14" s="314"/>
      <c r="E14" s="314"/>
      <c r="F14" s="512"/>
      <c r="G14" s="318"/>
      <c r="H14" s="320"/>
      <c r="I14" s="909"/>
      <c r="J14" s="501"/>
      <c r="K14" s="512"/>
    </row>
    <row r="15" spans="1:11" ht="22.5" customHeight="1" thickBot="1">
      <c r="A15" s="501">
        <v>3</v>
      </c>
      <c r="B15" s="515" t="s">
        <v>96</v>
      </c>
      <c r="C15" s="327">
        <f>+C11</f>
        <v>8223271.0600000005</v>
      </c>
      <c r="D15" s="327">
        <f t="shared" ref="D15:F15" si="0">+D11</f>
        <v>-914141.09000000008</v>
      </c>
      <c r="E15" s="327">
        <f t="shared" si="0"/>
        <v>338243.3206452392</v>
      </c>
      <c r="F15" s="327">
        <f t="shared" si="0"/>
        <v>105249.02324615694</v>
      </c>
      <c r="G15" s="327">
        <f>+G11</f>
        <v>7752622.3138913969</v>
      </c>
      <c r="H15" s="904">
        <f>+H12</f>
        <v>3.024E-2</v>
      </c>
      <c r="I15" s="910">
        <f>+I12</f>
        <v>3.024E-2</v>
      </c>
    </row>
    <row r="16" spans="1:11" ht="15" customHeight="1">
      <c r="A16" s="501"/>
    </row>
    <row r="19" spans="1:1" ht="15" customHeight="1">
      <c r="A19" s="501"/>
    </row>
    <row r="22" spans="1:1" ht="15" customHeight="1">
      <c r="A22" s="501"/>
    </row>
    <row r="25" spans="1:1" ht="15" customHeight="1">
      <c r="A25" s="501"/>
    </row>
    <row r="27" spans="1:1" ht="15" customHeight="1">
      <c r="A27" s="501"/>
    </row>
    <row r="29" spans="1:1" ht="15" customHeight="1">
      <c r="A29" s="501"/>
    </row>
    <row r="30" spans="1:1" ht="15" customHeight="1">
      <c r="A30" s="501"/>
    </row>
    <row r="31" spans="1:1" ht="15" customHeight="1">
      <c r="A31" s="501"/>
    </row>
  </sheetData>
  <mergeCells count="6">
    <mergeCell ref="H7:I7"/>
    <mergeCell ref="D1:J1"/>
    <mergeCell ref="D2:J2"/>
    <mergeCell ref="D3:J3"/>
    <mergeCell ref="D4:J4"/>
    <mergeCell ref="H6:I6"/>
  </mergeCells>
  <printOptions horizontalCentered="1"/>
  <pageMargins left="0.2" right="0.2" top="1" bottom="0.17" header="0.35" footer="0.5"/>
  <pageSetup scale="75" orientation="landscape" r:id="rId1"/>
  <headerFooter scaleWithDoc="0" alignWithMargins="0">
    <oddFooter>&amp;LTab Name: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5216-B494-4841-8CDC-8413A58121B2}">
  <sheetPr>
    <tabColor rgb="FFFFC000"/>
    <pageSetUpPr fitToPage="1"/>
  </sheetPr>
  <dimension ref="A1:V27"/>
  <sheetViews>
    <sheetView workbookViewId="0">
      <selection sqref="A1:J1"/>
    </sheetView>
  </sheetViews>
  <sheetFormatPr defaultColWidth="10.6640625" defaultRowHeight="15"/>
  <cols>
    <col min="1" max="1" width="5" style="517" customWidth="1"/>
    <col min="2" max="2" width="26" style="517" customWidth="1"/>
    <col min="3" max="3" width="14.1640625" style="517" customWidth="1"/>
    <col min="4" max="4" width="16.1640625" style="517" customWidth="1"/>
    <col min="5" max="5" width="16" style="517" customWidth="1"/>
    <col min="6" max="6" width="18.33203125" style="517" customWidth="1"/>
    <col min="7" max="7" width="17.83203125" style="517" customWidth="1"/>
    <col min="8" max="8" width="16.1640625" style="517" customWidth="1"/>
    <col min="9" max="9" width="18" style="517" customWidth="1"/>
    <col min="10" max="10" width="16.1640625" style="517" customWidth="1"/>
    <col min="11" max="12" width="13.83203125" style="517" customWidth="1"/>
    <col min="13" max="13" width="14.83203125" style="517" customWidth="1"/>
    <col min="14" max="14" width="13.33203125" style="517" customWidth="1"/>
    <col min="15" max="15" width="19.6640625" style="517" customWidth="1"/>
    <col min="16" max="17" width="13.33203125" style="517" customWidth="1"/>
    <col min="18" max="18" width="16" style="517" customWidth="1"/>
    <col min="19" max="19" width="14.1640625" style="517" customWidth="1"/>
    <col min="20" max="20" width="17" style="517" customWidth="1"/>
    <col min="21" max="21" width="14.1640625" style="517" customWidth="1"/>
    <col min="22" max="16384" width="10.6640625" style="517"/>
  </cols>
  <sheetData>
    <row r="1" spans="1:15" ht="15.75" customHeight="1">
      <c r="A1" s="516"/>
      <c r="B1" s="516"/>
      <c r="G1" s="494" t="str">
        <f>+'CPA Summary of Def. Accts.'!K1</f>
        <v>CNGC Advice W22-09-02</v>
      </c>
      <c r="H1" s="516"/>
    </row>
    <row r="2" spans="1:15" ht="15.75" customHeight="1">
      <c r="A2" s="516"/>
      <c r="B2" s="516"/>
      <c r="G2" s="496" t="s">
        <v>254</v>
      </c>
      <c r="H2" s="516"/>
    </row>
    <row r="3" spans="1:15" ht="15.75" customHeight="1">
      <c r="A3" s="516"/>
      <c r="B3" s="516"/>
      <c r="G3" s="496" t="s">
        <v>384</v>
      </c>
      <c r="H3" s="516"/>
    </row>
    <row r="4" spans="1:15" ht="15.75" customHeight="1">
      <c r="A4" s="516"/>
      <c r="B4" s="516"/>
      <c r="C4" s="1035" t="s">
        <v>47</v>
      </c>
      <c r="D4" s="1035"/>
      <c r="E4" s="1035"/>
      <c r="F4" s="1035"/>
      <c r="G4" s="518"/>
      <c r="H4" s="518"/>
      <c r="I4" s="519"/>
      <c r="J4" s="519"/>
      <c r="K4" s="519"/>
      <c r="L4" s="519"/>
      <c r="M4" s="519"/>
      <c r="N4" s="519"/>
      <c r="O4" s="519"/>
    </row>
    <row r="5" spans="1:15" ht="15.75" customHeight="1">
      <c r="A5" s="516"/>
      <c r="B5" s="1035" t="s">
        <v>257</v>
      </c>
      <c r="C5" s="1035"/>
      <c r="D5" s="1035"/>
      <c r="E5" s="1035"/>
      <c r="F5" s="1035"/>
      <c r="G5" s="1035"/>
      <c r="H5" s="518"/>
      <c r="I5" s="519"/>
      <c r="J5" s="519"/>
      <c r="K5" s="519"/>
      <c r="L5" s="519"/>
      <c r="M5" s="519"/>
      <c r="N5" s="519"/>
      <c r="O5" s="519"/>
    </row>
    <row r="6" spans="1:15" ht="15.75" customHeight="1">
      <c r="A6" s="516"/>
      <c r="B6" s="516"/>
      <c r="C6" s="1035" t="s">
        <v>258</v>
      </c>
      <c r="D6" s="1035"/>
      <c r="E6" s="1035"/>
      <c r="F6" s="1035"/>
      <c r="G6" s="518"/>
      <c r="H6" s="518"/>
      <c r="I6" s="519"/>
      <c r="J6" s="519"/>
      <c r="K6" s="519"/>
      <c r="L6" s="519"/>
      <c r="M6" s="519"/>
      <c r="N6" s="519"/>
      <c r="O6" s="519"/>
    </row>
    <row r="7" spans="1:15" ht="15.75" customHeight="1">
      <c r="A7" s="516"/>
      <c r="B7" s="516"/>
      <c r="C7" s="1035" t="s">
        <v>48</v>
      </c>
      <c r="D7" s="1035"/>
      <c r="E7" s="1035"/>
      <c r="F7" s="1035"/>
      <c r="G7" s="518"/>
      <c r="H7" s="518"/>
      <c r="I7" s="519"/>
      <c r="J7" s="519"/>
      <c r="K7" s="519"/>
      <c r="L7" s="519"/>
      <c r="M7" s="519"/>
      <c r="N7" s="519"/>
      <c r="O7" s="519"/>
    </row>
    <row r="8" spans="1:15" ht="15.75">
      <c r="A8" s="516"/>
      <c r="B8" s="516"/>
      <c r="C8" s="516"/>
      <c r="D8" s="516"/>
      <c r="E8" s="516"/>
      <c r="F8" s="518"/>
      <c r="G8" s="516"/>
      <c r="H8" s="516"/>
    </row>
    <row r="9" spans="1:15" s="525" customFormat="1" ht="63">
      <c r="A9" s="916" t="s">
        <v>7</v>
      </c>
      <c r="B9" s="912" t="s">
        <v>0</v>
      </c>
      <c r="C9" s="521" t="s">
        <v>129</v>
      </c>
      <c r="D9" s="520" t="s">
        <v>259</v>
      </c>
      <c r="E9" s="522" t="s">
        <v>255</v>
      </c>
      <c r="F9" s="520" t="s">
        <v>260</v>
      </c>
      <c r="G9" s="520" t="s">
        <v>261</v>
      </c>
      <c r="H9" s="523"/>
      <c r="I9" s="524"/>
      <c r="J9" s="524"/>
      <c r="K9" s="524"/>
    </row>
    <row r="10" spans="1:15" ht="15.75">
      <c r="A10" s="551" t="s">
        <v>9</v>
      </c>
      <c r="B10" s="526" t="s">
        <v>14</v>
      </c>
      <c r="C10" s="526" t="s">
        <v>15</v>
      </c>
      <c r="D10" s="527" t="s">
        <v>16</v>
      </c>
      <c r="E10" s="528" t="s">
        <v>17</v>
      </c>
      <c r="F10" s="527" t="s">
        <v>18</v>
      </c>
      <c r="G10" s="529" t="s">
        <v>81</v>
      </c>
      <c r="H10" s="518"/>
      <c r="I10" s="519"/>
      <c r="J10" s="519"/>
      <c r="K10" s="519"/>
    </row>
    <row r="11" spans="1:15" ht="16.5" customHeight="1">
      <c r="A11" s="917"/>
      <c r="B11" s="913" t="s">
        <v>82</v>
      </c>
      <c r="C11" s="530"/>
      <c r="D11" s="530"/>
      <c r="E11" s="530"/>
      <c r="F11" s="531"/>
      <c r="G11" s="530"/>
      <c r="H11" s="516"/>
    </row>
    <row r="12" spans="1:15" ht="15.75">
      <c r="A12" s="551">
        <v>1</v>
      </c>
      <c r="B12" s="914" t="s">
        <v>66</v>
      </c>
      <c r="C12" s="532">
        <v>503</v>
      </c>
      <c r="D12" s="349">
        <v>-3.0020000000000002E-2</v>
      </c>
      <c r="E12" s="349">
        <f>+'CPA Summary of Def. Accts.'!H15</f>
        <v>3.024E-2</v>
      </c>
      <c r="F12" s="533">
        <f t="shared" ref="F12:F16" si="0">SUM(D12:E12)</f>
        <v>2.1999999999999797E-4</v>
      </c>
      <c r="G12" s="534">
        <f t="shared" ref="G12:G16" si="1">+E12</f>
        <v>3.024E-2</v>
      </c>
      <c r="H12" s="535"/>
      <c r="I12" s="63"/>
      <c r="J12" s="32"/>
      <c r="K12" s="32"/>
    </row>
    <row r="13" spans="1:15" ht="15.75">
      <c r="A13" s="551">
        <v>2</v>
      </c>
      <c r="B13" s="914" t="s">
        <v>68</v>
      </c>
      <c r="C13" s="532">
        <v>504</v>
      </c>
      <c r="D13" s="349">
        <f>+D12</f>
        <v>-3.0020000000000002E-2</v>
      </c>
      <c r="E13" s="349">
        <f t="shared" ref="E13" si="2">E12</f>
        <v>3.024E-2</v>
      </c>
      <c r="F13" s="533">
        <f t="shared" si="0"/>
        <v>2.1999999999999797E-4</v>
      </c>
      <c r="G13" s="534">
        <f t="shared" si="1"/>
        <v>3.024E-2</v>
      </c>
      <c r="H13" s="535"/>
      <c r="I13" s="63"/>
      <c r="J13" s="32"/>
      <c r="K13" s="32"/>
    </row>
    <row r="14" spans="1:15" ht="15.75">
      <c r="A14" s="551">
        <v>3</v>
      </c>
      <c r="B14" s="914" t="s">
        <v>131</v>
      </c>
      <c r="C14" s="536">
        <v>511</v>
      </c>
      <c r="D14" s="349">
        <f>+D12</f>
        <v>-3.0020000000000002E-2</v>
      </c>
      <c r="E14" s="349">
        <f>+E12</f>
        <v>3.024E-2</v>
      </c>
      <c r="F14" s="533">
        <f t="shared" si="0"/>
        <v>2.1999999999999797E-4</v>
      </c>
      <c r="G14" s="534">
        <f t="shared" si="1"/>
        <v>3.024E-2</v>
      </c>
      <c r="H14" s="535"/>
      <c r="I14" s="63"/>
      <c r="J14" s="32"/>
      <c r="K14" s="32"/>
    </row>
    <row r="15" spans="1:15" ht="15.75">
      <c r="A15" s="551">
        <v>4</v>
      </c>
      <c r="B15" s="914" t="s">
        <v>72</v>
      </c>
      <c r="C15" s="536">
        <v>505</v>
      </c>
      <c r="D15" s="349">
        <f>+D12</f>
        <v>-3.0020000000000002E-2</v>
      </c>
      <c r="E15" s="349">
        <f>+E12</f>
        <v>3.024E-2</v>
      </c>
      <c r="F15" s="533">
        <f t="shared" si="0"/>
        <v>2.1999999999999797E-4</v>
      </c>
      <c r="G15" s="534">
        <f t="shared" si="1"/>
        <v>3.024E-2</v>
      </c>
      <c r="H15" s="535"/>
      <c r="I15" s="63"/>
      <c r="J15" s="32"/>
      <c r="K15" s="32"/>
    </row>
    <row r="16" spans="1:15" ht="15.75">
      <c r="A16" s="551">
        <v>5</v>
      </c>
      <c r="B16" s="914" t="s">
        <v>83</v>
      </c>
      <c r="C16" s="536">
        <v>570</v>
      </c>
      <c r="D16" s="349">
        <f>+D12</f>
        <v>-3.0020000000000002E-2</v>
      </c>
      <c r="E16" s="349">
        <f>'CPA Summary of Def. Accts.'!I15</f>
        <v>3.024E-2</v>
      </c>
      <c r="F16" s="533">
        <f t="shared" si="0"/>
        <v>2.1999999999999797E-4</v>
      </c>
      <c r="G16" s="534">
        <f t="shared" si="1"/>
        <v>3.024E-2</v>
      </c>
      <c r="H16" s="535"/>
      <c r="I16" s="63"/>
      <c r="J16" s="32"/>
      <c r="K16" s="32"/>
    </row>
    <row r="17" spans="1:22" ht="15.75">
      <c r="A17" s="557"/>
      <c r="B17" s="915"/>
      <c r="C17" s="537"/>
      <c r="D17" s="537"/>
      <c r="E17" s="537"/>
      <c r="F17" s="538"/>
      <c r="G17" s="537"/>
      <c r="H17" s="322"/>
      <c r="I17" s="63"/>
      <c r="J17" s="32"/>
      <c r="K17" s="32"/>
    </row>
    <row r="18" spans="1:22" ht="15.75">
      <c r="A18" s="911"/>
      <c r="B18" s="539"/>
      <c r="C18" s="516"/>
      <c r="D18" s="516"/>
      <c r="E18" s="516"/>
      <c r="F18" s="516"/>
      <c r="G18" s="322"/>
      <c r="H18" s="322"/>
      <c r="I18" s="63"/>
      <c r="J18" s="63"/>
      <c r="K18" s="63"/>
    </row>
    <row r="19" spans="1:22" ht="15.75">
      <c r="B19" s="540"/>
      <c r="C19" s="516"/>
      <c r="D19" s="516"/>
      <c r="E19" s="516"/>
      <c r="F19" s="516"/>
      <c r="G19" s="362"/>
      <c r="H19" s="516"/>
      <c r="Q19" s="32"/>
      <c r="R19" s="32"/>
      <c r="S19" s="32"/>
      <c r="T19" s="32"/>
      <c r="U19" s="32"/>
      <c r="V19" s="32"/>
    </row>
    <row r="20" spans="1:22" ht="15.75">
      <c r="C20" s="516"/>
      <c r="D20" s="516"/>
      <c r="E20" s="516"/>
      <c r="F20" s="518"/>
      <c r="G20" s="362"/>
      <c r="H20" s="516"/>
      <c r="Q20" s="32"/>
      <c r="R20" s="32"/>
      <c r="S20" s="32"/>
      <c r="T20" s="32"/>
      <c r="U20" s="32"/>
    </row>
    <row r="21" spans="1:22" ht="15.75">
      <c r="A21" s="516"/>
      <c r="B21" s="540"/>
      <c r="C21" s="516"/>
      <c r="D21" s="516"/>
      <c r="E21" s="516"/>
      <c r="F21" s="518"/>
      <c r="G21" s="362"/>
      <c r="H21" s="516"/>
      <c r="Q21" s="32"/>
      <c r="R21" s="32"/>
      <c r="S21" s="32"/>
      <c r="T21" s="32"/>
      <c r="U21" s="32"/>
    </row>
    <row r="22" spans="1:22" ht="15.75">
      <c r="A22" s="516"/>
      <c r="B22" s="539"/>
      <c r="C22" s="516"/>
      <c r="D22" s="516"/>
      <c r="E22" s="516"/>
      <c r="F22" s="518"/>
      <c r="G22" s="362"/>
      <c r="H22" s="516"/>
    </row>
    <row r="23" spans="1:22" ht="15.75">
      <c r="A23" s="516"/>
      <c r="B23" s="539"/>
      <c r="C23" s="516"/>
      <c r="D23" s="516"/>
      <c r="E23" s="516"/>
      <c r="F23" s="518"/>
      <c r="G23" s="412"/>
      <c r="H23" s="412"/>
      <c r="I23" s="66"/>
    </row>
    <row r="24" spans="1:22">
      <c r="F24" s="131"/>
      <c r="K24" s="66"/>
    </row>
    <row r="25" spans="1:22">
      <c r="F25" s="541"/>
      <c r="K25" s="66"/>
    </row>
    <row r="26" spans="1:22">
      <c r="K26" s="66"/>
    </row>
    <row r="27" spans="1:22">
      <c r="K27" s="66"/>
    </row>
  </sheetData>
  <mergeCells count="4">
    <mergeCell ref="C4:F4"/>
    <mergeCell ref="B5:G5"/>
    <mergeCell ref="C6:F6"/>
    <mergeCell ref="C7:F7"/>
  </mergeCells>
  <printOptions horizontalCentered="1"/>
  <pageMargins left="0.2" right="0.2" top="1" bottom="0.17" header="0.35" footer="0.5"/>
  <pageSetup orientation="landscape" r:id="rId1"/>
  <headerFooter scaleWithDoc="0" alignWithMargins="0">
    <oddFooter>&amp;LTab Name: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BF50-9B61-4FB1-B544-281AF129F90B}">
  <sheetPr>
    <tabColor rgb="FFFFC000"/>
    <pageSetUpPr fitToPage="1"/>
  </sheetPr>
  <dimension ref="A2:Q18"/>
  <sheetViews>
    <sheetView workbookViewId="0">
      <selection activeCell="C4" sqref="C4:K4"/>
    </sheetView>
  </sheetViews>
  <sheetFormatPr defaultRowHeight="15.75"/>
  <cols>
    <col min="1" max="1" width="5.5" style="554" bestFit="1" customWidth="1"/>
    <col min="2" max="2" width="9.33203125" style="542"/>
    <col min="3" max="3" width="19.5" style="542" customWidth="1"/>
    <col min="4" max="4" width="13.5" style="542" customWidth="1"/>
    <col min="5" max="5" width="11.5" style="542" bestFit="1" customWidth="1"/>
    <col min="6" max="6" width="18.5" style="542" bestFit="1" customWidth="1"/>
    <col min="7" max="7" width="1.33203125" style="542" customWidth="1"/>
    <col min="8" max="8" width="16.33203125" style="542" bestFit="1" customWidth="1"/>
    <col min="9" max="10" width="1.33203125" style="542" customWidth="1"/>
    <col min="11" max="11" width="15.33203125" style="576" customWidth="1"/>
    <col min="12" max="12" width="24.1640625" style="542" bestFit="1" customWidth="1"/>
    <col min="13" max="13" width="12.83203125" style="542" bestFit="1" customWidth="1"/>
    <col min="14" max="250" width="9.33203125" style="542"/>
    <col min="251" max="251" width="5" style="542" customWidth="1"/>
    <col min="252" max="252" width="9.33203125" style="542"/>
    <col min="253" max="253" width="21.6640625" style="542" customWidth="1"/>
    <col min="254" max="254" width="13.5" style="542" customWidth="1"/>
    <col min="255" max="255" width="10.5" style="542" customWidth="1"/>
    <col min="256" max="256" width="15.1640625" style="542" customWidth="1"/>
    <col min="257" max="257" width="3.6640625" style="542" customWidth="1"/>
    <col min="258" max="258" width="13.1640625" style="542" customWidth="1"/>
    <col min="259" max="259" width="3.83203125" style="542" customWidth="1"/>
    <col min="260" max="260" width="15" style="542" customWidth="1"/>
    <col min="261" max="261" width="3.6640625" style="542" customWidth="1"/>
    <col min="262" max="263" width="13" style="542" customWidth="1"/>
    <col min="264" max="264" width="0" style="542" hidden="1" customWidth="1"/>
    <col min="265" max="266" width="9.33203125" style="542"/>
    <col min="267" max="267" width="15.83203125" style="542" customWidth="1"/>
    <col min="268" max="506" width="9.33203125" style="542"/>
    <col min="507" max="507" width="5" style="542" customWidth="1"/>
    <col min="508" max="508" width="9.33203125" style="542"/>
    <col min="509" max="509" width="21.6640625" style="542" customWidth="1"/>
    <col min="510" max="510" width="13.5" style="542" customWidth="1"/>
    <col min="511" max="511" width="10.5" style="542" customWidth="1"/>
    <col min="512" max="512" width="15.1640625" style="542" customWidth="1"/>
    <col min="513" max="513" width="3.6640625" style="542" customWidth="1"/>
    <col min="514" max="514" width="13.1640625" style="542" customWidth="1"/>
    <col min="515" max="515" width="3.83203125" style="542" customWidth="1"/>
    <col min="516" max="516" width="15" style="542" customWidth="1"/>
    <col min="517" max="517" width="3.6640625" style="542" customWidth="1"/>
    <col min="518" max="519" width="13" style="542" customWidth="1"/>
    <col min="520" max="520" width="0" style="542" hidden="1" customWidth="1"/>
    <col min="521" max="522" width="9.33203125" style="542"/>
    <col min="523" max="523" width="15.83203125" style="542" customWidth="1"/>
    <col min="524" max="762" width="9.33203125" style="542"/>
    <col min="763" max="763" width="5" style="542" customWidth="1"/>
    <col min="764" max="764" width="9.33203125" style="542"/>
    <col min="765" max="765" width="21.6640625" style="542" customWidth="1"/>
    <col min="766" max="766" width="13.5" style="542" customWidth="1"/>
    <col min="767" max="767" width="10.5" style="542" customWidth="1"/>
    <col min="768" max="768" width="15.1640625" style="542" customWidth="1"/>
    <col min="769" max="769" width="3.6640625" style="542" customWidth="1"/>
    <col min="770" max="770" width="13.1640625" style="542" customWidth="1"/>
    <col min="771" max="771" width="3.83203125" style="542" customWidth="1"/>
    <col min="772" max="772" width="15" style="542" customWidth="1"/>
    <col min="773" max="773" width="3.6640625" style="542" customWidth="1"/>
    <col min="774" max="775" width="13" style="542" customWidth="1"/>
    <col min="776" max="776" width="0" style="542" hidden="1" customWidth="1"/>
    <col min="777" max="778" width="9.33203125" style="542"/>
    <col min="779" max="779" width="15.83203125" style="542" customWidth="1"/>
    <col min="780" max="1018" width="9.33203125" style="542"/>
    <col min="1019" max="1019" width="5" style="542" customWidth="1"/>
    <col min="1020" max="1020" width="9.33203125" style="542"/>
    <col min="1021" max="1021" width="21.6640625" style="542" customWidth="1"/>
    <col min="1022" max="1022" width="13.5" style="542" customWidth="1"/>
    <col min="1023" max="1023" width="10.5" style="542" customWidth="1"/>
    <col min="1024" max="1024" width="15.1640625" style="542" customWidth="1"/>
    <col min="1025" max="1025" width="3.6640625" style="542" customWidth="1"/>
    <col min="1026" max="1026" width="13.1640625" style="542" customWidth="1"/>
    <col min="1027" max="1027" width="3.83203125" style="542" customWidth="1"/>
    <col min="1028" max="1028" width="15" style="542" customWidth="1"/>
    <col min="1029" max="1029" width="3.6640625" style="542" customWidth="1"/>
    <col min="1030" max="1031" width="13" style="542" customWidth="1"/>
    <col min="1032" max="1032" width="0" style="542" hidden="1" customWidth="1"/>
    <col min="1033" max="1034" width="9.33203125" style="542"/>
    <col min="1035" max="1035" width="15.83203125" style="542" customWidth="1"/>
    <col min="1036" max="1274" width="9.33203125" style="542"/>
    <col min="1275" max="1275" width="5" style="542" customWidth="1"/>
    <col min="1276" max="1276" width="9.33203125" style="542"/>
    <col min="1277" max="1277" width="21.6640625" style="542" customWidth="1"/>
    <col min="1278" max="1278" width="13.5" style="542" customWidth="1"/>
    <col min="1279" max="1279" width="10.5" style="542" customWidth="1"/>
    <col min="1280" max="1280" width="15.1640625" style="542" customWidth="1"/>
    <col min="1281" max="1281" width="3.6640625" style="542" customWidth="1"/>
    <col min="1282" max="1282" width="13.1640625" style="542" customWidth="1"/>
    <col min="1283" max="1283" width="3.83203125" style="542" customWidth="1"/>
    <col min="1284" max="1284" width="15" style="542" customWidth="1"/>
    <col min="1285" max="1285" width="3.6640625" style="542" customWidth="1"/>
    <col min="1286" max="1287" width="13" style="542" customWidth="1"/>
    <col min="1288" max="1288" width="0" style="542" hidden="1" customWidth="1"/>
    <col min="1289" max="1290" width="9.33203125" style="542"/>
    <col min="1291" max="1291" width="15.83203125" style="542" customWidth="1"/>
    <col min="1292" max="1530" width="9.33203125" style="542"/>
    <col min="1531" max="1531" width="5" style="542" customWidth="1"/>
    <col min="1532" max="1532" width="9.33203125" style="542"/>
    <col min="1533" max="1533" width="21.6640625" style="542" customWidth="1"/>
    <col min="1534" max="1534" width="13.5" style="542" customWidth="1"/>
    <col min="1535" max="1535" width="10.5" style="542" customWidth="1"/>
    <col min="1536" max="1536" width="15.1640625" style="542" customWidth="1"/>
    <col min="1537" max="1537" width="3.6640625" style="542" customWidth="1"/>
    <col min="1538" max="1538" width="13.1640625" style="542" customWidth="1"/>
    <col min="1539" max="1539" width="3.83203125" style="542" customWidth="1"/>
    <col min="1540" max="1540" width="15" style="542" customWidth="1"/>
    <col min="1541" max="1541" width="3.6640625" style="542" customWidth="1"/>
    <col min="1542" max="1543" width="13" style="542" customWidth="1"/>
    <col min="1544" max="1544" width="0" style="542" hidden="1" customWidth="1"/>
    <col min="1545" max="1546" width="9.33203125" style="542"/>
    <col min="1547" max="1547" width="15.83203125" style="542" customWidth="1"/>
    <col min="1548" max="1786" width="9.33203125" style="542"/>
    <col min="1787" max="1787" width="5" style="542" customWidth="1"/>
    <col min="1788" max="1788" width="9.33203125" style="542"/>
    <col min="1789" max="1789" width="21.6640625" style="542" customWidth="1"/>
    <col min="1790" max="1790" width="13.5" style="542" customWidth="1"/>
    <col min="1791" max="1791" width="10.5" style="542" customWidth="1"/>
    <col min="1792" max="1792" width="15.1640625" style="542" customWidth="1"/>
    <col min="1793" max="1793" width="3.6640625" style="542" customWidth="1"/>
    <col min="1794" max="1794" width="13.1640625" style="542" customWidth="1"/>
    <col min="1795" max="1795" width="3.83203125" style="542" customWidth="1"/>
    <col min="1796" max="1796" width="15" style="542" customWidth="1"/>
    <col min="1797" max="1797" width="3.6640625" style="542" customWidth="1"/>
    <col min="1798" max="1799" width="13" style="542" customWidth="1"/>
    <col min="1800" max="1800" width="0" style="542" hidden="1" customWidth="1"/>
    <col min="1801" max="1802" width="9.33203125" style="542"/>
    <col min="1803" max="1803" width="15.83203125" style="542" customWidth="1"/>
    <col min="1804" max="2042" width="9.33203125" style="542"/>
    <col min="2043" max="2043" width="5" style="542" customWidth="1"/>
    <col min="2044" max="2044" width="9.33203125" style="542"/>
    <col min="2045" max="2045" width="21.6640625" style="542" customWidth="1"/>
    <col min="2046" max="2046" width="13.5" style="542" customWidth="1"/>
    <col min="2047" max="2047" width="10.5" style="542" customWidth="1"/>
    <col min="2048" max="2048" width="15.1640625" style="542" customWidth="1"/>
    <col min="2049" max="2049" width="3.6640625" style="542" customWidth="1"/>
    <col min="2050" max="2050" width="13.1640625" style="542" customWidth="1"/>
    <col min="2051" max="2051" width="3.83203125" style="542" customWidth="1"/>
    <col min="2052" max="2052" width="15" style="542" customWidth="1"/>
    <col min="2053" max="2053" width="3.6640625" style="542" customWidth="1"/>
    <col min="2054" max="2055" width="13" style="542" customWidth="1"/>
    <col min="2056" max="2056" width="0" style="542" hidden="1" customWidth="1"/>
    <col min="2057" max="2058" width="9.33203125" style="542"/>
    <col min="2059" max="2059" width="15.83203125" style="542" customWidth="1"/>
    <col min="2060" max="2298" width="9.33203125" style="542"/>
    <col min="2299" max="2299" width="5" style="542" customWidth="1"/>
    <col min="2300" max="2300" width="9.33203125" style="542"/>
    <col min="2301" max="2301" width="21.6640625" style="542" customWidth="1"/>
    <col min="2302" max="2302" width="13.5" style="542" customWidth="1"/>
    <col min="2303" max="2303" width="10.5" style="542" customWidth="1"/>
    <col min="2304" max="2304" width="15.1640625" style="542" customWidth="1"/>
    <col min="2305" max="2305" width="3.6640625" style="542" customWidth="1"/>
    <col min="2306" max="2306" width="13.1640625" style="542" customWidth="1"/>
    <col min="2307" max="2307" width="3.83203125" style="542" customWidth="1"/>
    <col min="2308" max="2308" width="15" style="542" customWidth="1"/>
    <col min="2309" max="2309" width="3.6640625" style="542" customWidth="1"/>
    <col min="2310" max="2311" width="13" style="542" customWidth="1"/>
    <col min="2312" max="2312" width="0" style="542" hidden="1" customWidth="1"/>
    <col min="2313" max="2314" width="9.33203125" style="542"/>
    <col min="2315" max="2315" width="15.83203125" style="542" customWidth="1"/>
    <col min="2316" max="2554" width="9.33203125" style="542"/>
    <col min="2555" max="2555" width="5" style="542" customWidth="1"/>
    <col min="2556" max="2556" width="9.33203125" style="542"/>
    <col min="2557" max="2557" width="21.6640625" style="542" customWidth="1"/>
    <col min="2558" max="2558" width="13.5" style="542" customWidth="1"/>
    <col min="2559" max="2559" width="10.5" style="542" customWidth="1"/>
    <col min="2560" max="2560" width="15.1640625" style="542" customWidth="1"/>
    <col min="2561" max="2561" width="3.6640625" style="542" customWidth="1"/>
    <col min="2562" max="2562" width="13.1640625" style="542" customWidth="1"/>
    <col min="2563" max="2563" width="3.83203125" style="542" customWidth="1"/>
    <col min="2564" max="2564" width="15" style="542" customWidth="1"/>
    <col min="2565" max="2565" width="3.6640625" style="542" customWidth="1"/>
    <col min="2566" max="2567" width="13" style="542" customWidth="1"/>
    <col min="2568" max="2568" width="0" style="542" hidden="1" customWidth="1"/>
    <col min="2569" max="2570" width="9.33203125" style="542"/>
    <col min="2571" max="2571" width="15.83203125" style="542" customWidth="1"/>
    <col min="2572" max="2810" width="9.33203125" style="542"/>
    <col min="2811" max="2811" width="5" style="542" customWidth="1"/>
    <col min="2812" max="2812" width="9.33203125" style="542"/>
    <col min="2813" max="2813" width="21.6640625" style="542" customWidth="1"/>
    <col min="2814" max="2814" width="13.5" style="542" customWidth="1"/>
    <col min="2815" max="2815" width="10.5" style="542" customWidth="1"/>
    <col min="2816" max="2816" width="15.1640625" style="542" customWidth="1"/>
    <col min="2817" max="2817" width="3.6640625" style="542" customWidth="1"/>
    <col min="2818" max="2818" width="13.1640625" style="542" customWidth="1"/>
    <col min="2819" max="2819" width="3.83203125" style="542" customWidth="1"/>
    <col min="2820" max="2820" width="15" style="542" customWidth="1"/>
    <col min="2821" max="2821" width="3.6640625" style="542" customWidth="1"/>
    <col min="2822" max="2823" width="13" style="542" customWidth="1"/>
    <col min="2824" max="2824" width="0" style="542" hidden="1" customWidth="1"/>
    <col min="2825" max="2826" width="9.33203125" style="542"/>
    <col min="2827" max="2827" width="15.83203125" style="542" customWidth="1"/>
    <col min="2828" max="3066" width="9.33203125" style="542"/>
    <col min="3067" max="3067" width="5" style="542" customWidth="1"/>
    <col min="3068" max="3068" width="9.33203125" style="542"/>
    <col min="3069" max="3069" width="21.6640625" style="542" customWidth="1"/>
    <col min="3070" max="3070" width="13.5" style="542" customWidth="1"/>
    <col min="3071" max="3071" width="10.5" style="542" customWidth="1"/>
    <col min="3072" max="3072" width="15.1640625" style="542" customWidth="1"/>
    <col min="3073" max="3073" width="3.6640625" style="542" customWidth="1"/>
    <col min="3074" max="3074" width="13.1640625" style="542" customWidth="1"/>
    <col min="3075" max="3075" width="3.83203125" style="542" customWidth="1"/>
    <col min="3076" max="3076" width="15" style="542" customWidth="1"/>
    <col min="3077" max="3077" width="3.6640625" style="542" customWidth="1"/>
    <col min="3078" max="3079" width="13" style="542" customWidth="1"/>
    <col min="3080" max="3080" width="0" style="542" hidden="1" customWidth="1"/>
    <col min="3081" max="3082" width="9.33203125" style="542"/>
    <col min="3083" max="3083" width="15.83203125" style="542" customWidth="1"/>
    <col min="3084" max="3322" width="9.33203125" style="542"/>
    <col min="3323" max="3323" width="5" style="542" customWidth="1"/>
    <col min="3324" max="3324" width="9.33203125" style="542"/>
    <col min="3325" max="3325" width="21.6640625" style="542" customWidth="1"/>
    <col min="3326" max="3326" width="13.5" style="542" customWidth="1"/>
    <col min="3327" max="3327" width="10.5" style="542" customWidth="1"/>
    <col min="3328" max="3328" width="15.1640625" style="542" customWidth="1"/>
    <col min="3329" max="3329" width="3.6640625" style="542" customWidth="1"/>
    <col min="3330" max="3330" width="13.1640625" style="542" customWidth="1"/>
    <col min="3331" max="3331" width="3.83203125" style="542" customWidth="1"/>
    <col min="3332" max="3332" width="15" style="542" customWidth="1"/>
    <col min="3333" max="3333" width="3.6640625" style="542" customWidth="1"/>
    <col min="3334" max="3335" width="13" style="542" customWidth="1"/>
    <col min="3336" max="3336" width="0" style="542" hidden="1" customWidth="1"/>
    <col min="3337" max="3338" width="9.33203125" style="542"/>
    <col min="3339" max="3339" width="15.83203125" style="542" customWidth="1"/>
    <col min="3340" max="3578" width="9.33203125" style="542"/>
    <col min="3579" max="3579" width="5" style="542" customWidth="1"/>
    <col min="3580" max="3580" width="9.33203125" style="542"/>
    <col min="3581" max="3581" width="21.6640625" style="542" customWidth="1"/>
    <col min="3582" max="3582" width="13.5" style="542" customWidth="1"/>
    <col min="3583" max="3583" width="10.5" style="542" customWidth="1"/>
    <col min="3584" max="3584" width="15.1640625" style="542" customWidth="1"/>
    <col min="3585" max="3585" width="3.6640625" style="542" customWidth="1"/>
    <col min="3586" max="3586" width="13.1640625" style="542" customWidth="1"/>
    <col min="3587" max="3587" width="3.83203125" style="542" customWidth="1"/>
    <col min="3588" max="3588" width="15" style="542" customWidth="1"/>
    <col min="3589" max="3589" width="3.6640625" style="542" customWidth="1"/>
    <col min="3590" max="3591" width="13" style="542" customWidth="1"/>
    <col min="3592" max="3592" width="0" style="542" hidden="1" customWidth="1"/>
    <col min="3593" max="3594" width="9.33203125" style="542"/>
    <col min="3595" max="3595" width="15.83203125" style="542" customWidth="1"/>
    <col min="3596" max="3834" width="9.33203125" style="542"/>
    <col min="3835" max="3835" width="5" style="542" customWidth="1"/>
    <col min="3836" max="3836" width="9.33203125" style="542"/>
    <col min="3837" max="3837" width="21.6640625" style="542" customWidth="1"/>
    <col min="3838" max="3838" width="13.5" style="542" customWidth="1"/>
    <col min="3839" max="3839" width="10.5" style="542" customWidth="1"/>
    <col min="3840" max="3840" width="15.1640625" style="542" customWidth="1"/>
    <col min="3841" max="3841" width="3.6640625" style="542" customWidth="1"/>
    <col min="3842" max="3842" width="13.1640625" style="542" customWidth="1"/>
    <col min="3843" max="3843" width="3.83203125" style="542" customWidth="1"/>
    <col min="3844" max="3844" width="15" style="542" customWidth="1"/>
    <col min="3845" max="3845" width="3.6640625" style="542" customWidth="1"/>
    <col min="3846" max="3847" width="13" style="542" customWidth="1"/>
    <col min="3848" max="3848" width="0" style="542" hidden="1" customWidth="1"/>
    <col min="3849" max="3850" width="9.33203125" style="542"/>
    <col min="3851" max="3851" width="15.83203125" style="542" customWidth="1"/>
    <col min="3852" max="4090" width="9.33203125" style="542"/>
    <col min="4091" max="4091" width="5" style="542" customWidth="1"/>
    <col min="4092" max="4092" width="9.33203125" style="542"/>
    <col min="4093" max="4093" width="21.6640625" style="542" customWidth="1"/>
    <col min="4094" max="4094" width="13.5" style="542" customWidth="1"/>
    <col min="4095" max="4095" width="10.5" style="542" customWidth="1"/>
    <col min="4096" max="4096" width="15.1640625" style="542" customWidth="1"/>
    <col min="4097" max="4097" width="3.6640625" style="542" customWidth="1"/>
    <col min="4098" max="4098" width="13.1640625" style="542" customWidth="1"/>
    <col min="4099" max="4099" width="3.83203125" style="542" customWidth="1"/>
    <col min="4100" max="4100" width="15" style="542" customWidth="1"/>
    <col min="4101" max="4101" width="3.6640625" style="542" customWidth="1"/>
    <col min="4102" max="4103" width="13" style="542" customWidth="1"/>
    <col min="4104" max="4104" width="0" style="542" hidden="1" customWidth="1"/>
    <col min="4105" max="4106" width="9.33203125" style="542"/>
    <col min="4107" max="4107" width="15.83203125" style="542" customWidth="1"/>
    <col min="4108" max="4346" width="9.33203125" style="542"/>
    <col min="4347" max="4347" width="5" style="542" customWidth="1"/>
    <col min="4348" max="4348" width="9.33203125" style="542"/>
    <col min="4349" max="4349" width="21.6640625" style="542" customWidth="1"/>
    <col min="4350" max="4350" width="13.5" style="542" customWidth="1"/>
    <col min="4351" max="4351" width="10.5" style="542" customWidth="1"/>
    <col min="4352" max="4352" width="15.1640625" style="542" customWidth="1"/>
    <col min="4353" max="4353" width="3.6640625" style="542" customWidth="1"/>
    <col min="4354" max="4354" width="13.1640625" style="542" customWidth="1"/>
    <col min="4355" max="4355" width="3.83203125" style="542" customWidth="1"/>
    <col min="4356" max="4356" width="15" style="542" customWidth="1"/>
    <col min="4357" max="4357" width="3.6640625" style="542" customWidth="1"/>
    <col min="4358" max="4359" width="13" style="542" customWidth="1"/>
    <col min="4360" max="4360" width="0" style="542" hidden="1" customWidth="1"/>
    <col min="4361" max="4362" width="9.33203125" style="542"/>
    <col min="4363" max="4363" width="15.83203125" style="542" customWidth="1"/>
    <col min="4364" max="4602" width="9.33203125" style="542"/>
    <col min="4603" max="4603" width="5" style="542" customWidth="1"/>
    <col min="4604" max="4604" width="9.33203125" style="542"/>
    <col min="4605" max="4605" width="21.6640625" style="542" customWidth="1"/>
    <col min="4606" max="4606" width="13.5" style="542" customWidth="1"/>
    <col min="4607" max="4607" width="10.5" style="542" customWidth="1"/>
    <col min="4608" max="4608" width="15.1640625" style="542" customWidth="1"/>
    <col min="4609" max="4609" width="3.6640625" style="542" customWidth="1"/>
    <col min="4610" max="4610" width="13.1640625" style="542" customWidth="1"/>
    <col min="4611" max="4611" width="3.83203125" style="542" customWidth="1"/>
    <col min="4612" max="4612" width="15" style="542" customWidth="1"/>
    <col min="4613" max="4613" width="3.6640625" style="542" customWidth="1"/>
    <col min="4614" max="4615" width="13" style="542" customWidth="1"/>
    <col min="4616" max="4616" width="0" style="542" hidden="1" customWidth="1"/>
    <col min="4617" max="4618" width="9.33203125" style="542"/>
    <col min="4619" max="4619" width="15.83203125" style="542" customWidth="1"/>
    <col min="4620" max="4858" width="9.33203125" style="542"/>
    <col min="4859" max="4859" width="5" style="542" customWidth="1"/>
    <col min="4860" max="4860" width="9.33203125" style="542"/>
    <col min="4861" max="4861" width="21.6640625" style="542" customWidth="1"/>
    <col min="4862" max="4862" width="13.5" style="542" customWidth="1"/>
    <col min="4863" max="4863" width="10.5" style="542" customWidth="1"/>
    <col min="4864" max="4864" width="15.1640625" style="542" customWidth="1"/>
    <col min="4865" max="4865" width="3.6640625" style="542" customWidth="1"/>
    <col min="4866" max="4866" width="13.1640625" style="542" customWidth="1"/>
    <col min="4867" max="4867" width="3.83203125" style="542" customWidth="1"/>
    <col min="4868" max="4868" width="15" style="542" customWidth="1"/>
    <col min="4869" max="4869" width="3.6640625" style="542" customWidth="1"/>
    <col min="4870" max="4871" width="13" style="542" customWidth="1"/>
    <col min="4872" max="4872" width="0" style="542" hidden="1" customWidth="1"/>
    <col min="4873" max="4874" width="9.33203125" style="542"/>
    <col min="4875" max="4875" width="15.83203125" style="542" customWidth="1"/>
    <col min="4876" max="5114" width="9.33203125" style="542"/>
    <col min="5115" max="5115" width="5" style="542" customWidth="1"/>
    <col min="5116" max="5116" width="9.33203125" style="542"/>
    <col min="5117" max="5117" width="21.6640625" style="542" customWidth="1"/>
    <col min="5118" max="5118" width="13.5" style="542" customWidth="1"/>
    <col min="5119" max="5119" width="10.5" style="542" customWidth="1"/>
    <col min="5120" max="5120" width="15.1640625" style="542" customWidth="1"/>
    <col min="5121" max="5121" width="3.6640625" style="542" customWidth="1"/>
    <col min="5122" max="5122" width="13.1640625" style="542" customWidth="1"/>
    <col min="5123" max="5123" width="3.83203125" style="542" customWidth="1"/>
    <col min="5124" max="5124" width="15" style="542" customWidth="1"/>
    <col min="5125" max="5125" width="3.6640625" style="542" customWidth="1"/>
    <col min="5126" max="5127" width="13" style="542" customWidth="1"/>
    <col min="5128" max="5128" width="0" style="542" hidden="1" customWidth="1"/>
    <col min="5129" max="5130" width="9.33203125" style="542"/>
    <col min="5131" max="5131" width="15.83203125" style="542" customWidth="1"/>
    <col min="5132" max="5370" width="9.33203125" style="542"/>
    <col min="5371" max="5371" width="5" style="542" customWidth="1"/>
    <col min="5372" max="5372" width="9.33203125" style="542"/>
    <col min="5373" max="5373" width="21.6640625" style="542" customWidth="1"/>
    <col min="5374" max="5374" width="13.5" style="542" customWidth="1"/>
    <col min="5375" max="5375" width="10.5" style="542" customWidth="1"/>
    <col min="5376" max="5376" width="15.1640625" style="542" customWidth="1"/>
    <col min="5377" max="5377" width="3.6640625" style="542" customWidth="1"/>
    <col min="5378" max="5378" width="13.1640625" style="542" customWidth="1"/>
    <col min="5379" max="5379" width="3.83203125" style="542" customWidth="1"/>
    <col min="5380" max="5380" width="15" style="542" customWidth="1"/>
    <col min="5381" max="5381" width="3.6640625" style="542" customWidth="1"/>
    <col min="5382" max="5383" width="13" style="542" customWidth="1"/>
    <col min="5384" max="5384" width="0" style="542" hidden="1" customWidth="1"/>
    <col min="5385" max="5386" width="9.33203125" style="542"/>
    <col min="5387" max="5387" width="15.83203125" style="542" customWidth="1"/>
    <col min="5388" max="5626" width="9.33203125" style="542"/>
    <col min="5627" max="5627" width="5" style="542" customWidth="1"/>
    <col min="5628" max="5628" width="9.33203125" style="542"/>
    <col min="5629" max="5629" width="21.6640625" style="542" customWidth="1"/>
    <col min="5630" max="5630" width="13.5" style="542" customWidth="1"/>
    <col min="5631" max="5631" width="10.5" style="542" customWidth="1"/>
    <col min="5632" max="5632" width="15.1640625" style="542" customWidth="1"/>
    <col min="5633" max="5633" width="3.6640625" style="542" customWidth="1"/>
    <col min="5634" max="5634" width="13.1640625" style="542" customWidth="1"/>
    <col min="5635" max="5635" width="3.83203125" style="542" customWidth="1"/>
    <col min="5636" max="5636" width="15" style="542" customWidth="1"/>
    <col min="5637" max="5637" width="3.6640625" style="542" customWidth="1"/>
    <col min="5638" max="5639" width="13" style="542" customWidth="1"/>
    <col min="5640" max="5640" width="0" style="542" hidden="1" customWidth="1"/>
    <col min="5641" max="5642" width="9.33203125" style="542"/>
    <col min="5643" max="5643" width="15.83203125" style="542" customWidth="1"/>
    <col min="5644" max="5882" width="9.33203125" style="542"/>
    <col min="5883" max="5883" width="5" style="542" customWidth="1"/>
    <col min="5884" max="5884" width="9.33203125" style="542"/>
    <col min="5885" max="5885" width="21.6640625" style="542" customWidth="1"/>
    <col min="5886" max="5886" width="13.5" style="542" customWidth="1"/>
    <col min="5887" max="5887" width="10.5" style="542" customWidth="1"/>
    <col min="5888" max="5888" width="15.1640625" style="542" customWidth="1"/>
    <col min="5889" max="5889" width="3.6640625" style="542" customWidth="1"/>
    <col min="5890" max="5890" width="13.1640625" style="542" customWidth="1"/>
    <col min="5891" max="5891" width="3.83203125" style="542" customWidth="1"/>
    <col min="5892" max="5892" width="15" style="542" customWidth="1"/>
    <col min="5893" max="5893" width="3.6640625" style="542" customWidth="1"/>
    <col min="5894" max="5895" width="13" style="542" customWidth="1"/>
    <col min="5896" max="5896" width="0" style="542" hidden="1" customWidth="1"/>
    <col min="5897" max="5898" width="9.33203125" style="542"/>
    <col min="5899" max="5899" width="15.83203125" style="542" customWidth="1"/>
    <col min="5900" max="6138" width="9.33203125" style="542"/>
    <col min="6139" max="6139" width="5" style="542" customWidth="1"/>
    <col min="6140" max="6140" width="9.33203125" style="542"/>
    <col min="6141" max="6141" width="21.6640625" style="542" customWidth="1"/>
    <col min="6142" max="6142" width="13.5" style="542" customWidth="1"/>
    <col min="6143" max="6143" width="10.5" style="542" customWidth="1"/>
    <col min="6144" max="6144" width="15.1640625" style="542" customWidth="1"/>
    <col min="6145" max="6145" width="3.6640625" style="542" customWidth="1"/>
    <col min="6146" max="6146" width="13.1640625" style="542" customWidth="1"/>
    <col min="6147" max="6147" width="3.83203125" style="542" customWidth="1"/>
    <col min="6148" max="6148" width="15" style="542" customWidth="1"/>
    <col min="6149" max="6149" width="3.6640625" style="542" customWidth="1"/>
    <col min="6150" max="6151" width="13" style="542" customWidth="1"/>
    <col min="6152" max="6152" width="0" style="542" hidden="1" customWidth="1"/>
    <col min="6153" max="6154" width="9.33203125" style="542"/>
    <col min="6155" max="6155" width="15.83203125" style="542" customWidth="1"/>
    <col min="6156" max="6394" width="9.33203125" style="542"/>
    <col min="6395" max="6395" width="5" style="542" customWidth="1"/>
    <col min="6396" max="6396" width="9.33203125" style="542"/>
    <col min="6397" max="6397" width="21.6640625" style="542" customWidth="1"/>
    <col min="6398" max="6398" width="13.5" style="542" customWidth="1"/>
    <col min="6399" max="6399" width="10.5" style="542" customWidth="1"/>
    <col min="6400" max="6400" width="15.1640625" style="542" customWidth="1"/>
    <col min="6401" max="6401" width="3.6640625" style="542" customWidth="1"/>
    <col min="6402" max="6402" width="13.1640625" style="542" customWidth="1"/>
    <col min="6403" max="6403" width="3.83203125" style="542" customWidth="1"/>
    <col min="6404" max="6404" width="15" style="542" customWidth="1"/>
    <col min="6405" max="6405" width="3.6640625" style="542" customWidth="1"/>
    <col min="6406" max="6407" width="13" style="542" customWidth="1"/>
    <col min="6408" max="6408" width="0" style="542" hidden="1" customWidth="1"/>
    <col min="6409" max="6410" width="9.33203125" style="542"/>
    <col min="6411" max="6411" width="15.83203125" style="542" customWidth="1"/>
    <col min="6412" max="6650" width="9.33203125" style="542"/>
    <col min="6651" max="6651" width="5" style="542" customWidth="1"/>
    <col min="6652" max="6652" width="9.33203125" style="542"/>
    <col min="6653" max="6653" width="21.6640625" style="542" customWidth="1"/>
    <col min="6654" max="6654" width="13.5" style="542" customWidth="1"/>
    <col min="6655" max="6655" width="10.5" style="542" customWidth="1"/>
    <col min="6656" max="6656" width="15.1640625" style="542" customWidth="1"/>
    <col min="6657" max="6657" width="3.6640625" style="542" customWidth="1"/>
    <col min="6658" max="6658" width="13.1640625" style="542" customWidth="1"/>
    <col min="6659" max="6659" width="3.83203125" style="542" customWidth="1"/>
    <col min="6660" max="6660" width="15" style="542" customWidth="1"/>
    <col min="6661" max="6661" width="3.6640625" style="542" customWidth="1"/>
    <col min="6662" max="6663" width="13" style="542" customWidth="1"/>
    <col min="6664" max="6664" width="0" style="542" hidden="1" customWidth="1"/>
    <col min="6665" max="6666" width="9.33203125" style="542"/>
    <col min="6667" max="6667" width="15.83203125" style="542" customWidth="1"/>
    <col min="6668" max="6906" width="9.33203125" style="542"/>
    <col min="6907" max="6907" width="5" style="542" customWidth="1"/>
    <col min="6908" max="6908" width="9.33203125" style="542"/>
    <col min="6909" max="6909" width="21.6640625" style="542" customWidth="1"/>
    <col min="6910" max="6910" width="13.5" style="542" customWidth="1"/>
    <col min="6911" max="6911" width="10.5" style="542" customWidth="1"/>
    <col min="6912" max="6912" width="15.1640625" style="542" customWidth="1"/>
    <col min="6913" max="6913" width="3.6640625" style="542" customWidth="1"/>
    <col min="6914" max="6914" width="13.1640625" style="542" customWidth="1"/>
    <col min="6915" max="6915" width="3.83203125" style="542" customWidth="1"/>
    <col min="6916" max="6916" width="15" style="542" customWidth="1"/>
    <col min="6917" max="6917" width="3.6640625" style="542" customWidth="1"/>
    <col min="6918" max="6919" width="13" style="542" customWidth="1"/>
    <col min="6920" max="6920" width="0" style="542" hidden="1" customWidth="1"/>
    <col min="6921" max="6922" width="9.33203125" style="542"/>
    <col min="6923" max="6923" width="15.83203125" style="542" customWidth="1"/>
    <col min="6924" max="7162" width="9.33203125" style="542"/>
    <col min="7163" max="7163" width="5" style="542" customWidth="1"/>
    <col min="7164" max="7164" width="9.33203125" style="542"/>
    <col min="7165" max="7165" width="21.6640625" style="542" customWidth="1"/>
    <col min="7166" max="7166" width="13.5" style="542" customWidth="1"/>
    <col min="7167" max="7167" width="10.5" style="542" customWidth="1"/>
    <col min="7168" max="7168" width="15.1640625" style="542" customWidth="1"/>
    <col min="7169" max="7169" width="3.6640625" style="542" customWidth="1"/>
    <col min="7170" max="7170" width="13.1640625" style="542" customWidth="1"/>
    <col min="7171" max="7171" width="3.83203125" style="542" customWidth="1"/>
    <col min="7172" max="7172" width="15" style="542" customWidth="1"/>
    <col min="7173" max="7173" width="3.6640625" style="542" customWidth="1"/>
    <col min="7174" max="7175" width="13" style="542" customWidth="1"/>
    <col min="7176" max="7176" width="0" style="542" hidden="1" customWidth="1"/>
    <col min="7177" max="7178" width="9.33203125" style="542"/>
    <col min="7179" max="7179" width="15.83203125" style="542" customWidth="1"/>
    <col min="7180" max="7418" width="9.33203125" style="542"/>
    <col min="7419" max="7419" width="5" style="542" customWidth="1"/>
    <col min="7420" max="7420" width="9.33203125" style="542"/>
    <col min="7421" max="7421" width="21.6640625" style="542" customWidth="1"/>
    <col min="7422" max="7422" width="13.5" style="542" customWidth="1"/>
    <col min="7423" max="7423" width="10.5" style="542" customWidth="1"/>
    <col min="7424" max="7424" width="15.1640625" style="542" customWidth="1"/>
    <col min="7425" max="7425" width="3.6640625" style="542" customWidth="1"/>
    <col min="7426" max="7426" width="13.1640625" style="542" customWidth="1"/>
    <col min="7427" max="7427" width="3.83203125" style="542" customWidth="1"/>
    <col min="7428" max="7428" width="15" style="542" customWidth="1"/>
    <col min="7429" max="7429" width="3.6640625" style="542" customWidth="1"/>
    <col min="7430" max="7431" width="13" style="542" customWidth="1"/>
    <col min="7432" max="7432" width="0" style="542" hidden="1" customWidth="1"/>
    <col min="7433" max="7434" width="9.33203125" style="542"/>
    <col min="7435" max="7435" width="15.83203125" style="542" customWidth="1"/>
    <col min="7436" max="7674" width="9.33203125" style="542"/>
    <col min="7675" max="7675" width="5" style="542" customWidth="1"/>
    <col min="7676" max="7676" width="9.33203125" style="542"/>
    <col min="7677" max="7677" width="21.6640625" style="542" customWidth="1"/>
    <col min="7678" max="7678" width="13.5" style="542" customWidth="1"/>
    <col min="7679" max="7679" width="10.5" style="542" customWidth="1"/>
    <col min="7680" max="7680" width="15.1640625" style="542" customWidth="1"/>
    <col min="7681" max="7681" width="3.6640625" style="542" customWidth="1"/>
    <col min="7682" max="7682" width="13.1640625" style="542" customWidth="1"/>
    <col min="7683" max="7683" width="3.83203125" style="542" customWidth="1"/>
    <col min="7684" max="7684" width="15" style="542" customWidth="1"/>
    <col min="7685" max="7685" width="3.6640625" style="542" customWidth="1"/>
    <col min="7686" max="7687" width="13" style="542" customWidth="1"/>
    <col min="7688" max="7688" width="0" style="542" hidden="1" customWidth="1"/>
    <col min="7689" max="7690" width="9.33203125" style="542"/>
    <col min="7691" max="7691" width="15.83203125" style="542" customWidth="1"/>
    <col min="7692" max="7930" width="9.33203125" style="542"/>
    <col min="7931" max="7931" width="5" style="542" customWidth="1"/>
    <col min="7932" max="7932" width="9.33203125" style="542"/>
    <col min="7933" max="7933" width="21.6640625" style="542" customWidth="1"/>
    <col min="7934" max="7934" width="13.5" style="542" customWidth="1"/>
    <col min="7935" max="7935" width="10.5" style="542" customWidth="1"/>
    <col min="7936" max="7936" width="15.1640625" style="542" customWidth="1"/>
    <col min="7937" max="7937" width="3.6640625" style="542" customWidth="1"/>
    <col min="7938" max="7938" width="13.1640625" style="542" customWidth="1"/>
    <col min="7939" max="7939" width="3.83203125" style="542" customWidth="1"/>
    <col min="7940" max="7940" width="15" style="542" customWidth="1"/>
    <col min="7941" max="7941" width="3.6640625" style="542" customWidth="1"/>
    <col min="7942" max="7943" width="13" style="542" customWidth="1"/>
    <col min="7944" max="7944" width="0" style="542" hidden="1" customWidth="1"/>
    <col min="7945" max="7946" width="9.33203125" style="542"/>
    <col min="7947" max="7947" width="15.83203125" style="542" customWidth="1"/>
    <col min="7948" max="8186" width="9.33203125" style="542"/>
    <col min="8187" max="8187" width="5" style="542" customWidth="1"/>
    <col min="8188" max="8188" width="9.33203125" style="542"/>
    <col min="8189" max="8189" width="21.6640625" style="542" customWidth="1"/>
    <col min="8190" max="8190" width="13.5" style="542" customWidth="1"/>
    <col min="8191" max="8191" width="10.5" style="542" customWidth="1"/>
    <col min="8192" max="8192" width="15.1640625" style="542" customWidth="1"/>
    <col min="8193" max="8193" width="3.6640625" style="542" customWidth="1"/>
    <col min="8194" max="8194" width="13.1640625" style="542" customWidth="1"/>
    <col min="8195" max="8195" width="3.83203125" style="542" customWidth="1"/>
    <col min="8196" max="8196" width="15" style="542" customWidth="1"/>
    <col min="8197" max="8197" width="3.6640625" style="542" customWidth="1"/>
    <col min="8198" max="8199" width="13" style="542" customWidth="1"/>
    <col min="8200" max="8200" width="0" style="542" hidden="1" customWidth="1"/>
    <col min="8201" max="8202" width="9.33203125" style="542"/>
    <col min="8203" max="8203" width="15.83203125" style="542" customWidth="1"/>
    <col min="8204" max="8442" width="9.33203125" style="542"/>
    <col min="8443" max="8443" width="5" style="542" customWidth="1"/>
    <col min="8444" max="8444" width="9.33203125" style="542"/>
    <col min="8445" max="8445" width="21.6640625" style="542" customWidth="1"/>
    <col min="8446" max="8446" width="13.5" style="542" customWidth="1"/>
    <col min="8447" max="8447" width="10.5" style="542" customWidth="1"/>
    <col min="8448" max="8448" width="15.1640625" style="542" customWidth="1"/>
    <col min="8449" max="8449" width="3.6640625" style="542" customWidth="1"/>
    <col min="8450" max="8450" width="13.1640625" style="542" customWidth="1"/>
    <col min="8451" max="8451" width="3.83203125" style="542" customWidth="1"/>
    <col min="8452" max="8452" width="15" style="542" customWidth="1"/>
    <col min="8453" max="8453" width="3.6640625" style="542" customWidth="1"/>
    <col min="8454" max="8455" width="13" style="542" customWidth="1"/>
    <col min="8456" max="8456" width="0" style="542" hidden="1" customWidth="1"/>
    <col min="8457" max="8458" width="9.33203125" style="542"/>
    <col min="8459" max="8459" width="15.83203125" style="542" customWidth="1"/>
    <col min="8460" max="8698" width="9.33203125" style="542"/>
    <col min="8699" max="8699" width="5" style="542" customWidth="1"/>
    <col min="8700" max="8700" width="9.33203125" style="542"/>
    <col min="8701" max="8701" width="21.6640625" style="542" customWidth="1"/>
    <col min="8702" max="8702" width="13.5" style="542" customWidth="1"/>
    <col min="8703" max="8703" width="10.5" style="542" customWidth="1"/>
    <col min="8704" max="8704" width="15.1640625" style="542" customWidth="1"/>
    <col min="8705" max="8705" width="3.6640625" style="542" customWidth="1"/>
    <col min="8706" max="8706" width="13.1640625" style="542" customWidth="1"/>
    <col min="8707" max="8707" width="3.83203125" style="542" customWidth="1"/>
    <col min="8708" max="8708" width="15" style="542" customWidth="1"/>
    <col min="8709" max="8709" width="3.6640625" style="542" customWidth="1"/>
    <col min="8710" max="8711" width="13" style="542" customWidth="1"/>
    <col min="8712" max="8712" width="0" style="542" hidden="1" customWidth="1"/>
    <col min="8713" max="8714" width="9.33203125" style="542"/>
    <col min="8715" max="8715" width="15.83203125" style="542" customWidth="1"/>
    <col min="8716" max="8954" width="9.33203125" style="542"/>
    <col min="8955" max="8955" width="5" style="542" customWidth="1"/>
    <col min="8956" max="8956" width="9.33203125" style="542"/>
    <col min="8957" max="8957" width="21.6640625" style="542" customWidth="1"/>
    <col min="8958" max="8958" width="13.5" style="542" customWidth="1"/>
    <col min="8959" max="8959" width="10.5" style="542" customWidth="1"/>
    <col min="8960" max="8960" width="15.1640625" style="542" customWidth="1"/>
    <col min="8961" max="8961" width="3.6640625" style="542" customWidth="1"/>
    <col min="8962" max="8962" width="13.1640625" style="542" customWidth="1"/>
    <col min="8963" max="8963" width="3.83203125" style="542" customWidth="1"/>
    <col min="8964" max="8964" width="15" style="542" customWidth="1"/>
    <col min="8965" max="8965" width="3.6640625" style="542" customWidth="1"/>
    <col min="8966" max="8967" width="13" style="542" customWidth="1"/>
    <col min="8968" max="8968" width="0" style="542" hidden="1" customWidth="1"/>
    <col min="8969" max="8970" width="9.33203125" style="542"/>
    <col min="8971" max="8971" width="15.83203125" style="542" customWidth="1"/>
    <col min="8972" max="9210" width="9.33203125" style="542"/>
    <col min="9211" max="9211" width="5" style="542" customWidth="1"/>
    <col min="9212" max="9212" width="9.33203125" style="542"/>
    <col min="9213" max="9213" width="21.6640625" style="542" customWidth="1"/>
    <col min="9214" max="9214" width="13.5" style="542" customWidth="1"/>
    <col min="9215" max="9215" width="10.5" style="542" customWidth="1"/>
    <col min="9216" max="9216" width="15.1640625" style="542" customWidth="1"/>
    <col min="9217" max="9217" width="3.6640625" style="542" customWidth="1"/>
    <col min="9218" max="9218" width="13.1640625" style="542" customWidth="1"/>
    <col min="9219" max="9219" width="3.83203125" style="542" customWidth="1"/>
    <col min="9220" max="9220" width="15" style="542" customWidth="1"/>
    <col min="9221" max="9221" width="3.6640625" style="542" customWidth="1"/>
    <col min="9222" max="9223" width="13" style="542" customWidth="1"/>
    <col min="9224" max="9224" width="0" style="542" hidden="1" customWidth="1"/>
    <col min="9225" max="9226" width="9.33203125" style="542"/>
    <col min="9227" max="9227" width="15.83203125" style="542" customWidth="1"/>
    <col min="9228" max="9466" width="9.33203125" style="542"/>
    <col min="9467" max="9467" width="5" style="542" customWidth="1"/>
    <col min="9468" max="9468" width="9.33203125" style="542"/>
    <col min="9469" max="9469" width="21.6640625" style="542" customWidth="1"/>
    <col min="9470" max="9470" width="13.5" style="542" customWidth="1"/>
    <col min="9471" max="9471" width="10.5" style="542" customWidth="1"/>
    <col min="9472" max="9472" width="15.1640625" style="542" customWidth="1"/>
    <col min="9473" max="9473" width="3.6640625" style="542" customWidth="1"/>
    <col min="9474" max="9474" width="13.1640625" style="542" customWidth="1"/>
    <col min="9475" max="9475" width="3.83203125" style="542" customWidth="1"/>
    <col min="9476" max="9476" width="15" style="542" customWidth="1"/>
    <col min="9477" max="9477" width="3.6640625" style="542" customWidth="1"/>
    <col min="9478" max="9479" width="13" style="542" customWidth="1"/>
    <col min="9480" max="9480" width="0" style="542" hidden="1" customWidth="1"/>
    <col min="9481" max="9482" width="9.33203125" style="542"/>
    <col min="9483" max="9483" width="15.83203125" style="542" customWidth="1"/>
    <col min="9484" max="9722" width="9.33203125" style="542"/>
    <col min="9723" max="9723" width="5" style="542" customWidth="1"/>
    <col min="9724" max="9724" width="9.33203125" style="542"/>
    <col min="9725" max="9725" width="21.6640625" style="542" customWidth="1"/>
    <col min="9726" max="9726" width="13.5" style="542" customWidth="1"/>
    <col min="9727" max="9727" width="10.5" style="542" customWidth="1"/>
    <col min="9728" max="9728" width="15.1640625" style="542" customWidth="1"/>
    <col min="9729" max="9729" width="3.6640625" style="542" customWidth="1"/>
    <col min="9730" max="9730" width="13.1640625" style="542" customWidth="1"/>
    <col min="9731" max="9731" width="3.83203125" style="542" customWidth="1"/>
    <col min="9732" max="9732" width="15" style="542" customWidth="1"/>
    <col min="9733" max="9733" width="3.6640625" style="542" customWidth="1"/>
    <col min="9734" max="9735" width="13" style="542" customWidth="1"/>
    <col min="9736" max="9736" width="0" style="542" hidden="1" customWidth="1"/>
    <col min="9737" max="9738" width="9.33203125" style="542"/>
    <col min="9739" max="9739" width="15.83203125" style="542" customWidth="1"/>
    <col min="9740" max="9978" width="9.33203125" style="542"/>
    <col min="9979" max="9979" width="5" style="542" customWidth="1"/>
    <col min="9980" max="9980" width="9.33203125" style="542"/>
    <col min="9981" max="9981" width="21.6640625" style="542" customWidth="1"/>
    <col min="9982" max="9982" width="13.5" style="542" customWidth="1"/>
    <col min="9983" max="9983" width="10.5" style="542" customWidth="1"/>
    <col min="9984" max="9984" width="15.1640625" style="542" customWidth="1"/>
    <col min="9985" max="9985" width="3.6640625" style="542" customWidth="1"/>
    <col min="9986" max="9986" width="13.1640625" style="542" customWidth="1"/>
    <col min="9987" max="9987" width="3.83203125" style="542" customWidth="1"/>
    <col min="9988" max="9988" width="15" style="542" customWidth="1"/>
    <col min="9989" max="9989" width="3.6640625" style="542" customWidth="1"/>
    <col min="9990" max="9991" width="13" style="542" customWidth="1"/>
    <col min="9992" max="9992" width="0" style="542" hidden="1" customWidth="1"/>
    <col min="9993" max="9994" width="9.33203125" style="542"/>
    <col min="9995" max="9995" width="15.83203125" style="542" customWidth="1"/>
    <col min="9996" max="10234" width="9.33203125" style="542"/>
    <col min="10235" max="10235" width="5" style="542" customWidth="1"/>
    <col min="10236" max="10236" width="9.33203125" style="542"/>
    <col min="10237" max="10237" width="21.6640625" style="542" customWidth="1"/>
    <col min="10238" max="10238" width="13.5" style="542" customWidth="1"/>
    <col min="10239" max="10239" width="10.5" style="542" customWidth="1"/>
    <col min="10240" max="10240" width="15.1640625" style="542" customWidth="1"/>
    <col min="10241" max="10241" width="3.6640625" style="542" customWidth="1"/>
    <col min="10242" max="10242" width="13.1640625" style="542" customWidth="1"/>
    <col min="10243" max="10243" width="3.83203125" style="542" customWidth="1"/>
    <col min="10244" max="10244" width="15" style="542" customWidth="1"/>
    <col min="10245" max="10245" width="3.6640625" style="542" customWidth="1"/>
    <col min="10246" max="10247" width="13" style="542" customWidth="1"/>
    <col min="10248" max="10248" width="0" style="542" hidden="1" customWidth="1"/>
    <col min="10249" max="10250" width="9.33203125" style="542"/>
    <col min="10251" max="10251" width="15.83203125" style="542" customWidth="1"/>
    <col min="10252" max="10490" width="9.33203125" style="542"/>
    <col min="10491" max="10491" width="5" style="542" customWidth="1"/>
    <col min="10492" max="10492" width="9.33203125" style="542"/>
    <col min="10493" max="10493" width="21.6640625" style="542" customWidth="1"/>
    <col min="10494" max="10494" width="13.5" style="542" customWidth="1"/>
    <col min="10495" max="10495" width="10.5" style="542" customWidth="1"/>
    <col min="10496" max="10496" width="15.1640625" style="542" customWidth="1"/>
    <col min="10497" max="10497" width="3.6640625" style="542" customWidth="1"/>
    <col min="10498" max="10498" width="13.1640625" style="542" customWidth="1"/>
    <col min="10499" max="10499" width="3.83203125" style="542" customWidth="1"/>
    <col min="10500" max="10500" width="15" style="542" customWidth="1"/>
    <col min="10501" max="10501" width="3.6640625" style="542" customWidth="1"/>
    <col min="10502" max="10503" width="13" style="542" customWidth="1"/>
    <col min="10504" max="10504" width="0" style="542" hidden="1" customWidth="1"/>
    <col min="10505" max="10506" width="9.33203125" style="542"/>
    <col min="10507" max="10507" width="15.83203125" style="542" customWidth="1"/>
    <col min="10508" max="10746" width="9.33203125" style="542"/>
    <col min="10747" max="10747" width="5" style="542" customWidth="1"/>
    <col min="10748" max="10748" width="9.33203125" style="542"/>
    <col min="10749" max="10749" width="21.6640625" style="542" customWidth="1"/>
    <col min="10750" max="10750" width="13.5" style="542" customWidth="1"/>
    <col min="10751" max="10751" width="10.5" style="542" customWidth="1"/>
    <col min="10752" max="10752" width="15.1640625" style="542" customWidth="1"/>
    <col min="10753" max="10753" width="3.6640625" style="542" customWidth="1"/>
    <col min="10754" max="10754" width="13.1640625" style="542" customWidth="1"/>
    <col min="10755" max="10755" width="3.83203125" style="542" customWidth="1"/>
    <col min="10756" max="10756" width="15" style="542" customWidth="1"/>
    <col min="10757" max="10757" width="3.6640625" style="542" customWidth="1"/>
    <col min="10758" max="10759" width="13" style="542" customWidth="1"/>
    <col min="10760" max="10760" width="0" style="542" hidden="1" customWidth="1"/>
    <col min="10761" max="10762" width="9.33203125" style="542"/>
    <col min="10763" max="10763" width="15.83203125" style="542" customWidth="1"/>
    <col min="10764" max="11002" width="9.33203125" style="542"/>
    <col min="11003" max="11003" width="5" style="542" customWidth="1"/>
    <col min="11004" max="11004" width="9.33203125" style="542"/>
    <col min="11005" max="11005" width="21.6640625" style="542" customWidth="1"/>
    <col min="11006" max="11006" width="13.5" style="542" customWidth="1"/>
    <col min="11007" max="11007" width="10.5" style="542" customWidth="1"/>
    <col min="11008" max="11008" width="15.1640625" style="542" customWidth="1"/>
    <col min="11009" max="11009" width="3.6640625" style="542" customWidth="1"/>
    <col min="11010" max="11010" width="13.1640625" style="542" customWidth="1"/>
    <col min="11011" max="11011" width="3.83203125" style="542" customWidth="1"/>
    <col min="11012" max="11012" width="15" style="542" customWidth="1"/>
    <col min="11013" max="11013" width="3.6640625" style="542" customWidth="1"/>
    <col min="11014" max="11015" width="13" style="542" customWidth="1"/>
    <col min="11016" max="11016" width="0" style="542" hidden="1" customWidth="1"/>
    <col min="11017" max="11018" width="9.33203125" style="542"/>
    <col min="11019" max="11019" width="15.83203125" style="542" customWidth="1"/>
    <col min="11020" max="11258" width="9.33203125" style="542"/>
    <col min="11259" max="11259" width="5" style="542" customWidth="1"/>
    <col min="11260" max="11260" width="9.33203125" style="542"/>
    <col min="11261" max="11261" width="21.6640625" style="542" customWidth="1"/>
    <col min="11262" max="11262" width="13.5" style="542" customWidth="1"/>
    <col min="11263" max="11263" width="10.5" style="542" customWidth="1"/>
    <col min="11264" max="11264" width="15.1640625" style="542" customWidth="1"/>
    <col min="11265" max="11265" width="3.6640625" style="542" customWidth="1"/>
    <col min="11266" max="11266" width="13.1640625" style="542" customWidth="1"/>
    <col min="11267" max="11267" width="3.83203125" style="542" customWidth="1"/>
    <col min="11268" max="11268" width="15" style="542" customWidth="1"/>
    <col min="11269" max="11269" width="3.6640625" style="542" customWidth="1"/>
    <col min="11270" max="11271" width="13" style="542" customWidth="1"/>
    <col min="11272" max="11272" width="0" style="542" hidden="1" customWidth="1"/>
    <col min="11273" max="11274" width="9.33203125" style="542"/>
    <col min="11275" max="11275" width="15.83203125" style="542" customWidth="1"/>
    <col min="11276" max="11514" width="9.33203125" style="542"/>
    <col min="11515" max="11515" width="5" style="542" customWidth="1"/>
    <col min="11516" max="11516" width="9.33203125" style="542"/>
    <col min="11517" max="11517" width="21.6640625" style="542" customWidth="1"/>
    <col min="11518" max="11518" width="13.5" style="542" customWidth="1"/>
    <col min="11519" max="11519" width="10.5" style="542" customWidth="1"/>
    <col min="11520" max="11520" width="15.1640625" style="542" customWidth="1"/>
    <col min="11521" max="11521" width="3.6640625" style="542" customWidth="1"/>
    <col min="11522" max="11522" width="13.1640625" style="542" customWidth="1"/>
    <col min="11523" max="11523" width="3.83203125" style="542" customWidth="1"/>
    <col min="11524" max="11524" width="15" style="542" customWidth="1"/>
    <col min="11525" max="11525" width="3.6640625" style="542" customWidth="1"/>
    <col min="11526" max="11527" width="13" style="542" customWidth="1"/>
    <col min="11528" max="11528" width="0" style="542" hidden="1" customWidth="1"/>
    <col min="11529" max="11530" width="9.33203125" style="542"/>
    <col min="11531" max="11531" width="15.83203125" style="542" customWidth="1"/>
    <col min="11532" max="11770" width="9.33203125" style="542"/>
    <col min="11771" max="11771" width="5" style="542" customWidth="1"/>
    <col min="11772" max="11772" width="9.33203125" style="542"/>
    <col min="11773" max="11773" width="21.6640625" style="542" customWidth="1"/>
    <col min="11774" max="11774" width="13.5" style="542" customWidth="1"/>
    <col min="11775" max="11775" width="10.5" style="542" customWidth="1"/>
    <col min="11776" max="11776" width="15.1640625" style="542" customWidth="1"/>
    <col min="11777" max="11777" width="3.6640625" style="542" customWidth="1"/>
    <col min="11778" max="11778" width="13.1640625" style="542" customWidth="1"/>
    <col min="11779" max="11779" width="3.83203125" style="542" customWidth="1"/>
    <col min="11780" max="11780" width="15" style="542" customWidth="1"/>
    <col min="11781" max="11781" width="3.6640625" style="542" customWidth="1"/>
    <col min="11782" max="11783" width="13" style="542" customWidth="1"/>
    <col min="11784" max="11784" width="0" style="542" hidden="1" customWidth="1"/>
    <col min="11785" max="11786" width="9.33203125" style="542"/>
    <col min="11787" max="11787" width="15.83203125" style="542" customWidth="1"/>
    <col min="11788" max="12026" width="9.33203125" style="542"/>
    <col min="12027" max="12027" width="5" style="542" customWidth="1"/>
    <col min="12028" max="12028" width="9.33203125" style="542"/>
    <col min="12029" max="12029" width="21.6640625" style="542" customWidth="1"/>
    <col min="12030" max="12030" width="13.5" style="542" customWidth="1"/>
    <col min="12031" max="12031" width="10.5" style="542" customWidth="1"/>
    <col min="12032" max="12032" width="15.1640625" style="542" customWidth="1"/>
    <col min="12033" max="12033" width="3.6640625" style="542" customWidth="1"/>
    <col min="12034" max="12034" width="13.1640625" style="542" customWidth="1"/>
    <col min="12035" max="12035" width="3.83203125" style="542" customWidth="1"/>
    <col min="12036" max="12036" width="15" style="542" customWidth="1"/>
    <col min="12037" max="12037" width="3.6640625" style="542" customWidth="1"/>
    <col min="12038" max="12039" width="13" style="542" customWidth="1"/>
    <col min="12040" max="12040" width="0" style="542" hidden="1" customWidth="1"/>
    <col min="12041" max="12042" width="9.33203125" style="542"/>
    <col min="12043" max="12043" width="15.83203125" style="542" customWidth="1"/>
    <col min="12044" max="12282" width="9.33203125" style="542"/>
    <col min="12283" max="12283" width="5" style="542" customWidth="1"/>
    <col min="12284" max="12284" width="9.33203125" style="542"/>
    <col min="12285" max="12285" width="21.6640625" style="542" customWidth="1"/>
    <col min="12286" max="12286" width="13.5" style="542" customWidth="1"/>
    <col min="12287" max="12287" width="10.5" style="542" customWidth="1"/>
    <col min="12288" max="12288" width="15.1640625" style="542" customWidth="1"/>
    <col min="12289" max="12289" width="3.6640625" style="542" customWidth="1"/>
    <col min="12290" max="12290" width="13.1640625" style="542" customWidth="1"/>
    <col min="12291" max="12291" width="3.83203125" style="542" customWidth="1"/>
    <col min="12292" max="12292" width="15" style="542" customWidth="1"/>
    <col min="12293" max="12293" width="3.6640625" style="542" customWidth="1"/>
    <col min="12294" max="12295" width="13" style="542" customWidth="1"/>
    <col min="12296" max="12296" width="0" style="542" hidden="1" customWidth="1"/>
    <col min="12297" max="12298" width="9.33203125" style="542"/>
    <col min="12299" max="12299" width="15.83203125" style="542" customWidth="1"/>
    <col min="12300" max="12538" width="9.33203125" style="542"/>
    <col min="12539" max="12539" width="5" style="542" customWidth="1"/>
    <col min="12540" max="12540" width="9.33203125" style="542"/>
    <col min="12541" max="12541" width="21.6640625" style="542" customWidth="1"/>
    <col min="12542" max="12542" width="13.5" style="542" customWidth="1"/>
    <col min="12543" max="12543" width="10.5" style="542" customWidth="1"/>
    <col min="12544" max="12544" width="15.1640625" style="542" customWidth="1"/>
    <col min="12545" max="12545" width="3.6640625" style="542" customWidth="1"/>
    <col min="12546" max="12546" width="13.1640625" style="542" customWidth="1"/>
    <col min="12547" max="12547" width="3.83203125" style="542" customWidth="1"/>
    <col min="12548" max="12548" width="15" style="542" customWidth="1"/>
    <col min="12549" max="12549" width="3.6640625" style="542" customWidth="1"/>
    <col min="12550" max="12551" width="13" style="542" customWidth="1"/>
    <col min="12552" max="12552" width="0" style="542" hidden="1" customWidth="1"/>
    <col min="12553" max="12554" width="9.33203125" style="542"/>
    <col min="12555" max="12555" width="15.83203125" style="542" customWidth="1"/>
    <col min="12556" max="12794" width="9.33203125" style="542"/>
    <col min="12795" max="12795" width="5" style="542" customWidth="1"/>
    <col min="12796" max="12796" width="9.33203125" style="542"/>
    <col min="12797" max="12797" width="21.6640625" style="542" customWidth="1"/>
    <col min="12798" max="12798" width="13.5" style="542" customWidth="1"/>
    <col min="12799" max="12799" width="10.5" style="542" customWidth="1"/>
    <col min="12800" max="12800" width="15.1640625" style="542" customWidth="1"/>
    <col min="12801" max="12801" width="3.6640625" style="542" customWidth="1"/>
    <col min="12802" max="12802" width="13.1640625" style="542" customWidth="1"/>
    <col min="12803" max="12803" width="3.83203125" style="542" customWidth="1"/>
    <col min="12804" max="12804" width="15" style="542" customWidth="1"/>
    <col min="12805" max="12805" width="3.6640625" style="542" customWidth="1"/>
    <col min="12806" max="12807" width="13" style="542" customWidth="1"/>
    <col min="12808" max="12808" width="0" style="542" hidden="1" customWidth="1"/>
    <col min="12809" max="12810" width="9.33203125" style="542"/>
    <col min="12811" max="12811" width="15.83203125" style="542" customWidth="1"/>
    <col min="12812" max="13050" width="9.33203125" style="542"/>
    <col min="13051" max="13051" width="5" style="542" customWidth="1"/>
    <col min="13052" max="13052" width="9.33203125" style="542"/>
    <col min="13053" max="13053" width="21.6640625" style="542" customWidth="1"/>
    <col min="13054" max="13054" width="13.5" style="542" customWidth="1"/>
    <col min="13055" max="13055" width="10.5" style="542" customWidth="1"/>
    <col min="13056" max="13056" width="15.1640625" style="542" customWidth="1"/>
    <col min="13057" max="13057" width="3.6640625" style="542" customWidth="1"/>
    <col min="13058" max="13058" width="13.1640625" style="542" customWidth="1"/>
    <col min="13059" max="13059" width="3.83203125" style="542" customWidth="1"/>
    <col min="13060" max="13060" width="15" style="542" customWidth="1"/>
    <col min="13061" max="13061" width="3.6640625" style="542" customWidth="1"/>
    <col min="13062" max="13063" width="13" style="542" customWidth="1"/>
    <col min="13064" max="13064" width="0" style="542" hidden="1" customWidth="1"/>
    <col min="13065" max="13066" width="9.33203125" style="542"/>
    <col min="13067" max="13067" width="15.83203125" style="542" customWidth="1"/>
    <col min="13068" max="13306" width="9.33203125" style="542"/>
    <col min="13307" max="13307" width="5" style="542" customWidth="1"/>
    <col min="13308" max="13308" width="9.33203125" style="542"/>
    <col min="13309" max="13309" width="21.6640625" style="542" customWidth="1"/>
    <col min="13310" max="13310" width="13.5" style="542" customWidth="1"/>
    <col min="13311" max="13311" width="10.5" style="542" customWidth="1"/>
    <col min="13312" max="13312" width="15.1640625" style="542" customWidth="1"/>
    <col min="13313" max="13313" width="3.6640625" style="542" customWidth="1"/>
    <col min="13314" max="13314" width="13.1640625" style="542" customWidth="1"/>
    <col min="13315" max="13315" width="3.83203125" style="542" customWidth="1"/>
    <col min="13316" max="13316" width="15" style="542" customWidth="1"/>
    <col min="13317" max="13317" width="3.6640625" style="542" customWidth="1"/>
    <col min="13318" max="13319" width="13" style="542" customWidth="1"/>
    <col min="13320" max="13320" width="0" style="542" hidden="1" customWidth="1"/>
    <col min="13321" max="13322" width="9.33203125" style="542"/>
    <col min="13323" max="13323" width="15.83203125" style="542" customWidth="1"/>
    <col min="13324" max="13562" width="9.33203125" style="542"/>
    <col min="13563" max="13563" width="5" style="542" customWidth="1"/>
    <col min="13564" max="13564" width="9.33203125" style="542"/>
    <col min="13565" max="13565" width="21.6640625" style="542" customWidth="1"/>
    <col min="13566" max="13566" width="13.5" style="542" customWidth="1"/>
    <col min="13567" max="13567" width="10.5" style="542" customWidth="1"/>
    <col min="13568" max="13568" width="15.1640625" style="542" customWidth="1"/>
    <col min="13569" max="13569" width="3.6640625" style="542" customWidth="1"/>
    <col min="13570" max="13570" width="13.1640625" style="542" customWidth="1"/>
    <col min="13571" max="13571" width="3.83203125" style="542" customWidth="1"/>
    <col min="13572" max="13572" width="15" style="542" customWidth="1"/>
    <col min="13573" max="13573" width="3.6640625" style="542" customWidth="1"/>
    <col min="13574" max="13575" width="13" style="542" customWidth="1"/>
    <col min="13576" max="13576" width="0" style="542" hidden="1" customWidth="1"/>
    <col min="13577" max="13578" width="9.33203125" style="542"/>
    <col min="13579" max="13579" width="15.83203125" style="542" customWidth="1"/>
    <col min="13580" max="13818" width="9.33203125" style="542"/>
    <col min="13819" max="13819" width="5" style="542" customWidth="1"/>
    <col min="13820" max="13820" width="9.33203125" style="542"/>
    <col min="13821" max="13821" width="21.6640625" style="542" customWidth="1"/>
    <col min="13822" max="13822" width="13.5" style="542" customWidth="1"/>
    <col min="13823" max="13823" width="10.5" style="542" customWidth="1"/>
    <col min="13824" max="13824" width="15.1640625" style="542" customWidth="1"/>
    <col min="13825" max="13825" width="3.6640625" style="542" customWidth="1"/>
    <col min="13826" max="13826" width="13.1640625" style="542" customWidth="1"/>
    <col min="13827" max="13827" width="3.83203125" style="542" customWidth="1"/>
    <col min="13828" max="13828" width="15" style="542" customWidth="1"/>
    <col min="13829" max="13829" width="3.6640625" style="542" customWidth="1"/>
    <col min="13830" max="13831" width="13" style="542" customWidth="1"/>
    <col min="13832" max="13832" width="0" style="542" hidden="1" customWidth="1"/>
    <col min="13833" max="13834" width="9.33203125" style="542"/>
    <col min="13835" max="13835" width="15.83203125" style="542" customWidth="1"/>
    <col min="13836" max="14074" width="9.33203125" style="542"/>
    <col min="14075" max="14075" width="5" style="542" customWidth="1"/>
    <col min="14076" max="14076" width="9.33203125" style="542"/>
    <col min="14077" max="14077" width="21.6640625" style="542" customWidth="1"/>
    <col min="14078" max="14078" width="13.5" style="542" customWidth="1"/>
    <col min="14079" max="14079" width="10.5" style="542" customWidth="1"/>
    <col min="14080" max="14080" width="15.1640625" style="542" customWidth="1"/>
    <col min="14081" max="14081" width="3.6640625" style="542" customWidth="1"/>
    <col min="14082" max="14082" width="13.1640625" style="542" customWidth="1"/>
    <col min="14083" max="14083" width="3.83203125" style="542" customWidth="1"/>
    <col min="14084" max="14084" width="15" style="542" customWidth="1"/>
    <col min="14085" max="14085" width="3.6640625" style="542" customWidth="1"/>
    <col min="14086" max="14087" width="13" style="542" customWidth="1"/>
    <col min="14088" max="14088" width="0" style="542" hidden="1" customWidth="1"/>
    <col min="14089" max="14090" width="9.33203125" style="542"/>
    <col min="14091" max="14091" width="15.83203125" style="542" customWidth="1"/>
    <col min="14092" max="14330" width="9.33203125" style="542"/>
    <col min="14331" max="14331" width="5" style="542" customWidth="1"/>
    <col min="14332" max="14332" width="9.33203125" style="542"/>
    <col min="14333" max="14333" width="21.6640625" style="542" customWidth="1"/>
    <col min="14334" max="14334" width="13.5" style="542" customWidth="1"/>
    <col min="14335" max="14335" width="10.5" style="542" customWidth="1"/>
    <col min="14336" max="14336" width="15.1640625" style="542" customWidth="1"/>
    <col min="14337" max="14337" width="3.6640625" style="542" customWidth="1"/>
    <col min="14338" max="14338" width="13.1640625" style="542" customWidth="1"/>
    <col min="14339" max="14339" width="3.83203125" style="542" customWidth="1"/>
    <col min="14340" max="14340" width="15" style="542" customWidth="1"/>
    <col min="14341" max="14341" width="3.6640625" style="542" customWidth="1"/>
    <col min="14342" max="14343" width="13" style="542" customWidth="1"/>
    <col min="14344" max="14344" width="0" style="542" hidden="1" customWidth="1"/>
    <col min="14345" max="14346" width="9.33203125" style="542"/>
    <col min="14347" max="14347" width="15.83203125" style="542" customWidth="1"/>
    <col min="14348" max="14586" width="9.33203125" style="542"/>
    <col min="14587" max="14587" width="5" style="542" customWidth="1"/>
    <col min="14588" max="14588" width="9.33203125" style="542"/>
    <col min="14589" max="14589" width="21.6640625" style="542" customWidth="1"/>
    <col min="14590" max="14590" width="13.5" style="542" customWidth="1"/>
    <col min="14591" max="14591" width="10.5" style="542" customWidth="1"/>
    <col min="14592" max="14592" width="15.1640625" style="542" customWidth="1"/>
    <col min="14593" max="14593" width="3.6640625" style="542" customWidth="1"/>
    <col min="14594" max="14594" width="13.1640625" style="542" customWidth="1"/>
    <col min="14595" max="14595" width="3.83203125" style="542" customWidth="1"/>
    <col min="14596" max="14596" width="15" style="542" customWidth="1"/>
    <col min="14597" max="14597" width="3.6640625" style="542" customWidth="1"/>
    <col min="14598" max="14599" width="13" style="542" customWidth="1"/>
    <col min="14600" max="14600" width="0" style="542" hidden="1" customWidth="1"/>
    <col min="14601" max="14602" width="9.33203125" style="542"/>
    <col min="14603" max="14603" width="15.83203125" style="542" customWidth="1"/>
    <col min="14604" max="14842" width="9.33203125" style="542"/>
    <col min="14843" max="14843" width="5" style="542" customWidth="1"/>
    <col min="14844" max="14844" width="9.33203125" style="542"/>
    <col min="14845" max="14845" width="21.6640625" style="542" customWidth="1"/>
    <col min="14846" max="14846" width="13.5" style="542" customWidth="1"/>
    <col min="14847" max="14847" width="10.5" style="542" customWidth="1"/>
    <col min="14848" max="14848" width="15.1640625" style="542" customWidth="1"/>
    <col min="14849" max="14849" width="3.6640625" style="542" customWidth="1"/>
    <col min="14850" max="14850" width="13.1640625" style="542" customWidth="1"/>
    <col min="14851" max="14851" width="3.83203125" style="542" customWidth="1"/>
    <col min="14852" max="14852" width="15" style="542" customWidth="1"/>
    <col min="14853" max="14853" width="3.6640625" style="542" customWidth="1"/>
    <col min="14854" max="14855" width="13" style="542" customWidth="1"/>
    <col min="14856" max="14856" width="0" style="542" hidden="1" customWidth="1"/>
    <col min="14857" max="14858" width="9.33203125" style="542"/>
    <col min="14859" max="14859" width="15.83203125" style="542" customWidth="1"/>
    <col min="14860" max="15098" width="9.33203125" style="542"/>
    <col min="15099" max="15099" width="5" style="542" customWidth="1"/>
    <col min="15100" max="15100" width="9.33203125" style="542"/>
    <col min="15101" max="15101" width="21.6640625" style="542" customWidth="1"/>
    <col min="15102" max="15102" width="13.5" style="542" customWidth="1"/>
    <col min="15103" max="15103" width="10.5" style="542" customWidth="1"/>
    <col min="15104" max="15104" width="15.1640625" style="542" customWidth="1"/>
    <col min="15105" max="15105" width="3.6640625" style="542" customWidth="1"/>
    <col min="15106" max="15106" width="13.1640625" style="542" customWidth="1"/>
    <col min="15107" max="15107" width="3.83203125" style="542" customWidth="1"/>
    <col min="15108" max="15108" width="15" style="542" customWidth="1"/>
    <col min="15109" max="15109" width="3.6640625" style="542" customWidth="1"/>
    <col min="15110" max="15111" width="13" style="542" customWidth="1"/>
    <col min="15112" max="15112" width="0" style="542" hidden="1" customWidth="1"/>
    <col min="15113" max="15114" width="9.33203125" style="542"/>
    <col min="15115" max="15115" width="15.83203125" style="542" customWidth="1"/>
    <col min="15116" max="15354" width="9.33203125" style="542"/>
    <col min="15355" max="15355" width="5" style="542" customWidth="1"/>
    <col min="15356" max="15356" width="9.33203125" style="542"/>
    <col min="15357" max="15357" width="21.6640625" style="542" customWidth="1"/>
    <col min="15358" max="15358" width="13.5" style="542" customWidth="1"/>
    <col min="15359" max="15359" width="10.5" style="542" customWidth="1"/>
    <col min="15360" max="15360" width="15.1640625" style="542" customWidth="1"/>
    <col min="15361" max="15361" width="3.6640625" style="542" customWidth="1"/>
    <col min="15362" max="15362" width="13.1640625" style="542" customWidth="1"/>
    <col min="15363" max="15363" width="3.83203125" style="542" customWidth="1"/>
    <col min="15364" max="15364" width="15" style="542" customWidth="1"/>
    <col min="15365" max="15365" width="3.6640625" style="542" customWidth="1"/>
    <col min="15366" max="15367" width="13" style="542" customWidth="1"/>
    <col min="15368" max="15368" width="0" style="542" hidden="1" customWidth="1"/>
    <col min="15369" max="15370" width="9.33203125" style="542"/>
    <col min="15371" max="15371" width="15.83203125" style="542" customWidth="1"/>
    <col min="15372" max="15610" width="9.33203125" style="542"/>
    <col min="15611" max="15611" width="5" style="542" customWidth="1"/>
    <col min="15612" max="15612" width="9.33203125" style="542"/>
    <col min="15613" max="15613" width="21.6640625" style="542" customWidth="1"/>
    <col min="15614" max="15614" width="13.5" style="542" customWidth="1"/>
    <col min="15615" max="15615" width="10.5" style="542" customWidth="1"/>
    <col min="15616" max="15616" width="15.1640625" style="542" customWidth="1"/>
    <col min="15617" max="15617" width="3.6640625" style="542" customWidth="1"/>
    <col min="15618" max="15618" width="13.1640625" style="542" customWidth="1"/>
    <col min="15619" max="15619" width="3.83203125" style="542" customWidth="1"/>
    <col min="15620" max="15620" width="15" style="542" customWidth="1"/>
    <col min="15621" max="15621" width="3.6640625" style="542" customWidth="1"/>
    <col min="15622" max="15623" width="13" style="542" customWidth="1"/>
    <col min="15624" max="15624" width="0" style="542" hidden="1" customWidth="1"/>
    <col min="15625" max="15626" width="9.33203125" style="542"/>
    <col min="15627" max="15627" width="15.83203125" style="542" customWidth="1"/>
    <col min="15628" max="15866" width="9.33203125" style="542"/>
    <col min="15867" max="15867" width="5" style="542" customWidth="1"/>
    <col min="15868" max="15868" width="9.33203125" style="542"/>
    <col min="15869" max="15869" width="21.6640625" style="542" customWidth="1"/>
    <col min="15870" max="15870" width="13.5" style="542" customWidth="1"/>
    <col min="15871" max="15871" width="10.5" style="542" customWidth="1"/>
    <col min="15872" max="15872" width="15.1640625" style="542" customWidth="1"/>
    <col min="15873" max="15873" width="3.6640625" style="542" customWidth="1"/>
    <col min="15874" max="15874" width="13.1640625" style="542" customWidth="1"/>
    <col min="15875" max="15875" width="3.83203125" style="542" customWidth="1"/>
    <col min="15876" max="15876" width="15" style="542" customWidth="1"/>
    <col min="15877" max="15877" width="3.6640625" style="542" customWidth="1"/>
    <col min="15878" max="15879" width="13" style="542" customWidth="1"/>
    <col min="15880" max="15880" width="0" style="542" hidden="1" customWidth="1"/>
    <col min="15881" max="15882" width="9.33203125" style="542"/>
    <col min="15883" max="15883" width="15.83203125" style="542" customWidth="1"/>
    <col min="15884" max="16122" width="9.33203125" style="542"/>
    <col min="16123" max="16123" width="5" style="542" customWidth="1"/>
    <col min="16124" max="16124" width="9.33203125" style="542"/>
    <col min="16125" max="16125" width="21.6640625" style="542" customWidth="1"/>
    <col min="16126" max="16126" width="13.5" style="542" customWidth="1"/>
    <col min="16127" max="16127" width="10.5" style="542" customWidth="1"/>
    <col min="16128" max="16128" width="15.1640625" style="542" customWidth="1"/>
    <col min="16129" max="16129" width="3.6640625" style="542" customWidth="1"/>
    <col min="16130" max="16130" width="13.1640625" style="542" customWidth="1"/>
    <col min="16131" max="16131" width="3.83203125" style="542" customWidth="1"/>
    <col min="16132" max="16132" width="15" style="542" customWidth="1"/>
    <col min="16133" max="16133" width="3.6640625" style="542" customWidth="1"/>
    <col min="16134" max="16135" width="13" style="542" customWidth="1"/>
    <col min="16136" max="16136" width="0" style="542" hidden="1" customWidth="1"/>
    <col min="16137" max="16138" width="9.33203125" style="542"/>
    <col min="16139" max="16139" width="15.83203125" style="542" customWidth="1"/>
    <col min="16140" max="16384" width="9.33203125" style="542"/>
  </cols>
  <sheetData>
    <row r="2" spans="1:17">
      <c r="A2" s="542"/>
      <c r="B2" s="543"/>
      <c r="C2" s="1036" t="s">
        <v>47</v>
      </c>
      <c r="D2" s="1036"/>
      <c r="E2" s="1036"/>
      <c r="F2" s="1036"/>
      <c r="G2" s="1036"/>
      <c r="H2" s="1036"/>
      <c r="I2" s="1036"/>
      <c r="J2" s="1036"/>
      <c r="K2" s="1036"/>
      <c r="L2" s="494" t="str">
        <f>+'CPA Proposed Rate 596'!G1</f>
        <v>CNGC Advice W22-09-02</v>
      </c>
    </row>
    <row r="3" spans="1:17">
      <c r="A3" s="542"/>
      <c r="B3" s="543"/>
      <c r="C3" s="1037" t="s">
        <v>262</v>
      </c>
      <c r="D3" s="1037"/>
      <c r="E3" s="1037"/>
      <c r="F3" s="1037"/>
      <c r="G3" s="1037"/>
      <c r="H3" s="1037"/>
      <c r="I3" s="1037"/>
      <c r="J3" s="1037"/>
      <c r="K3" s="1037"/>
      <c r="L3" s="496" t="s">
        <v>254</v>
      </c>
    </row>
    <row r="4" spans="1:17">
      <c r="A4" s="542"/>
      <c r="B4" s="543"/>
      <c r="C4" s="1038" t="s">
        <v>395</v>
      </c>
      <c r="D4" s="1038"/>
      <c r="E4" s="1038"/>
      <c r="F4" s="1038"/>
      <c r="G4" s="1038"/>
      <c r="H4" s="1038"/>
      <c r="I4" s="1038"/>
      <c r="J4" s="1038"/>
      <c r="K4" s="1038"/>
      <c r="L4" s="496" t="s">
        <v>385</v>
      </c>
    </row>
    <row r="5" spans="1:17">
      <c r="A5" s="542"/>
      <c r="B5" s="543"/>
      <c r="C5" s="1036" t="s">
        <v>48</v>
      </c>
      <c r="D5" s="1036"/>
      <c r="E5" s="1036"/>
      <c r="F5" s="1036"/>
      <c r="G5" s="1036"/>
      <c r="H5" s="1036"/>
      <c r="I5" s="1036"/>
      <c r="J5" s="1036"/>
      <c r="K5" s="1036"/>
      <c r="L5" s="543" t="s">
        <v>120</v>
      </c>
    </row>
    <row r="7" spans="1:17">
      <c r="A7" s="544"/>
      <c r="B7" s="545"/>
      <c r="C7" s="546"/>
      <c r="D7" s="546"/>
      <c r="E7" s="547"/>
      <c r="F7" s="544"/>
      <c r="G7" s="548"/>
      <c r="H7" s="544"/>
      <c r="K7" s="549" t="s">
        <v>50</v>
      </c>
      <c r="L7" s="546"/>
      <c r="M7" s="550"/>
    </row>
    <row r="8" spans="1:17">
      <c r="A8" s="551" t="s">
        <v>7</v>
      </c>
      <c r="C8" s="552"/>
      <c r="D8" s="553" t="s">
        <v>46</v>
      </c>
      <c r="E8" s="554" t="s">
        <v>51</v>
      </c>
      <c r="F8" s="551" t="s">
        <v>211</v>
      </c>
      <c r="G8" s="548"/>
      <c r="H8" s="551" t="s">
        <v>53</v>
      </c>
      <c r="K8" s="555" t="s">
        <v>263</v>
      </c>
      <c r="L8" s="556" t="s">
        <v>54</v>
      </c>
      <c r="M8" s="551" t="s">
        <v>150</v>
      </c>
    </row>
    <row r="9" spans="1:17">
      <c r="A9" s="551" t="s">
        <v>9</v>
      </c>
      <c r="B9" s="543" t="s">
        <v>0</v>
      </c>
      <c r="C9" s="556"/>
      <c r="D9" s="553" t="s">
        <v>56</v>
      </c>
      <c r="E9" s="554" t="s">
        <v>57</v>
      </c>
      <c r="F9" s="551" t="s">
        <v>58</v>
      </c>
      <c r="G9" s="548"/>
      <c r="H9" s="551" t="s">
        <v>59</v>
      </c>
      <c r="K9" s="555" t="s">
        <v>60</v>
      </c>
      <c r="L9" s="556" t="s">
        <v>60</v>
      </c>
      <c r="M9" s="551" t="s">
        <v>60</v>
      </c>
    </row>
    <row r="10" spans="1:17" s="554" customFormat="1">
      <c r="A10" s="551"/>
      <c r="B10" s="1039" t="s">
        <v>14</v>
      </c>
      <c r="C10" s="1040"/>
      <c r="D10" s="553" t="s">
        <v>15</v>
      </c>
      <c r="E10" s="554" t="s">
        <v>16</v>
      </c>
      <c r="F10" s="557" t="s">
        <v>17</v>
      </c>
      <c r="G10" s="553"/>
      <c r="H10" s="557" t="s">
        <v>61</v>
      </c>
      <c r="K10" s="558" t="s">
        <v>81</v>
      </c>
      <c r="L10" s="553" t="s">
        <v>62</v>
      </c>
      <c r="M10" s="557" t="s">
        <v>63</v>
      </c>
    </row>
    <row r="11" spans="1:17">
      <c r="A11" s="559"/>
      <c r="B11" s="560" t="s">
        <v>65</v>
      </c>
      <c r="C11" s="561"/>
      <c r="D11" s="561"/>
      <c r="E11" s="561"/>
      <c r="F11" s="561"/>
      <c r="H11" s="562"/>
      <c r="K11" s="563"/>
      <c r="L11" s="561"/>
    </row>
    <row r="12" spans="1:17">
      <c r="A12" s="551">
        <v>1</v>
      </c>
      <c r="B12" s="564"/>
      <c r="C12" s="548"/>
      <c r="D12" s="553"/>
      <c r="E12" s="326"/>
      <c r="F12" s="396"/>
      <c r="G12" s="548"/>
      <c r="H12" s="397"/>
      <c r="K12" s="565"/>
      <c r="L12" s="399"/>
      <c r="M12" s="807"/>
      <c r="Q12" s="564"/>
    </row>
    <row r="13" spans="1:17">
      <c r="A13" s="551">
        <v>2</v>
      </c>
      <c r="B13" s="564" t="s">
        <v>98</v>
      </c>
      <c r="C13" s="566"/>
      <c r="D13" s="553" t="s">
        <v>67</v>
      </c>
      <c r="E13" s="326">
        <f>+'Bills-Therms-Revs'!F12</f>
        <v>200356</v>
      </c>
      <c r="F13" s="396">
        <f>+'Test Period Volumes'!C34</f>
        <v>131993811.11343679</v>
      </c>
      <c r="G13" s="567"/>
      <c r="H13" s="396">
        <f>+'Bills-Therms-Revs'!I16</f>
        <v>160697460.31999999</v>
      </c>
      <c r="J13" s="568"/>
      <c r="K13" s="410">
        <f>+'CPA Proposed Rate 596'!F12</f>
        <v>2.1999999999999797E-4</v>
      </c>
      <c r="L13" s="399">
        <f>F13*K13</f>
        <v>29038.638444955825</v>
      </c>
      <c r="M13" s="569">
        <f t="shared" ref="M13:M18" si="0">+L13/H13</f>
        <v>1.807037795565071E-4</v>
      </c>
      <c r="Q13" s="564"/>
    </row>
    <row r="14" spans="1:17">
      <c r="A14" s="551">
        <v>3</v>
      </c>
      <c r="B14" s="564" t="s">
        <v>99</v>
      </c>
      <c r="C14" s="548"/>
      <c r="D14" s="553" t="s">
        <v>69</v>
      </c>
      <c r="E14" s="326">
        <f>+'Bills-Therms-Revs'!F18</f>
        <v>27210</v>
      </c>
      <c r="F14" s="396">
        <f>+'Test Period Volumes'!D34</f>
        <v>93567596.866792873</v>
      </c>
      <c r="G14" s="548"/>
      <c r="H14" s="396">
        <f>+'Bills-Therms-Revs'!I18+'Bills-Therms-Revs'!I21+'Bills-Therms-Revs'!I22</f>
        <v>103915277.34</v>
      </c>
      <c r="K14" s="410">
        <f>+'CPA Proposed Rate 596'!F13</f>
        <v>2.1999999999999797E-4</v>
      </c>
      <c r="L14" s="399">
        <f>ROUND(F14*K14,0)</f>
        <v>20585</v>
      </c>
      <c r="M14" s="569">
        <f t="shared" si="0"/>
        <v>1.9809406784960037E-4</v>
      </c>
      <c r="Q14" s="564"/>
    </row>
    <row r="15" spans="1:17">
      <c r="A15" s="551">
        <v>4</v>
      </c>
      <c r="B15" s="564" t="s">
        <v>100</v>
      </c>
      <c r="C15" s="566"/>
      <c r="D15" s="553" t="s">
        <v>73</v>
      </c>
      <c r="E15" s="326">
        <f>+'Bills-Therms-Revs'!F28</f>
        <v>487</v>
      </c>
      <c r="F15" s="396">
        <f>+'Test Period Volumes'!E34</f>
        <v>12906567.97753373</v>
      </c>
      <c r="G15" s="548"/>
      <c r="H15" s="396">
        <f>+'Bills-Therms-Revs'!I28</f>
        <v>11638459.84</v>
      </c>
      <c r="K15" s="410">
        <f>+'CPA Proposed Rate 596'!F15</f>
        <v>2.1999999999999797E-4</v>
      </c>
      <c r="L15" s="399">
        <f t="shared" ref="L15:L17" si="1">F15*K15</f>
        <v>2839.4449550573945</v>
      </c>
      <c r="M15" s="569">
        <f t="shared" si="0"/>
        <v>2.4397085130616343E-4</v>
      </c>
      <c r="Q15" s="564"/>
    </row>
    <row r="16" spans="1:17">
      <c r="A16" s="551">
        <v>5</v>
      </c>
      <c r="B16" s="564" t="s">
        <v>70</v>
      </c>
      <c r="C16" s="548"/>
      <c r="D16" s="553" t="s">
        <v>71</v>
      </c>
      <c r="E16" s="326">
        <f>+'Bills-Therms-Revs'!F19+'Bills-Therms-Revs'!F29</f>
        <v>99</v>
      </c>
      <c r="F16" s="396">
        <f>+'Test Period Volumes'!F34</f>
        <v>15549500.235253498</v>
      </c>
      <c r="G16" s="567"/>
      <c r="H16" s="396">
        <f>+'Bills-Therms-Revs'!I19+'Bills-Therms-Revs'!I29+'Bills-Therms-Revs'!I23+'Bills-Therms-Revs'!I24</f>
        <v>12937586.609999999</v>
      </c>
      <c r="I16" s="568"/>
      <c r="J16" s="568"/>
      <c r="K16" s="410">
        <f>+'CPA Proposed Rate 596'!F14</f>
        <v>2.1999999999999797E-4</v>
      </c>
      <c r="L16" s="399">
        <f t="shared" si="1"/>
        <v>3420.8900517557381</v>
      </c>
      <c r="M16" s="569">
        <f t="shared" si="0"/>
        <v>2.6441485223461923E-4</v>
      </c>
    </row>
    <row r="17" spans="1:17">
      <c r="A17" s="551">
        <v>6</v>
      </c>
      <c r="B17" s="564" t="s">
        <v>101</v>
      </c>
      <c r="C17" s="548"/>
      <c r="D17" s="553" t="s">
        <v>74</v>
      </c>
      <c r="E17" s="326">
        <f>+'Bills-Therms-Revs'!F34</f>
        <v>7</v>
      </c>
      <c r="F17" s="396">
        <f>+'Test Period Volumes'!G34</f>
        <v>2331720.8069831203</v>
      </c>
      <c r="G17" s="567"/>
      <c r="H17" s="411">
        <f>+'Bills-Therms-Revs'!I39</f>
        <v>1682021.53</v>
      </c>
      <c r="J17" s="568"/>
      <c r="K17" s="570">
        <f>+'CPA Proposed Rate 596'!F16</f>
        <v>2.1999999999999797E-4</v>
      </c>
      <c r="L17" s="399">
        <f t="shared" si="1"/>
        <v>512.9785775362817</v>
      </c>
      <c r="M17" s="808">
        <f t="shared" si="0"/>
        <v>3.0497741460912319E-4</v>
      </c>
      <c r="Q17" s="564"/>
    </row>
    <row r="18" spans="1:17" s="575" customFormat="1">
      <c r="A18" s="557">
        <v>7</v>
      </c>
      <c r="B18" s="560" t="s">
        <v>132</v>
      </c>
      <c r="C18" s="571"/>
      <c r="D18" s="572"/>
      <c r="E18" s="440">
        <f>SUM(E12:E17)</f>
        <v>228159</v>
      </c>
      <c r="F18" s="405">
        <f>SUM(F12:F17)</f>
        <v>256349197</v>
      </c>
      <c r="G18" s="573"/>
      <c r="H18" s="405">
        <f>SUM(H12:H17)</f>
        <v>290870805.63999999</v>
      </c>
      <c r="I18" s="574"/>
      <c r="J18" s="574"/>
      <c r="K18" s="407"/>
      <c r="L18" s="408">
        <f>SUM(L12:L17)</f>
        <v>56396.952029305241</v>
      </c>
      <c r="M18" s="809">
        <f t="shared" si="0"/>
        <v>1.9389003961815837E-4</v>
      </c>
    </row>
  </sheetData>
  <mergeCells count="5">
    <mergeCell ref="C2:K2"/>
    <mergeCell ref="C3:K3"/>
    <mergeCell ref="C4:K4"/>
    <mergeCell ref="C5:K5"/>
    <mergeCell ref="B10:C10"/>
  </mergeCells>
  <printOptions horizontalCentered="1"/>
  <pageMargins left="0.2" right="0.2" top="1" bottom="0.17" header="0.35" footer="0.5"/>
  <pageSetup orientation="landscape" r:id="rId1"/>
  <headerFooter scaleWithDoc="0" alignWithMargins="0">
    <oddFooter>&amp;LTab Name: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B881-C76E-4A93-8026-B50CDA40A95C}">
  <sheetPr>
    <tabColor rgb="FFFFC000"/>
    <pageSetUpPr fitToPage="1"/>
  </sheetPr>
  <dimension ref="A1:N37"/>
  <sheetViews>
    <sheetView topLeftCell="A5" workbookViewId="0">
      <selection sqref="A1:J1"/>
    </sheetView>
  </sheetViews>
  <sheetFormatPr defaultColWidth="12" defaultRowHeight="15.75"/>
  <cols>
    <col min="1" max="1" width="7" style="577" customWidth="1"/>
    <col min="2" max="2" width="2.33203125" style="577" customWidth="1"/>
    <col min="3" max="3" width="40.33203125" style="577" bestFit="1" customWidth="1"/>
    <col min="4" max="4" width="13.83203125" style="577" bestFit="1" customWidth="1"/>
    <col min="5" max="5" width="16.83203125" style="577" bestFit="1" customWidth="1"/>
    <col min="6" max="6" width="18" style="577" bestFit="1" customWidth="1"/>
    <col min="7" max="7" width="17.33203125" style="577" bestFit="1" customWidth="1"/>
    <col min="8" max="8" width="17.6640625" style="577" bestFit="1" customWidth="1"/>
    <col min="9" max="9" width="17.1640625" style="577" customWidth="1"/>
    <col min="10" max="10" width="15.6640625" style="577" bestFit="1" customWidth="1"/>
    <col min="11" max="11" width="21.5" style="577" bestFit="1" customWidth="1"/>
    <col min="12" max="12" width="17.1640625" style="577" customWidth="1"/>
    <col min="13" max="13" width="4.1640625" style="577" customWidth="1"/>
    <col min="14" max="255" width="12" style="577"/>
    <col min="256" max="256" width="7" style="577" customWidth="1"/>
    <col min="257" max="257" width="2.33203125" style="577" customWidth="1"/>
    <col min="258" max="259" width="12" style="577"/>
    <col min="260" max="260" width="6.5" style="577" customWidth="1"/>
    <col min="261" max="261" width="5.1640625" style="577" customWidth="1"/>
    <col min="262" max="262" width="12" style="577"/>
    <col min="263" max="263" width="5.1640625" style="577" customWidth="1"/>
    <col min="264" max="264" width="17.1640625" style="577" customWidth="1"/>
    <col min="265" max="265" width="4.5" style="577" customWidth="1"/>
    <col min="266" max="266" width="16.1640625" style="577" customWidth="1"/>
    <col min="267" max="267" width="4.83203125" style="577" customWidth="1"/>
    <col min="268" max="268" width="17.1640625" style="577" customWidth="1"/>
    <col min="269" max="269" width="4.1640625" style="577" customWidth="1"/>
    <col min="270" max="511" width="12" style="577"/>
    <col min="512" max="512" width="7" style="577" customWidth="1"/>
    <col min="513" max="513" width="2.33203125" style="577" customWidth="1"/>
    <col min="514" max="515" width="12" style="577"/>
    <col min="516" max="516" width="6.5" style="577" customWidth="1"/>
    <col min="517" max="517" width="5.1640625" style="577" customWidth="1"/>
    <col min="518" max="518" width="12" style="577"/>
    <col min="519" max="519" width="5.1640625" style="577" customWidth="1"/>
    <col min="520" max="520" width="17.1640625" style="577" customWidth="1"/>
    <col min="521" max="521" width="4.5" style="577" customWidth="1"/>
    <col min="522" max="522" width="16.1640625" style="577" customWidth="1"/>
    <col min="523" max="523" width="4.83203125" style="577" customWidth="1"/>
    <col min="524" max="524" width="17.1640625" style="577" customWidth="1"/>
    <col min="525" max="525" width="4.1640625" style="577" customWidth="1"/>
    <col min="526" max="767" width="12" style="577"/>
    <col min="768" max="768" width="7" style="577" customWidth="1"/>
    <col min="769" max="769" width="2.33203125" style="577" customWidth="1"/>
    <col min="770" max="771" width="12" style="577"/>
    <col min="772" max="772" width="6.5" style="577" customWidth="1"/>
    <col min="773" max="773" width="5.1640625" style="577" customWidth="1"/>
    <col min="774" max="774" width="12" style="577"/>
    <col min="775" max="775" width="5.1640625" style="577" customWidth="1"/>
    <col min="776" max="776" width="17.1640625" style="577" customWidth="1"/>
    <col min="777" max="777" width="4.5" style="577" customWidth="1"/>
    <col min="778" max="778" width="16.1640625" style="577" customWidth="1"/>
    <col min="779" max="779" width="4.83203125" style="577" customWidth="1"/>
    <col min="780" max="780" width="17.1640625" style="577" customWidth="1"/>
    <col min="781" max="781" width="4.1640625" style="577" customWidth="1"/>
    <col min="782" max="1023" width="12" style="577"/>
    <col min="1024" max="1024" width="7" style="577" customWidth="1"/>
    <col min="1025" max="1025" width="2.33203125" style="577" customWidth="1"/>
    <col min="1026" max="1027" width="12" style="577"/>
    <col min="1028" max="1028" width="6.5" style="577" customWidth="1"/>
    <col min="1029" max="1029" width="5.1640625" style="577" customWidth="1"/>
    <col min="1030" max="1030" width="12" style="577"/>
    <col min="1031" max="1031" width="5.1640625" style="577" customWidth="1"/>
    <col min="1032" max="1032" width="17.1640625" style="577" customWidth="1"/>
    <col min="1033" max="1033" width="4.5" style="577" customWidth="1"/>
    <col min="1034" max="1034" width="16.1640625" style="577" customWidth="1"/>
    <col min="1035" max="1035" width="4.83203125" style="577" customWidth="1"/>
    <col min="1036" max="1036" width="17.1640625" style="577" customWidth="1"/>
    <col min="1037" max="1037" width="4.1640625" style="577" customWidth="1"/>
    <col min="1038" max="1279" width="12" style="577"/>
    <col min="1280" max="1280" width="7" style="577" customWidth="1"/>
    <col min="1281" max="1281" width="2.33203125" style="577" customWidth="1"/>
    <col min="1282" max="1283" width="12" style="577"/>
    <col min="1284" max="1284" width="6.5" style="577" customWidth="1"/>
    <col min="1285" max="1285" width="5.1640625" style="577" customWidth="1"/>
    <col min="1286" max="1286" width="12" style="577"/>
    <col min="1287" max="1287" width="5.1640625" style="577" customWidth="1"/>
    <col min="1288" max="1288" width="17.1640625" style="577" customWidth="1"/>
    <col min="1289" max="1289" width="4.5" style="577" customWidth="1"/>
    <col min="1290" max="1290" width="16.1640625" style="577" customWidth="1"/>
    <col min="1291" max="1291" width="4.83203125" style="577" customWidth="1"/>
    <col min="1292" max="1292" width="17.1640625" style="577" customWidth="1"/>
    <col min="1293" max="1293" width="4.1640625" style="577" customWidth="1"/>
    <col min="1294" max="1535" width="12" style="577"/>
    <col min="1536" max="1536" width="7" style="577" customWidth="1"/>
    <col min="1537" max="1537" width="2.33203125" style="577" customWidth="1"/>
    <col min="1538" max="1539" width="12" style="577"/>
    <col min="1540" max="1540" width="6.5" style="577" customWidth="1"/>
    <col min="1541" max="1541" width="5.1640625" style="577" customWidth="1"/>
    <col min="1542" max="1542" width="12" style="577"/>
    <col min="1543" max="1543" width="5.1640625" style="577" customWidth="1"/>
    <col min="1544" max="1544" width="17.1640625" style="577" customWidth="1"/>
    <col min="1545" max="1545" width="4.5" style="577" customWidth="1"/>
    <col min="1546" max="1546" width="16.1640625" style="577" customWidth="1"/>
    <col min="1547" max="1547" width="4.83203125" style="577" customWidth="1"/>
    <col min="1548" max="1548" width="17.1640625" style="577" customWidth="1"/>
    <col min="1549" max="1549" width="4.1640625" style="577" customWidth="1"/>
    <col min="1550" max="1791" width="12" style="577"/>
    <col min="1792" max="1792" width="7" style="577" customWidth="1"/>
    <col min="1793" max="1793" width="2.33203125" style="577" customWidth="1"/>
    <col min="1794" max="1795" width="12" style="577"/>
    <col min="1796" max="1796" width="6.5" style="577" customWidth="1"/>
    <col min="1797" max="1797" width="5.1640625" style="577" customWidth="1"/>
    <col min="1798" max="1798" width="12" style="577"/>
    <col min="1799" max="1799" width="5.1640625" style="577" customWidth="1"/>
    <col min="1800" max="1800" width="17.1640625" style="577" customWidth="1"/>
    <col min="1801" max="1801" width="4.5" style="577" customWidth="1"/>
    <col min="1802" max="1802" width="16.1640625" style="577" customWidth="1"/>
    <col min="1803" max="1803" width="4.83203125" style="577" customWidth="1"/>
    <col min="1804" max="1804" width="17.1640625" style="577" customWidth="1"/>
    <col min="1805" max="1805" width="4.1640625" style="577" customWidth="1"/>
    <col min="1806" max="2047" width="12" style="577"/>
    <col min="2048" max="2048" width="7" style="577" customWidth="1"/>
    <col min="2049" max="2049" width="2.33203125" style="577" customWidth="1"/>
    <col min="2050" max="2051" width="12" style="577"/>
    <col min="2052" max="2052" width="6.5" style="577" customWidth="1"/>
    <col min="2053" max="2053" width="5.1640625" style="577" customWidth="1"/>
    <col min="2054" max="2054" width="12" style="577"/>
    <col min="2055" max="2055" width="5.1640625" style="577" customWidth="1"/>
    <col min="2056" max="2056" width="17.1640625" style="577" customWidth="1"/>
    <col min="2057" max="2057" width="4.5" style="577" customWidth="1"/>
    <col min="2058" max="2058" width="16.1640625" style="577" customWidth="1"/>
    <col min="2059" max="2059" width="4.83203125" style="577" customWidth="1"/>
    <col min="2060" max="2060" width="17.1640625" style="577" customWidth="1"/>
    <col min="2061" max="2061" width="4.1640625" style="577" customWidth="1"/>
    <col min="2062" max="2303" width="12" style="577"/>
    <col min="2304" max="2304" width="7" style="577" customWidth="1"/>
    <col min="2305" max="2305" width="2.33203125" style="577" customWidth="1"/>
    <col min="2306" max="2307" width="12" style="577"/>
    <col min="2308" max="2308" width="6.5" style="577" customWidth="1"/>
    <col min="2309" max="2309" width="5.1640625" style="577" customWidth="1"/>
    <col min="2310" max="2310" width="12" style="577"/>
    <col min="2311" max="2311" width="5.1640625" style="577" customWidth="1"/>
    <col min="2312" max="2312" width="17.1640625" style="577" customWidth="1"/>
    <col min="2313" max="2313" width="4.5" style="577" customWidth="1"/>
    <col min="2314" max="2314" width="16.1640625" style="577" customWidth="1"/>
    <col min="2315" max="2315" width="4.83203125" style="577" customWidth="1"/>
    <col min="2316" max="2316" width="17.1640625" style="577" customWidth="1"/>
    <col min="2317" max="2317" width="4.1640625" style="577" customWidth="1"/>
    <col min="2318" max="2559" width="12" style="577"/>
    <col min="2560" max="2560" width="7" style="577" customWidth="1"/>
    <col min="2561" max="2561" width="2.33203125" style="577" customWidth="1"/>
    <col min="2562" max="2563" width="12" style="577"/>
    <col min="2564" max="2564" width="6.5" style="577" customWidth="1"/>
    <col min="2565" max="2565" width="5.1640625" style="577" customWidth="1"/>
    <col min="2566" max="2566" width="12" style="577"/>
    <col min="2567" max="2567" width="5.1640625" style="577" customWidth="1"/>
    <col min="2568" max="2568" width="17.1640625" style="577" customWidth="1"/>
    <col min="2569" max="2569" width="4.5" style="577" customWidth="1"/>
    <col min="2570" max="2570" width="16.1640625" style="577" customWidth="1"/>
    <col min="2571" max="2571" width="4.83203125" style="577" customWidth="1"/>
    <col min="2572" max="2572" width="17.1640625" style="577" customWidth="1"/>
    <col min="2573" max="2573" width="4.1640625" style="577" customWidth="1"/>
    <col min="2574" max="2815" width="12" style="577"/>
    <col min="2816" max="2816" width="7" style="577" customWidth="1"/>
    <col min="2817" max="2817" width="2.33203125" style="577" customWidth="1"/>
    <col min="2818" max="2819" width="12" style="577"/>
    <col min="2820" max="2820" width="6.5" style="577" customWidth="1"/>
    <col min="2821" max="2821" width="5.1640625" style="577" customWidth="1"/>
    <col min="2822" max="2822" width="12" style="577"/>
    <col min="2823" max="2823" width="5.1640625" style="577" customWidth="1"/>
    <col min="2824" max="2824" width="17.1640625" style="577" customWidth="1"/>
    <col min="2825" max="2825" width="4.5" style="577" customWidth="1"/>
    <col min="2826" max="2826" width="16.1640625" style="577" customWidth="1"/>
    <col min="2827" max="2827" width="4.83203125" style="577" customWidth="1"/>
    <col min="2828" max="2828" width="17.1640625" style="577" customWidth="1"/>
    <col min="2829" max="2829" width="4.1640625" style="577" customWidth="1"/>
    <col min="2830" max="3071" width="12" style="577"/>
    <col min="3072" max="3072" width="7" style="577" customWidth="1"/>
    <col min="3073" max="3073" width="2.33203125" style="577" customWidth="1"/>
    <col min="3074" max="3075" width="12" style="577"/>
    <col min="3076" max="3076" width="6.5" style="577" customWidth="1"/>
    <col min="3077" max="3077" width="5.1640625" style="577" customWidth="1"/>
    <col min="3078" max="3078" width="12" style="577"/>
    <col min="3079" max="3079" width="5.1640625" style="577" customWidth="1"/>
    <col min="3080" max="3080" width="17.1640625" style="577" customWidth="1"/>
    <col min="3081" max="3081" width="4.5" style="577" customWidth="1"/>
    <col min="3082" max="3082" width="16.1640625" style="577" customWidth="1"/>
    <col min="3083" max="3083" width="4.83203125" style="577" customWidth="1"/>
    <col min="3084" max="3084" width="17.1640625" style="577" customWidth="1"/>
    <col min="3085" max="3085" width="4.1640625" style="577" customWidth="1"/>
    <col min="3086" max="3327" width="12" style="577"/>
    <col min="3328" max="3328" width="7" style="577" customWidth="1"/>
    <col min="3329" max="3329" width="2.33203125" style="577" customWidth="1"/>
    <col min="3330" max="3331" width="12" style="577"/>
    <col min="3332" max="3332" width="6.5" style="577" customWidth="1"/>
    <col min="3333" max="3333" width="5.1640625" style="577" customWidth="1"/>
    <col min="3334" max="3334" width="12" style="577"/>
    <col min="3335" max="3335" width="5.1640625" style="577" customWidth="1"/>
    <col min="3336" max="3336" width="17.1640625" style="577" customWidth="1"/>
    <col min="3337" max="3337" width="4.5" style="577" customWidth="1"/>
    <col min="3338" max="3338" width="16.1640625" style="577" customWidth="1"/>
    <col min="3339" max="3339" width="4.83203125" style="577" customWidth="1"/>
    <col min="3340" max="3340" width="17.1640625" style="577" customWidth="1"/>
    <col min="3341" max="3341" width="4.1640625" style="577" customWidth="1"/>
    <col min="3342" max="3583" width="12" style="577"/>
    <col min="3584" max="3584" width="7" style="577" customWidth="1"/>
    <col min="3585" max="3585" width="2.33203125" style="577" customWidth="1"/>
    <col min="3586" max="3587" width="12" style="577"/>
    <col min="3588" max="3588" width="6.5" style="577" customWidth="1"/>
    <col min="3589" max="3589" width="5.1640625" style="577" customWidth="1"/>
    <col min="3590" max="3590" width="12" style="577"/>
    <col min="3591" max="3591" width="5.1640625" style="577" customWidth="1"/>
    <col min="3592" max="3592" width="17.1640625" style="577" customWidth="1"/>
    <col min="3593" max="3593" width="4.5" style="577" customWidth="1"/>
    <col min="3594" max="3594" width="16.1640625" style="577" customWidth="1"/>
    <col min="3595" max="3595" width="4.83203125" style="577" customWidth="1"/>
    <col min="3596" max="3596" width="17.1640625" style="577" customWidth="1"/>
    <col min="3597" max="3597" width="4.1640625" style="577" customWidth="1"/>
    <col min="3598" max="3839" width="12" style="577"/>
    <col min="3840" max="3840" width="7" style="577" customWidth="1"/>
    <col min="3841" max="3841" width="2.33203125" style="577" customWidth="1"/>
    <col min="3842" max="3843" width="12" style="577"/>
    <col min="3844" max="3844" width="6.5" style="577" customWidth="1"/>
    <col min="3845" max="3845" width="5.1640625" style="577" customWidth="1"/>
    <col min="3846" max="3846" width="12" style="577"/>
    <col min="3847" max="3847" width="5.1640625" style="577" customWidth="1"/>
    <col min="3848" max="3848" width="17.1640625" style="577" customWidth="1"/>
    <col min="3849" max="3849" width="4.5" style="577" customWidth="1"/>
    <col min="3850" max="3850" width="16.1640625" style="577" customWidth="1"/>
    <col min="3851" max="3851" width="4.83203125" style="577" customWidth="1"/>
    <col min="3852" max="3852" width="17.1640625" style="577" customWidth="1"/>
    <col min="3853" max="3853" width="4.1640625" style="577" customWidth="1"/>
    <col min="3854" max="4095" width="12" style="577"/>
    <col min="4096" max="4096" width="7" style="577" customWidth="1"/>
    <col min="4097" max="4097" width="2.33203125" style="577" customWidth="1"/>
    <col min="4098" max="4099" width="12" style="577"/>
    <col min="4100" max="4100" width="6.5" style="577" customWidth="1"/>
    <col min="4101" max="4101" width="5.1640625" style="577" customWidth="1"/>
    <col min="4102" max="4102" width="12" style="577"/>
    <col min="4103" max="4103" width="5.1640625" style="577" customWidth="1"/>
    <col min="4104" max="4104" width="17.1640625" style="577" customWidth="1"/>
    <col min="4105" max="4105" width="4.5" style="577" customWidth="1"/>
    <col min="4106" max="4106" width="16.1640625" style="577" customWidth="1"/>
    <col min="4107" max="4107" width="4.83203125" style="577" customWidth="1"/>
    <col min="4108" max="4108" width="17.1640625" style="577" customWidth="1"/>
    <col min="4109" max="4109" width="4.1640625" style="577" customWidth="1"/>
    <col min="4110" max="4351" width="12" style="577"/>
    <col min="4352" max="4352" width="7" style="577" customWidth="1"/>
    <col min="4353" max="4353" width="2.33203125" style="577" customWidth="1"/>
    <col min="4354" max="4355" width="12" style="577"/>
    <col min="4356" max="4356" width="6.5" style="577" customWidth="1"/>
    <col min="4357" max="4357" width="5.1640625" style="577" customWidth="1"/>
    <col min="4358" max="4358" width="12" style="577"/>
    <col min="4359" max="4359" width="5.1640625" style="577" customWidth="1"/>
    <col min="4360" max="4360" width="17.1640625" style="577" customWidth="1"/>
    <col min="4361" max="4361" width="4.5" style="577" customWidth="1"/>
    <col min="4362" max="4362" width="16.1640625" style="577" customWidth="1"/>
    <col min="4363" max="4363" width="4.83203125" style="577" customWidth="1"/>
    <col min="4364" max="4364" width="17.1640625" style="577" customWidth="1"/>
    <col min="4365" max="4365" width="4.1640625" style="577" customWidth="1"/>
    <col min="4366" max="4607" width="12" style="577"/>
    <col min="4608" max="4608" width="7" style="577" customWidth="1"/>
    <col min="4609" max="4609" width="2.33203125" style="577" customWidth="1"/>
    <col min="4610" max="4611" width="12" style="577"/>
    <col min="4612" max="4612" width="6.5" style="577" customWidth="1"/>
    <col min="4613" max="4613" width="5.1640625" style="577" customWidth="1"/>
    <col min="4614" max="4614" width="12" style="577"/>
    <col min="4615" max="4615" width="5.1640625" style="577" customWidth="1"/>
    <col min="4616" max="4616" width="17.1640625" style="577" customWidth="1"/>
    <col min="4617" max="4617" width="4.5" style="577" customWidth="1"/>
    <col min="4618" max="4618" width="16.1640625" style="577" customWidth="1"/>
    <col min="4619" max="4619" width="4.83203125" style="577" customWidth="1"/>
    <col min="4620" max="4620" width="17.1640625" style="577" customWidth="1"/>
    <col min="4621" max="4621" width="4.1640625" style="577" customWidth="1"/>
    <col min="4622" max="4863" width="12" style="577"/>
    <col min="4864" max="4864" width="7" style="577" customWidth="1"/>
    <col min="4865" max="4865" width="2.33203125" style="577" customWidth="1"/>
    <col min="4866" max="4867" width="12" style="577"/>
    <col min="4868" max="4868" width="6.5" style="577" customWidth="1"/>
    <col min="4869" max="4869" width="5.1640625" style="577" customWidth="1"/>
    <col min="4870" max="4870" width="12" style="577"/>
    <col min="4871" max="4871" width="5.1640625" style="577" customWidth="1"/>
    <col min="4872" max="4872" width="17.1640625" style="577" customWidth="1"/>
    <col min="4873" max="4873" width="4.5" style="577" customWidth="1"/>
    <col min="4874" max="4874" width="16.1640625" style="577" customWidth="1"/>
    <col min="4875" max="4875" width="4.83203125" style="577" customWidth="1"/>
    <col min="4876" max="4876" width="17.1640625" style="577" customWidth="1"/>
    <col min="4877" max="4877" width="4.1640625" style="577" customWidth="1"/>
    <col min="4878" max="5119" width="12" style="577"/>
    <col min="5120" max="5120" width="7" style="577" customWidth="1"/>
    <col min="5121" max="5121" width="2.33203125" style="577" customWidth="1"/>
    <col min="5122" max="5123" width="12" style="577"/>
    <col min="5124" max="5124" width="6.5" style="577" customWidth="1"/>
    <col min="5125" max="5125" width="5.1640625" style="577" customWidth="1"/>
    <col min="5126" max="5126" width="12" style="577"/>
    <col min="5127" max="5127" width="5.1640625" style="577" customWidth="1"/>
    <col min="5128" max="5128" width="17.1640625" style="577" customWidth="1"/>
    <col min="5129" max="5129" width="4.5" style="577" customWidth="1"/>
    <col min="5130" max="5130" width="16.1640625" style="577" customWidth="1"/>
    <col min="5131" max="5131" width="4.83203125" style="577" customWidth="1"/>
    <col min="5132" max="5132" width="17.1640625" style="577" customWidth="1"/>
    <col min="5133" max="5133" width="4.1640625" style="577" customWidth="1"/>
    <col min="5134" max="5375" width="12" style="577"/>
    <col min="5376" max="5376" width="7" style="577" customWidth="1"/>
    <col min="5377" max="5377" width="2.33203125" style="577" customWidth="1"/>
    <col min="5378" max="5379" width="12" style="577"/>
    <col min="5380" max="5380" width="6.5" style="577" customWidth="1"/>
    <col min="5381" max="5381" width="5.1640625" style="577" customWidth="1"/>
    <col min="5382" max="5382" width="12" style="577"/>
    <col min="5383" max="5383" width="5.1640625" style="577" customWidth="1"/>
    <col min="5384" max="5384" width="17.1640625" style="577" customWidth="1"/>
    <col min="5385" max="5385" width="4.5" style="577" customWidth="1"/>
    <col min="5386" max="5386" width="16.1640625" style="577" customWidth="1"/>
    <col min="5387" max="5387" width="4.83203125" style="577" customWidth="1"/>
    <col min="5388" max="5388" width="17.1640625" style="577" customWidth="1"/>
    <col min="5389" max="5389" width="4.1640625" style="577" customWidth="1"/>
    <col min="5390" max="5631" width="12" style="577"/>
    <col min="5632" max="5632" width="7" style="577" customWidth="1"/>
    <col min="5633" max="5633" width="2.33203125" style="577" customWidth="1"/>
    <col min="5634" max="5635" width="12" style="577"/>
    <col min="5636" max="5636" width="6.5" style="577" customWidth="1"/>
    <col min="5637" max="5637" width="5.1640625" style="577" customWidth="1"/>
    <col min="5638" max="5638" width="12" style="577"/>
    <col min="5639" max="5639" width="5.1640625" style="577" customWidth="1"/>
    <col min="5640" max="5640" width="17.1640625" style="577" customWidth="1"/>
    <col min="5641" max="5641" width="4.5" style="577" customWidth="1"/>
    <col min="5642" max="5642" width="16.1640625" style="577" customWidth="1"/>
    <col min="5643" max="5643" width="4.83203125" style="577" customWidth="1"/>
    <col min="5644" max="5644" width="17.1640625" style="577" customWidth="1"/>
    <col min="5645" max="5645" width="4.1640625" style="577" customWidth="1"/>
    <col min="5646" max="5887" width="12" style="577"/>
    <col min="5888" max="5888" width="7" style="577" customWidth="1"/>
    <col min="5889" max="5889" width="2.33203125" style="577" customWidth="1"/>
    <col min="5890" max="5891" width="12" style="577"/>
    <col min="5892" max="5892" width="6.5" style="577" customWidth="1"/>
    <col min="5893" max="5893" width="5.1640625" style="577" customWidth="1"/>
    <col min="5894" max="5894" width="12" style="577"/>
    <col min="5895" max="5895" width="5.1640625" style="577" customWidth="1"/>
    <col min="5896" max="5896" width="17.1640625" style="577" customWidth="1"/>
    <col min="5897" max="5897" width="4.5" style="577" customWidth="1"/>
    <col min="5898" max="5898" width="16.1640625" style="577" customWidth="1"/>
    <col min="5899" max="5899" width="4.83203125" style="577" customWidth="1"/>
    <col min="5900" max="5900" width="17.1640625" style="577" customWidth="1"/>
    <col min="5901" max="5901" width="4.1640625" style="577" customWidth="1"/>
    <col min="5902" max="6143" width="12" style="577"/>
    <col min="6144" max="6144" width="7" style="577" customWidth="1"/>
    <col min="6145" max="6145" width="2.33203125" style="577" customWidth="1"/>
    <col min="6146" max="6147" width="12" style="577"/>
    <col min="6148" max="6148" width="6.5" style="577" customWidth="1"/>
    <col min="6149" max="6149" width="5.1640625" style="577" customWidth="1"/>
    <col min="6150" max="6150" width="12" style="577"/>
    <col min="6151" max="6151" width="5.1640625" style="577" customWidth="1"/>
    <col min="6152" max="6152" width="17.1640625" style="577" customWidth="1"/>
    <col min="6153" max="6153" width="4.5" style="577" customWidth="1"/>
    <col min="6154" max="6154" width="16.1640625" style="577" customWidth="1"/>
    <col min="6155" max="6155" width="4.83203125" style="577" customWidth="1"/>
    <col min="6156" max="6156" width="17.1640625" style="577" customWidth="1"/>
    <col min="6157" max="6157" width="4.1640625" style="577" customWidth="1"/>
    <col min="6158" max="6399" width="12" style="577"/>
    <col min="6400" max="6400" width="7" style="577" customWidth="1"/>
    <col min="6401" max="6401" width="2.33203125" style="577" customWidth="1"/>
    <col min="6402" max="6403" width="12" style="577"/>
    <col min="6404" max="6404" width="6.5" style="577" customWidth="1"/>
    <col min="6405" max="6405" width="5.1640625" style="577" customWidth="1"/>
    <col min="6406" max="6406" width="12" style="577"/>
    <col min="6407" max="6407" width="5.1640625" style="577" customWidth="1"/>
    <col min="6408" max="6408" width="17.1640625" style="577" customWidth="1"/>
    <col min="6409" max="6409" width="4.5" style="577" customWidth="1"/>
    <col min="6410" max="6410" width="16.1640625" style="577" customWidth="1"/>
    <col min="6411" max="6411" width="4.83203125" style="577" customWidth="1"/>
    <col min="6412" max="6412" width="17.1640625" style="577" customWidth="1"/>
    <col min="6413" max="6413" width="4.1640625" style="577" customWidth="1"/>
    <col min="6414" max="6655" width="12" style="577"/>
    <col min="6656" max="6656" width="7" style="577" customWidth="1"/>
    <col min="6657" max="6657" width="2.33203125" style="577" customWidth="1"/>
    <col min="6658" max="6659" width="12" style="577"/>
    <col min="6660" max="6660" width="6.5" style="577" customWidth="1"/>
    <col min="6661" max="6661" width="5.1640625" style="577" customWidth="1"/>
    <col min="6662" max="6662" width="12" style="577"/>
    <col min="6663" max="6663" width="5.1640625" style="577" customWidth="1"/>
    <col min="6664" max="6664" width="17.1640625" style="577" customWidth="1"/>
    <col min="6665" max="6665" width="4.5" style="577" customWidth="1"/>
    <col min="6666" max="6666" width="16.1640625" style="577" customWidth="1"/>
    <col min="6667" max="6667" width="4.83203125" style="577" customWidth="1"/>
    <col min="6668" max="6668" width="17.1640625" style="577" customWidth="1"/>
    <col min="6669" max="6669" width="4.1640625" style="577" customWidth="1"/>
    <col min="6670" max="6911" width="12" style="577"/>
    <col min="6912" max="6912" width="7" style="577" customWidth="1"/>
    <col min="6913" max="6913" width="2.33203125" style="577" customWidth="1"/>
    <col min="6914" max="6915" width="12" style="577"/>
    <col min="6916" max="6916" width="6.5" style="577" customWidth="1"/>
    <col min="6917" max="6917" width="5.1640625" style="577" customWidth="1"/>
    <col min="6918" max="6918" width="12" style="577"/>
    <col min="6919" max="6919" width="5.1640625" style="577" customWidth="1"/>
    <col min="6920" max="6920" width="17.1640625" style="577" customWidth="1"/>
    <col min="6921" max="6921" width="4.5" style="577" customWidth="1"/>
    <col min="6922" max="6922" width="16.1640625" style="577" customWidth="1"/>
    <col min="6923" max="6923" width="4.83203125" style="577" customWidth="1"/>
    <col min="6924" max="6924" width="17.1640625" style="577" customWidth="1"/>
    <col min="6925" max="6925" width="4.1640625" style="577" customWidth="1"/>
    <col min="6926" max="7167" width="12" style="577"/>
    <col min="7168" max="7168" width="7" style="577" customWidth="1"/>
    <col min="7169" max="7169" width="2.33203125" style="577" customWidth="1"/>
    <col min="7170" max="7171" width="12" style="577"/>
    <col min="7172" max="7172" width="6.5" style="577" customWidth="1"/>
    <col min="7173" max="7173" width="5.1640625" style="577" customWidth="1"/>
    <col min="7174" max="7174" width="12" style="577"/>
    <col min="7175" max="7175" width="5.1640625" style="577" customWidth="1"/>
    <col min="7176" max="7176" width="17.1640625" style="577" customWidth="1"/>
    <col min="7177" max="7177" width="4.5" style="577" customWidth="1"/>
    <col min="7178" max="7178" width="16.1640625" style="577" customWidth="1"/>
    <col min="7179" max="7179" width="4.83203125" style="577" customWidth="1"/>
    <col min="7180" max="7180" width="17.1640625" style="577" customWidth="1"/>
    <col min="7181" max="7181" width="4.1640625" style="577" customWidth="1"/>
    <col min="7182" max="7423" width="12" style="577"/>
    <col min="7424" max="7424" width="7" style="577" customWidth="1"/>
    <col min="7425" max="7425" width="2.33203125" style="577" customWidth="1"/>
    <col min="7426" max="7427" width="12" style="577"/>
    <col min="7428" max="7428" width="6.5" style="577" customWidth="1"/>
    <col min="7429" max="7429" width="5.1640625" style="577" customWidth="1"/>
    <col min="7430" max="7430" width="12" style="577"/>
    <col min="7431" max="7431" width="5.1640625" style="577" customWidth="1"/>
    <col min="7432" max="7432" width="17.1640625" style="577" customWidth="1"/>
    <col min="7433" max="7433" width="4.5" style="577" customWidth="1"/>
    <col min="7434" max="7434" width="16.1640625" style="577" customWidth="1"/>
    <col min="7435" max="7435" width="4.83203125" style="577" customWidth="1"/>
    <col min="7436" max="7436" width="17.1640625" style="577" customWidth="1"/>
    <col min="7437" max="7437" width="4.1640625" style="577" customWidth="1"/>
    <col min="7438" max="7679" width="12" style="577"/>
    <col min="7680" max="7680" width="7" style="577" customWidth="1"/>
    <col min="7681" max="7681" width="2.33203125" style="577" customWidth="1"/>
    <col min="7682" max="7683" width="12" style="577"/>
    <col min="7684" max="7684" width="6.5" style="577" customWidth="1"/>
    <col min="7685" max="7685" width="5.1640625" style="577" customWidth="1"/>
    <col min="7686" max="7686" width="12" style="577"/>
    <col min="7687" max="7687" width="5.1640625" style="577" customWidth="1"/>
    <col min="7688" max="7688" width="17.1640625" style="577" customWidth="1"/>
    <col min="7689" max="7689" width="4.5" style="577" customWidth="1"/>
    <col min="7690" max="7690" width="16.1640625" style="577" customWidth="1"/>
    <col min="7691" max="7691" width="4.83203125" style="577" customWidth="1"/>
    <col min="7692" max="7692" width="17.1640625" style="577" customWidth="1"/>
    <col min="7693" max="7693" width="4.1640625" style="577" customWidth="1"/>
    <col min="7694" max="7935" width="12" style="577"/>
    <col min="7936" max="7936" width="7" style="577" customWidth="1"/>
    <col min="7937" max="7937" width="2.33203125" style="577" customWidth="1"/>
    <col min="7938" max="7939" width="12" style="577"/>
    <col min="7940" max="7940" width="6.5" style="577" customWidth="1"/>
    <col min="7941" max="7941" width="5.1640625" style="577" customWidth="1"/>
    <col min="7942" max="7942" width="12" style="577"/>
    <col min="7943" max="7943" width="5.1640625" style="577" customWidth="1"/>
    <col min="7944" max="7944" width="17.1640625" style="577" customWidth="1"/>
    <col min="7945" max="7945" width="4.5" style="577" customWidth="1"/>
    <col min="7946" max="7946" width="16.1640625" style="577" customWidth="1"/>
    <col min="7947" max="7947" width="4.83203125" style="577" customWidth="1"/>
    <col min="7948" max="7948" width="17.1640625" style="577" customWidth="1"/>
    <col min="7949" max="7949" width="4.1640625" style="577" customWidth="1"/>
    <col min="7950" max="8191" width="12" style="577"/>
    <col min="8192" max="8192" width="7" style="577" customWidth="1"/>
    <col min="8193" max="8193" width="2.33203125" style="577" customWidth="1"/>
    <col min="8194" max="8195" width="12" style="577"/>
    <col min="8196" max="8196" width="6.5" style="577" customWidth="1"/>
    <col min="8197" max="8197" width="5.1640625" style="577" customWidth="1"/>
    <col min="8198" max="8198" width="12" style="577"/>
    <col min="8199" max="8199" width="5.1640625" style="577" customWidth="1"/>
    <col min="8200" max="8200" width="17.1640625" style="577" customWidth="1"/>
    <col min="8201" max="8201" width="4.5" style="577" customWidth="1"/>
    <col min="8202" max="8202" width="16.1640625" style="577" customWidth="1"/>
    <col min="8203" max="8203" width="4.83203125" style="577" customWidth="1"/>
    <col min="8204" max="8204" width="17.1640625" style="577" customWidth="1"/>
    <col min="8205" max="8205" width="4.1640625" style="577" customWidth="1"/>
    <col min="8206" max="8447" width="12" style="577"/>
    <col min="8448" max="8448" width="7" style="577" customWidth="1"/>
    <col min="8449" max="8449" width="2.33203125" style="577" customWidth="1"/>
    <col min="8450" max="8451" width="12" style="577"/>
    <col min="8452" max="8452" width="6.5" style="577" customWidth="1"/>
    <col min="8453" max="8453" width="5.1640625" style="577" customWidth="1"/>
    <col min="8454" max="8454" width="12" style="577"/>
    <col min="8455" max="8455" width="5.1640625" style="577" customWidth="1"/>
    <col min="8456" max="8456" width="17.1640625" style="577" customWidth="1"/>
    <col min="8457" max="8457" width="4.5" style="577" customWidth="1"/>
    <col min="8458" max="8458" width="16.1640625" style="577" customWidth="1"/>
    <col min="8459" max="8459" width="4.83203125" style="577" customWidth="1"/>
    <col min="8460" max="8460" width="17.1640625" style="577" customWidth="1"/>
    <col min="8461" max="8461" width="4.1640625" style="577" customWidth="1"/>
    <col min="8462" max="8703" width="12" style="577"/>
    <col min="8704" max="8704" width="7" style="577" customWidth="1"/>
    <col min="8705" max="8705" width="2.33203125" style="577" customWidth="1"/>
    <col min="8706" max="8707" width="12" style="577"/>
    <col min="8708" max="8708" width="6.5" style="577" customWidth="1"/>
    <col min="8709" max="8709" width="5.1640625" style="577" customWidth="1"/>
    <col min="8710" max="8710" width="12" style="577"/>
    <col min="8711" max="8711" width="5.1640625" style="577" customWidth="1"/>
    <col min="8712" max="8712" width="17.1640625" style="577" customWidth="1"/>
    <col min="8713" max="8713" width="4.5" style="577" customWidth="1"/>
    <col min="8714" max="8714" width="16.1640625" style="577" customWidth="1"/>
    <col min="8715" max="8715" width="4.83203125" style="577" customWidth="1"/>
    <col min="8716" max="8716" width="17.1640625" style="577" customWidth="1"/>
    <col min="8717" max="8717" width="4.1640625" style="577" customWidth="1"/>
    <col min="8718" max="8959" width="12" style="577"/>
    <col min="8960" max="8960" width="7" style="577" customWidth="1"/>
    <col min="8961" max="8961" width="2.33203125" style="577" customWidth="1"/>
    <col min="8962" max="8963" width="12" style="577"/>
    <col min="8964" max="8964" width="6.5" style="577" customWidth="1"/>
    <col min="8965" max="8965" width="5.1640625" style="577" customWidth="1"/>
    <col min="8966" max="8966" width="12" style="577"/>
    <col min="8967" max="8967" width="5.1640625" style="577" customWidth="1"/>
    <col min="8968" max="8968" width="17.1640625" style="577" customWidth="1"/>
    <col min="8969" max="8969" width="4.5" style="577" customWidth="1"/>
    <col min="8970" max="8970" width="16.1640625" style="577" customWidth="1"/>
    <col min="8971" max="8971" width="4.83203125" style="577" customWidth="1"/>
    <col min="8972" max="8972" width="17.1640625" style="577" customWidth="1"/>
    <col min="8973" max="8973" width="4.1640625" style="577" customWidth="1"/>
    <col min="8974" max="9215" width="12" style="577"/>
    <col min="9216" max="9216" width="7" style="577" customWidth="1"/>
    <col min="9217" max="9217" width="2.33203125" style="577" customWidth="1"/>
    <col min="9218" max="9219" width="12" style="577"/>
    <col min="9220" max="9220" width="6.5" style="577" customWidth="1"/>
    <col min="9221" max="9221" width="5.1640625" style="577" customWidth="1"/>
    <col min="9222" max="9222" width="12" style="577"/>
    <col min="9223" max="9223" width="5.1640625" style="577" customWidth="1"/>
    <col min="9224" max="9224" width="17.1640625" style="577" customWidth="1"/>
    <col min="9225" max="9225" width="4.5" style="577" customWidth="1"/>
    <col min="9226" max="9226" width="16.1640625" style="577" customWidth="1"/>
    <col min="9227" max="9227" width="4.83203125" style="577" customWidth="1"/>
    <col min="9228" max="9228" width="17.1640625" style="577" customWidth="1"/>
    <col min="9229" max="9229" width="4.1640625" style="577" customWidth="1"/>
    <col min="9230" max="9471" width="12" style="577"/>
    <col min="9472" max="9472" width="7" style="577" customWidth="1"/>
    <col min="9473" max="9473" width="2.33203125" style="577" customWidth="1"/>
    <col min="9474" max="9475" width="12" style="577"/>
    <col min="9476" max="9476" width="6.5" style="577" customWidth="1"/>
    <col min="9477" max="9477" width="5.1640625" style="577" customWidth="1"/>
    <col min="9478" max="9478" width="12" style="577"/>
    <col min="9479" max="9479" width="5.1640625" style="577" customWidth="1"/>
    <col min="9480" max="9480" width="17.1640625" style="577" customWidth="1"/>
    <col min="9481" max="9481" width="4.5" style="577" customWidth="1"/>
    <col min="9482" max="9482" width="16.1640625" style="577" customWidth="1"/>
    <col min="9483" max="9483" width="4.83203125" style="577" customWidth="1"/>
    <col min="9484" max="9484" width="17.1640625" style="577" customWidth="1"/>
    <col min="9485" max="9485" width="4.1640625" style="577" customWidth="1"/>
    <col min="9486" max="9727" width="12" style="577"/>
    <col min="9728" max="9728" width="7" style="577" customWidth="1"/>
    <col min="9729" max="9729" width="2.33203125" style="577" customWidth="1"/>
    <col min="9730" max="9731" width="12" style="577"/>
    <col min="9732" max="9732" width="6.5" style="577" customWidth="1"/>
    <col min="9733" max="9733" width="5.1640625" style="577" customWidth="1"/>
    <col min="9734" max="9734" width="12" style="577"/>
    <col min="9735" max="9735" width="5.1640625" style="577" customWidth="1"/>
    <col min="9736" max="9736" width="17.1640625" style="577" customWidth="1"/>
    <col min="9737" max="9737" width="4.5" style="577" customWidth="1"/>
    <col min="9738" max="9738" width="16.1640625" style="577" customWidth="1"/>
    <col min="9739" max="9739" width="4.83203125" style="577" customWidth="1"/>
    <col min="9740" max="9740" width="17.1640625" style="577" customWidth="1"/>
    <col min="9741" max="9741" width="4.1640625" style="577" customWidth="1"/>
    <col min="9742" max="9983" width="12" style="577"/>
    <col min="9984" max="9984" width="7" style="577" customWidth="1"/>
    <col min="9985" max="9985" width="2.33203125" style="577" customWidth="1"/>
    <col min="9986" max="9987" width="12" style="577"/>
    <col min="9988" max="9988" width="6.5" style="577" customWidth="1"/>
    <col min="9989" max="9989" width="5.1640625" style="577" customWidth="1"/>
    <col min="9990" max="9990" width="12" style="577"/>
    <col min="9991" max="9991" width="5.1640625" style="577" customWidth="1"/>
    <col min="9992" max="9992" width="17.1640625" style="577" customWidth="1"/>
    <col min="9993" max="9993" width="4.5" style="577" customWidth="1"/>
    <col min="9994" max="9994" width="16.1640625" style="577" customWidth="1"/>
    <col min="9995" max="9995" width="4.83203125" style="577" customWidth="1"/>
    <col min="9996" max="9996" width="17.1640625" style="577" customWidth="1"/>
    <col min="9997" max="9997" width="4.1640625" style="577" customWidth="1"/>
    <col min="9998" max="10239" width="12" style="577"/>
    <col min="10240" max="10240" width="7" style="577" customWidth="1"/>
    <col min="10241" max="10241" width="2.33203125" style="577" customWidth="1"/>
    <col min="10242" max="10243" width="12" style="577"/>
    <col min="10244" max="10244" width="6.5" style="577" customWidth="1"/>
    <col min="10245" max="10245" width="5.1640625" style="577" customWidth="1"/>
    <col min="10246" max="10246" width="12" style="577"/>
    <col min="10247" max="10247" width="5.1640625" style="577" customWidth="1"/>
    <col min="10248" max="10248" width="17.1640625" style="577" customWidth="1"/>
    <col min="10249" max="10249" width="4.5" style="577" customWidth="1"/>
    <col min="10250" max="10250" width="16.1640625" style="577" customWidth="1"/>
    <col min="10251" max="10251" width="4.83203125" style="577" customWidth="1"/>
    <col min="10252" max="10252" width="17.1640625" style="577" customWidth="1"/>
    <col min="10253" max="10253" width="4.1640625" style="577" customWidth="1"/>
    <col min="10254" max="10495" width="12" style="577"/>
    <col min="10496" max="10496" width="7" style="577" customWidth="1"/>
    <col min="10497" max="10497" width="2.33203125" style="577" customWidth="1"/>
    <col min="10498" max="10499" width="12" style="577"/>
    <col min="10500" max="10500" width="6.5" style="577" customWidth="1"/>
    <col min="10501" max="10501" width="5.1640625" style="577" customWidth="1"/>
    <col min="10502" max="10502" width="12" style="577"/>
    <col min="10503" max="10503" width="5.1640625" style="577" customWidth="1"/>
    <col min="10504" max="10504" width="17.1640625" style="577" customWidth="1"/>
    <col min="10505" max="10505" width="4.5" style="577" customWidth="1"/>
    <col min="10506" max="10506" width="16.1640625" style="577" customWidth="1"/>
    <col min="10507" max="10507" width="4.83203125" style="577" customWidth="1"/>
    <col min="10508" max="10508" width="17.1640625" style="577" customWidth="1"/>
    <col min="10509" max="10509" width="4.1640625" style="577" customWidth="1"/>
    <col min="10510" max="10751" width="12" style="577"/>
    <col min="10752" max="10752" width="7" style="577" customWidth="1"/>
    <col min="10753" max="10753" width="2.33203125" style="577" customWidth="1"/>
    <col min="10754" max="10755" width="12" style="577"/>
    <col min="10756" max="10756" width="6.5" style="577" customWidth="1"/>
    <col min="10757" max="10757" width="5.1640625" style="577" customWidth="1"/>
    <col min="10758" max="10758" width="12" style="577"/>
    <col min="10759" max="10759" width="5.1640625" style="577" customWidth="1"/>
    <col min="10760" max="10760" width="17.1640625" style="577" customWidth="1"/>
    <col min="10761" max="10761" width="4.5" style="577" customWidth="1"/>
    <col min="10762" max="10762" width="16.1640625" style="577" customWidth="1"/>
    <col min="10763" max="10763" width="4.83203125" style="577" customWidth="1"/>
    <col min="10764" max="10764" width="17.1640625" style="577" customWidth="1"/>
    <col min="10765" max="10765" width="4.1640625" style="577" customWidth="1"/>
    <col min="10766" max="11007" width="12" style="577"/>
    <col min="11008" max="11008" width="7" style="577" customWidth="1"/>
    <col min="11009" max="11009" width="2.33203125" style="577" customWidth="1"/>
    <col min="11010" max="11011" width="12" style="577"/>
    <col min="11012" max="11012" width="6.5" style="577" customWidth="1"/>
    <col min="11013" max="11013" width="5.1640625" style="577" customWidth="1"/>
    <col min="11014" max="11014" width="12" style="577"/>
    <col min="11015" max="11015" width="5.1640625" style="577" customWidth="1"/>
    <col min="11016" max="11016" width="17.1640625" style="577" customWidth="1"/>
    <col min="11017" max="11017" width="4.5" style="577" customWidth="1"/>
    <col min="11018" max="11018" width="16.1640625" style="577" customWidth="1"/>
    <col min="11019" max="11019" width="4.83203125" style="577" customWidth="1"/>
    <col min="11020" max="11020" width="17.1640625" style="577" customWidth="1"/>
    <col min="11021" max="11021" width="4.1640625" style="577" customWidth="1"/>
    <col min="11022" max="11263" width="12" style="577"/>
    <col min="11264" max="11264" width="7" style="577" customWidth="1"/>
    <col min="11265" max="11265" width="2.33203125" style="577" customWidth="1"/>
    <col min="11266" max="11267" width="12" style="577"/>
    <col min="11268" max="11268" width="6.5" style="577" customWidth="1"/>
    <col min="11269" max="11269" width="5.1640625" style="577" customWidth="1"/>
    <col min="11270" max="11270" width="12" style="577"/>
    <col min="11271" max="11271" width="5.1640625" style="577" customWidth="1"/>
    <col min="11272" max="11272" width="17.1640625" style="577" customWidth="1"/>
    <col min="11273" max="11273" width="4.5" style="577" customWidth="1"/>
    <col min="11274" max="11274" width="16.1640625" style="577" customWidth="1"/>
    <col min="11275" max="11275" width="4.83203125" style="577" customWidth="1"/>
    <col min="11276" max="11276" width="17.1640625" style="577" customWidth="1"/>
    <col min="11277" max="11277" width="4.1640625" style="577" customWidth="1"/>
    <col min="11278" max="11519" width="12" style="577"/>
    <col min="11520" max="11520" width="7" style="577" customWidth="1"/>
    <col min="11521" max="11521" width="2.33203125" style="577" customWidth="1"/>
    <col min="11522" max="11523" width="12" style="577"/>
    <col min="11524" max="11524" width="6.5" style="577" customWidth="1"/>
    <col min="11525" max="11525" width="5.1640625" style="577" customWidth="1"/>
    <col min="11526" max="11526" width="12" style="577"/>
    <col min="11527" max="11527" width="5.1640625" style="577" customWidth="1"/>
    <col min="11528" max="11528" width="17.1640625" style="577" customWidth="1"/>
    <col min="11529" max="11529" width="4.5" style="577" customWidth="1"/>
    <col min="11530" max="11530" width="16.1640625" style="577" customWidth="1"/>
    <col min="11531" max="11531" width="4.83203125" style="577" customWidth="1"/>
    <col min="11532" max="11532" width="17.1640625" style="577" customWidth="1"/>
    <col min="11533" max="11533" width="4.1640625" style="577" customWidth="1"/>
    <col min="11534" max="11775" width="12" style="577"/>
    <col min="11776" max="11776" width="7" style="577" customWidth="1"/>
    <col min="11777" max="11777" width="2.33203125" style="577" customWidth="1"/>
    <col min="11778" max="11779" width="12" style="577"/>
    <col min="11780" max="11780" width="6.5" style="577" customWidth="1"/>
    <col min="11781" max="11781" width="5.1640625" style="577" customWidth="1"/>
    <col min="11782" max="11782" width="12" style="577"/>
    <col min="11783" max="11783" width="5.1640625" style="577" customWidth="1"/>
    <col min="11784" max="11784" width="17.1640625" style="577" customWidth="1"/>
    <col min="11785" max="11785" width="4.5" style="577" customWidth="1"/>
    <col min="11786" max="11786" width="16.1640625" style="577" customWidth="1"/>
    <col min="11787" max="11787" width="4.83203125" style="577" customWidth="1"/>
    <col min="11788" max="11788" width="17.1640625" style="577" customWidth="1"/>
    <col min="11789" max="11789" width="4.1640625" style="577" customWidth="1"/>
    <col min="11790" max="12031" width="12" style="577"/>
    <col min="12032" max="12032" width="7" style="577" customWidth="1"/>
    <col min="12033" max="12033" width="2.33203125" style="577" customWidth="1"/>
    <col min="12034" max="12035" width="12" style="577"/>
    <col min="12036" max="12036" width="6.5" style="577" customWidth="1"/>
    <col min="12037" max="12037" width="5.1640625" style="577" customWidth="1"/>
    <col min="12038" max="12038" width="12" style="577"/>
    <col min="12039" max="12039" width="5.1640625" style="577" customWidth="1"/>
    <col min="12040" max="12040" width="17.1640625" style="577" customWidth="1"/>
    <col min="12041" max="12041" width="4.5" style="577" customWidth="1"/>
    <col min="12042" max="12042" width="16.1640625" style="577" customWidth="1"/>
    <col min="12043" max="12043" width="4.83203125" style="577" customWidth="1"/>
    <col min="12044" max="12044" width="17.1640625" style="577" customWidth="1"/>
    <col min="12045" max="12045" width="4.1640625" style="577" customWidth="1"/>
    <col min="12046" max="12287" width="12" style="577"/>
    <col min="12288" max="12288" width="7" style="577" customWidth="1"/>
    <col min="12289" max="12289" width="2.33203125" style="577" customWidth="1"/>
    <col min="12290" max="12291" width="12" style="577"/>
    <col min="12292" max="12292" width="6.5" style="577" customWidth="1"/>
    <col min="12293" max="12293" width="5.1640625" style="577" customWidth="1"/>
    <col min="12294" max="12294" width="12" style="577"/>
    <col min="12295" max="12295" width="5.1640625" style="577" customWidth="1"/>
    <col min="12296" max="12296" width="17.1640625" style="577" customWidth="1"/>
    <col min="12297" max="12297" width="4.5" style="577" customWidth="1"/>
    <col min="12298" max="12298" width="16.1640625" style="577" customWidth="1"/>
    <col min="12299" max="12299" width="4.83203125" style="577" customWidth="1"/>
    <col min="12300" max="12300" width="17.1640625" style="577" customWidth="1"/>
    <col min="12301" max="12301" width="4.1640625" style="577" customWidth="1"/>
    <col min="12302" max="12543" width="12" style="577"/>
    <col min="12544" max="12544" width="7" style="577" customWidth="1"/>
    <col min="12545" max="12545" width="2.33203125" style="577" customWidth="1"/>
    <col min="12546" max="12547" width="12" style="577"/>
    <col min="12548" max="12548" width="6.5" style="577" customWidth="1"/>
    <col min="12549" max="12549" width="5.1640625" style="577" customWidth="1"/>
    <col min="12550" max="12550" width="12" style="577"/>
    <col min="12551" max="12551" width="5.1640625" style="577" customWidth="1"/>
    <col min="12552" max="12552" width="17.1640625" style="577" customWidth="1"/>
    <col min="12553" max="12553" width="4.5" style="577" customWidth="1"/>
    <col min="12554" max="12554" width="16.1640625" style="577" customWidth="1"/>
    <col min="12555" max="12555" width="4.83203125" style="577" customWidth="1"/>
    <col min="12556" max="12556" width="17.1640625" style="577" customWidth="1"/>
    <col min="12557" max="12557" width="4.1640625" style="577" customWidth="1"/>
    <col min="12558" max="12799" width="12" style="577"/>
    <col min="12800" max="12800" width="7" style="577" customWidth="1"/>
    <col min="12801" max="12801" width="2.33203125" style="577" customWidth="1"/>
    <col min="12802" max="12803" width="12" style="577"/>
    <col min="12804" max="12804" width="6.5" style="577" customWidth="1"/>
    <col min="12805" max="12805" width="5.1640625" style="577" customWidth="1"/>
    <col min="12806" max="12806" width="12" style="577"/>
    <col min="12807" max="12807" width="5.1640625" style="577" customWidth="1"/>
    <col min="12808" max="12808" width="17.1640625" style="577" customWidth="1"/>
    <col min="12809" max="12809" width="4.5" style="577" customWidth="1"/>
    <col min="12810" max="12810" width="16.1640625" style="577" customWidth="1"/>
    <col min="12811" max="12811" width="4.83203125" style="577" customWidth="1"/>
    <col min="12812" max="12812" width="17.1640625" style="577" customWidth="1"/>
    <col min="12813" max="12813" width="4.1640625" style="577" customWidth="1"/>
    <col min="12814" max="13055" width="12" style="577"/>
    <col min="13056" max="13056" width="7" style="577" customWidth="1"/>
    <col min="13057" max="13057" width="2.33203125" style="577" customWidth="1"/>
    <col min="13058" max="13059" width="12" style="577"/>
    <col min="13060" max="13060" width="6.5" style="577" customWidth="1"/>
    <col min="13061" max="13061" width="5.1640625" style="577" customWidth="1"/>
    <col min="13062" max="13062" width="12" style="577"/>
    <col min="13063" max="13063" width="5.1640625" style="577" customWidth="1"/>
    <col min="13064" max="13064" width="17.1640625" style="577" customWidth="1"/>
    <col min="13065" max="13065" width="4.5" style="577" customWidth="1"/>
    <col min="13066" max="13066" width="16.1640625" style="577" customWidth="1"/>
    <col min="13067" max="13067" width="4.83203125" style="577" customWidth="1"/>
    <col min="13068" max="13068" width="17.1640625" style="577" customWidth="1"/>
    <col min="13069" max="13069" width="4.1640625" style="577" customWidth="1"/>
    <col min="13070" max="13311" width="12" style="577"/>
    <col min="13312" max="13312" width="7" style="577" customWidth="1"/>
    <col min="13313" max="13313" width="2.33203125" style="577" customWidth="1"/>
    <col min="13314" max="13315" width="12" style="577"/>
    <col min="13316" max="13316" width="6.5" style="577" customWidth="1"/>
    <col min="13317" max="13317" width="5.1640625" style="577" customWidth="1"/>
    <col min="13318" max="13318" width="12" style="577"/>
    <col min="13319" max="13319" width="5.1640625" style="577" customWidth="1"/>
    <col min="13320" max="13320" width="17.1640625" style="577" customWidth="1"/>
    <col min="13321" max="13321" width="4.5" style="577" customWidth="1"/>
    <col min="13322" max="13322" width="16.1640625" style="577" customWidth="1"/>
    <col min="13323" max="13323" width="4.83203125" style="577" customWidth="1"/>
    <col min="13324" max="13324" width="17.1640625" style="577" customWidth="1"/>
    <col min="13325" max="13325" width="4.1640625" style="577" customWidth="1"/>
    <col min="13326" max="13567" width="12" style="577"/>
    <col min="13568" max="13568" width="7" style="577" customWidth="1"/>
    <col min="13569" max="13569" width="2.33203125" style="577" customWidth="1"/>
    <col min="13570" max="13571" width="12" style="577"/>
    <col min="13572" max="13572" width="6.5" style="577" customWidth="1"/>
    <col min="13573" max="13573" width="5.1640625" style="577" customWidth="1"/>
    <col min="13574" max="13574" width="12" style="577"/>
    <col min="13575" max="13575" width="5.1640625" style="577" customWidth="1"/>
    <col min="13576" max="13576" width="17.1640625" style="577" customWidth="1"/>
    <col min="13577" max="13577" width="4.5" style="577" customWidth="1"/>
    <col min="13578" max="13578" width="16.1640625" style="577" customWidth="1"/>
    <col min="13579" max="13579" width="4.83203125" style="577" customWidth="1"/>
    <col min="13580" max="13580" width="17.1640625" style="577" customWidth="1"/>
    <col min="13581" max="13581" width="4.1640625" style="577" customWidth="1"/>
    <col min="13582" max="13823" width="12" style="577"/>
    <col min="13824" max="13824" width="7" style="577" customWidth="1"/>
    <col min="13825" max="13825" width="2.33203125" style="577" customWidth="1"/>
    <col min="13826" max="13827" width="12" style="577"/>
    <col min="13828" max="13828" width="6.5" style="577" customWidth="1"/>
    <col min="13829" max="13829" width="5.1640625" style="577" customWidth="1"/>
    <col min="13830" max="13830" width="12" style="577"/>
    <col min="13831" max="13831" width="5.1640625" style="577" customWidth="1"/>
    <col min="13832" max="13832" width="17.1640625" style="577" customWidth="1"/>
    <col min="13833" max="13833" width="4.5" style="577" customWidth="1"/>
    <col min="13834" max="13834" width="16.1640625" style="577" customWidth="1"/>
    <col min="13835" max="13835" width="4.83203125" style="577" customWidth="1"/>
    <col min="13836" max="13836" width="17.1640625" style="577" customWidth="1"/>
    <col min="13837" max="13837" width="4.1640625" style="577" customWidth="1"/>
    <col min="13838" max="14079" width="12" style="577"/>
    <col min="14080" max="14080" width="7" style="577" customWidth="1"/>
    <col min="14081" max="14081" width="2.33203125" style="577" customWidth="1"/>
    <col min="14082" max="14083" width="12" style="577"/>
    <col min="14084" max="14084" width="6.5" style="577" customWidth="1"/>
    <col min="14085" max="14085" width="5.1640625" style="577" customWidth="1"/>
    <col min="14086" max="14086" width="12" style="577"/>
    <col min="14087" max="14087" width="5.1640625" style="577" customWidth="1"/>
    <col min="14088" max="14088" width="17.1640625" style="577" customWidth="1"/>
    <col min="14089" max="14089" width="4.5" style="577" customWidth="1"/>
    <col min="14090" max="14090" width="16.1640625" style="577" customWidth="1"/>
    <col min="14091" max="14091" width="4.83203125" style="577" customWidth="1"/>
    <col min="14092" max="14092" width="17.1640625" style="577" customWidth="1"/>
    <col min="14093" max="14093" width="4.1640625" style="577" customWidth="1"/>
    <col min="14094" max="14335" width="12" style="577"/>
    <col min="14336" max="14336" width="7" style="577" customWidth="1"/>
    <col min="14337" max="14337" width="2.33203125" style="577" customWidth="1"/>
    <col min="14338" max="14339" width="12" style="577"/>
    <col min="14340" max="14340" width="6.5" style="577" customWidth="1"/>
    <col min="14341" max="14341" width="5.1640625" style="577" customWidth="1"/>
    <col min="14342" max="14342" width="12" style="577"/>
    <col min="14343" max="14343" width="5.1640625" style="577" customWidth="1"/>
    <col min="14344" max="14344" width="17.1640625" style="577" customWidth="1"/>
    <col min="14345" max="14345" width="4.5" style="577" customWidth="1"/>
    <col min="14346" max="14346" width="16.1640625" style="577" customWidth="1"/>
    <col min="14347" max="14347" width="4.83203125" style="577" customWidth="1"/>
    <col min="14348" max="14348" width="17.1640625" style="577" customWidth="1"/>
    <col min="14349" max="14349" width="4.1640625" style="577" customWidth="1"/>
    <col min="14350" max="14591" width="12" style="577"/>
    <col min="14592" max="14592" width="7" style="577" customWidth="1"/>
    <col min="14593" max="14593" width="2.33203125" style="577" customWidth="1"/>
    <col min="14594" max="14595" width="12" style="577"/>
    <col min="14596" max="14596" width="6.5" style="577" customWidth="1"/>
    <col min="14597" max="14597" width="5.1640625" style="577" customWidth="1"/>
    <col min="14598" max="14598" width="12" style="577"/>
    <col min="14599" max="14599" width="5.1640625" style="577" customWidth="1"/>
    <col min="14600" max="14600" width="17.1640625" style="577" customWidth="1"/>
    <col min="14601" max="14601" width="4.5" style="577" customWidth="1"/>
    <col min="14602" max="14602" width="16.1640625" style="577" customWidth="1"/>
    <col min="14603" max="14603" width="4.83203125" style="577" customWidth="1"/>
    <col min="14604" max="14604" width="17.1640625" style="577" customWidth="1"/>
    <col min="14605" max="14605" width="4.1640625" style="577" customWidth="1"/>
    <col min="14606" max="14847" width="12" style="577"/>
    <col min="14848" max="14848" width="7" style="577" customWidth="1"/>
    <col min="14849" max="14849" width="2.33203125" style="577" customWidth="1"/>
    <col min="14850" max="14851" width="12" style="577"/>
    <col min="14852" max="14852" width="6.5" style="577" customWidth="1"/>
    <col min="14853" max="14853" width="5.1640625" style="577" customWidth="1"/>
    <col min="14854" max="14854" width="12" style="577"/>
    <col min="14855" max="14855" width="5.1640625" style="577" customWidth="1"/>
    <col min="14856" max="14856" width="17.1640625" style="577" customWidth="1"/>
    <col min="14857" max="14857" width="4.5" style="577" customWidth="1"/>
    <col min="14858" max="14858" width="16.1640625" style="577" customWidth="1"/>
    <col min="14859" max="14859" width="4.83203125" style="577" customWidth="1"/>
    <col min="14860" max="14860" width="17.1640625" style="577" customWidth="1"/>
    <col min="14861" max="14861" width="4.1640625" style="577" customWidth="1"/>
    <col min="14862" max="15103" width="12" style="577"/>
    <col min="15104" max="15104" width="7" style="577" customWidth="1"/>
    <col min="15105" max="15105" width="2.33203125" style="577" customWidth="1"/>
    <col min="15106" max="15107" width="12" style="577"/>
    <col min="15108" max="15108" width="6.5" style="577" customWidth="1"/>
    <col min="15109" max="15109" width="5.1640625" style="577" customWidth="1"/>
    <col min="15110" max="15110" width="12" style="577"/>
    <col min="15111" max="15111" width="5.1640625" style="577" customWidth="1"/>
    <col min="15112" max="15112" width="17.1640625" style="577" customWidth="1"/>
    <col min="15113" max="15113" width="4.5" style="577" customWidth="1"/>
    <col min="15114" max="15114" width="16.1640625" style="577" customWidth="1"/>
    <col min="15115" max="15115" width="4.83203125" style="577" customWidth="1"/>
    <col min="15116" max="15116" width="17.1640625" style="577" customWidth="1"/>
    <col min="15117" max="15117" width="4.1640625" style="577" customWidth="1"/>
    <col min="15118" max="15359" width="12" style="577"/>
    <col min="15360" max="15360" width="7" style="577" customWidth="1"/>
    <col min="15361" max="15361" width="2.33203125" style="577" customWidth="1"/>
    <col min="15362" max="15363" width="12" style="577"/>
    <col min="15364" max="15364" width="6.5" style="577" customWidth="1"/>
    <col min="15365" max="15365" width="5.1640625" style="577" customWidth="1"/>
    <col min="15366" max="15366" width="12" style="577"/>
    <col min="15367" max="15367" width="5.1640625" style="577" customWidth="1"/>
    <col min="15368" max="15368" width="17.1640625" style="577" customWidth="1"/>
    <col min="15369" max="15369" width="4.5" style="577" customWidth="1"/>
    <col min="15370" max="15370" width="16.1640625" style="577" customWidth="1"/>
    <col min="15371" max="15371" width="4.83203125" style="577" customWidth="1"/>
    <col min="15372" max="15372" width="17.1640625" style="577" customWidth="1"/>
    <col min="15373" max="15373" width="4.1640625" style="577" customWidth="1"/>
    <col min="15374" max="15615" width="12" style="577"/>
    <col min="15616" max="15616" width="7" style="577" customWidth="1"/>
    <col min="15617" max="15617" width="2.33203125" style="577" customWidth="1"/>
    <col min="15618" max="15619" width="12" style="577"/>
    <col min="15620" max="15620" width="6.5" style="577" customWidth="1"/>
    <col min="15621" max="15621" width="5.1640625" style="577" customWidth="1"/>
    <col min="15622" max="15622" width="12" style="577"/>
    <col min="15623" max="15623" width="5.1640625" style="577" customWidth="1"/>
    <col min="15624" max="15624" width="17.1640625" style="577" customWidth="1"/>
    <col min="15625" max="15625" width="4.5" style="577" customWidth="1"/>
    <col min="15626" max="15626" width="16.1640625" style="577" customWidth="1"/>
    <col min="15627" max="15627" width="4.83203125" style="577" customWidth="1"/>
    <col min="15628" max="15628" width="17.1640625" style="577" customWidth="1"/>
    <col min="15629" max="15629" width="4.1640625" style="577" customWidth="1"/>
    <col min="15630" max="15871" width="12" style="577"/>
    <col min="15872" max="15872" width="7" style="577" customWidth="1"/>
    <col min="15873" max="15873" width="2.33203125" style="577" customWidth="1"/>
    <col min="15874" max="15875" width="12" style="577"/>
    <col min="15876" max="15876" width="6.5" style="577" customWidth="1"/>
    <col min="15877" max="15877" width="5.1640625" style="577" customWidth="1"/>
    <col min="15878" max="15878" width="12" style="577"/>
    <col min="15879" max="15879" width="5.1640625" style="577" customWidth="1"/>
    <col min="15880" max="15880" width="17.1640625" style="577" customWidth="1"/>
    <col min="15881" max="15881" width="4.5" style="577" customWidth="1"/>
    <col min="15882" max="15882" width="16.1640625" style="577" customWidth="1"/>
    <col min="15883" max="15883" width="4.83203125" style="577" customWidth="1"/>
    <col min="15884" max="15884" width="17.1640625" style="577" customWidth="1"/>
    <col min="15885" max="15885" width="4.1640625" style="577" customWidth="1"/>
    <col min="15886" max="16127" width="12" style="577"/>
    <col min="16128" max="16128" width="7" style="577" customWidth="1"/>
    <col min="16129" max="16129" width="2.33203125" style="577" customWidth="1"/>
    <col min="16130" max="16131" width="12" style="577"/>
    <col min="16132" max="16132" width="6.5" style="577" customWidth="1"/>
    <col min="16133" max="16133" width="5.1640625" style="577" customWidth="1"/>
    <col min="16134" max="16134" width="12" style="577"/>
    <col min="16135" max="16135" width="5.1640625" style="577" customWidth="1"/>
    <col min="16136" max="16136" width="17.1640625" style="577" customWidth="1"/>
    <col min="16137" max="16137" width="4.5" style="577" customWidth="1"/>
    <col min="16138" max="16138" width="16.1640625" style="577" customWidth="1"/>
    <col min="16139" max="16139" width="4.83203125" style="577" customWidth="1"/>
    <col min="16140" max="16140" width="17.1640625" style="577" customWidth="1"/>
    <col min="16141" max="16141" width="4.1640625" style="577" customWidth="1"/>
    <col min="16142" max="16384" width="12" style="577"/>
  </cols>
  <sheetData>
    <row r="1" spans="1:14">
      <c r="J1" s="578" t="str">
        <f>+'CPA Amount of Change'!L2</f>
        <v>CNGC Advice W22-09-02</v>
      </c>
    </row>
    <row r="2" spans="1:14">
      <c r="J2" s="579" t="s">
        <v>254</v>
      </c>
    </row>
    <row r="3" spans="1:14">
      <c r="J3" s="579" t="s">
        <v>386</v>
      </c>
    </row>
    <row r="4" spans="1:14">
      <c r="M4" s="580"/>
    </row>
    <row r="5" spans="1:14">
      <c r="C5" s="581" t="s">
        <v>47</v>
      </c>
      <c r="D5" s="581"/>
      <c r="E5" s="582"/>
      <c r="F5" s="582"/>
      <c r="G5" s="582"/>
      <c r="H5" s="582"/>
      <c r="I5" s="582"/>
      <c r="J5" s="582"/>
      <c r="K5" s="582"/>
      <c r="L5" s="582"/>
      <c r="M5" s="580"/>
    </row>
    <row r="6" spans="1:14">
      <c r="C6" s="1035" t="s">
        <v>264</v>
      </c>
      <c r="D6" s="1035"/>
      <c r="E6" s="1035"/>
      <c r="F6" s="1035"/>
      <c r="G6" s="1035"/>
      <c r="H6" s="1035"/>
      <c r="I6" s="1035"/>
      <c r="J6" s="1035"/>
      <c r="K6" s="1035"/>
      <c r="L6" s="1035"/>
      <c r="M6" s="583"/>
    </row>
    <row r="7" spans="1:14" hidden="1">
      <c r="C7" s="581" t="s">
        <v>174</v>
      </c>
      <c r="D7" s="581"/>
      <c r="E7" s="582"/>
      <c r="F7" s="582"/>
      <c r="G7" s="582"/>
      <c r="H7" s="582"/>
      <c r="I7" s="582"/>
      <c r="J7" s="582"/>
      <c r="K7" s="582"/>
      <c r="L7" s="582"/>
      <c r="M7" s="580"/>
    </row>
    <row r="8" spans="1:14">
      <c r="C8" s="581" t="s">
        <v>48</v>
      </c>
      <c r="D8" s="581"/>
      <c r="E8" s="582"/>
      <c r="F8" s="582"/>
      <c r="G8" s="582"/>
      <c r="H8" s="582"/>
      <c r="I8" s="582"/>
      <c r="J8" s="582"/>
      <c r="K8" s="582"/>
      <c r="L8" s="582"/>
    </row>
    <row r="9" spans="1:14">
      <c r="D9" s="577" t="str">
        <f>+'Combined PGA TTA Avg Bill'!D6</f>
        <v>UG-210755</v>
      </c>
      <c r="H9" s="291"/>
      <c r="I9" s="469" t="s">
        <v>6</v>
      </c>
      <c r="J9" s="291"/>
      <c r="K9" s="810" t="s">
        <v>6</v>
      </c>
      <c r="L9" s="291"/>
    </row>
    <row r="10" spans="1:14">
      <c r="D10" s="584" t="s">
        <v>79</v>
      </c>
      <c r="F10" s="584" t="s">
        <v>154</v>
      </c>
      <c r="G10" s="584" t="s">
        <v>154</v>
      </c>
      <c r="H10" s="469" t="s">
        <v>6</v>
      </c>
      <c r="I10" s="471">
        <v>44866</v>
      </c>
      <c r="J10" s="291"/>
      <c r="K10" s="481">
        <v>44866</v>
      </c>
      <c r="L10" s="291"/>
    </row>
    <row r="11" spans="1:14">
      <c r="A11" s="585" t="s">
        <v>7</v>
      </c>
      <c r="D11" s="584" t="s">
        <v>80</v>
      </c>
      <c r="E11" s="584" t="s">
        <v>229</v>
      </c>
      <c r="F11" s="471">
        <v>44835</v>
      </c>
      <c r="G11" s="471">
        <v>44835</v>
      </c>
      <c r="H11" s="471">
        <v>44866</v>
      </c>
      <c r="I11" s="469" t="s">
        <v>265</v>
      </c>
      <c r="J11" s="469" t="s">
        <v>241</v>
      </c>
      <c r="K11" s="811" t="s">
        <v>266</v>
      </c>
      <c r="L11" s="469"/>
      <c r="N11" s="582"/>
    </row>
    <row r="12" spans="1:14">
      <c r="A12" s="585" t="s">
        <v>9</v>
      </c>
      <c r="C12" s="586" t="s">
        <v>228</v>
      </c>
      <c r="D12" s="586" t="s">
        <v>236</v>
      </c>
      <c r="E12" s="586" t="s">
        <v>230</v>
      </c>
      <c r="F12" s="586" t="s">
        <v>231</v>
      </c>
      <c r="G12" s="586" t="s">
        <v>235</v>
      </c>
      <c r="H12" s="479" t="s">
        <v>266</v>
      </c>
      <c r="I12" s="479" t="s">
        <v>235</v>
      </c>
      <c r="J12" s="479" t="s">
        <v>242</v>
      </c>
      <c r="K12" s="812" t="s">
        <v>243</v>
      </c>
      <c r="L12" s="469"/>
      <c r="N12" s="582"/>
    </row>
    <row r="13" spans="1:14">
      <c r="A13" s="585"/>
      <c r="C13" s="584"/>
      <c r="D13" s="584"/>
      <c r="E13" s="584"/>
      <c r="F13" s="584"/>
      <c r="G13" s="584" t="s">
        <v>237</v>
      </c>
      <c r="H13" s="584"/>
      <c r="I13" s="584" t="s">
        <v>240</v>
      </c>
      <c r="K13" s="587"/>
      <c r="L13" s="584"/>
      <c r="N13" s="582"/>
    </row>
    <row r="14" spans="1:14">
      <c r="C14" s="584" t="s">
        <v>14</v>
      </c>
      <c r="D14" s="584" t="s">
        <v>15</v>
      </c>
      <c r="E14" s="584" t="s">
        <v>16</v>
      </c>
      <c r="F14" s="584" t="s">
        <v>17</v>
      </c>
      <c r="G14" s="584" t="s">
        <v>18</v>
      </c>
      <c r="H14" s="584" t="s">
        <v>81</v>
      </c>
      <c r="I14" s="584" t="s">
        <v>62</v>
      </c>
      <c r="J14" s="584" t="s">
        <v>63</v>
      </c>
      <c r="K14" s="588" t="s">
        <v>64</v>
      </c>
    </row>
    <row r="15" spans="1:14">
      <c r="K15" s="588"/>
    </row>
    <row r="16" spans="1:14">
      <c r="A16" s="577">
        <v>1</v>
      </c>
      <c r="C16" s="577" t="s">
        <v>218</v>
      </c>
      <c r="D16" s="589">
        <f>+'Effects of PGA Avg. Bill'!D16</f>
        <v>54</v>
      </c>
      <c r="E16" s="590">
        <f>+'Effects of PGA Avg. Bill'!E16</f>
        <v>5</v>
      </c>
      <c r="F16" s="591">
        <f>+'Effects of PGA Avg. Bill'!F16</f>
        <v>1.03712</v>
      </c>
      <c r="G16" s="592">
        <f>+E16+(D16*F16)</f>
        <v>61.004480000000001</v>
      </c>
      <c r="H16" s="591">
        <f>+F16+'CPA Amount of Change'!K13</f>
        <v>1.0373399999999999</v>
      </c>
      <c r="I16" s="593">
        <f>E16+(D16*H16)</f>
        <v>61.016359999999999</v>
      </c>
      <c r="J16" s="594">
        <f>+I16-G16</f>
        <v>1.1879999999997892E-2</v>
      </c>
      <c r="K16" s="491">
        <f>+J16/G16</f>
        <v>1.9473979615919834E-4</v>
      </c>
      <c r="L16" s="592"/>
      <c r="N16" s="595"/>
    </row>
    <row r="17" spans="1:14">
      <c r="D17" s="589"/>
      <c r="E17" s="590"/>
      <c r="F17" s="591"/>
      <c r="G17" s="592"/>
      <c r="H17" s="591"/>
      <c r="I17" s="593"/>
      <c r="J17" s="594"/>
      <c r="K17" s="491"/>
    </row>
    <row r="18" spans="1:14">
      <c r="A18" s="577">
        <v>2</v>
      </c>
      <c r="C18" s="577" t="s">
        <v>219</v>
      </c>
      <c r="D18" s="589">
        <f>+'Effects of PGA Avg. Bill'!D18</f>
        <v>271</v>
      </c>
      <c r="E18" s="590">
        <f>+'Effects of PGA Avg. Bill'!E18</f>
        <v>13</v>
      </c>
      <c r="F18" s="591">
        <f>+'Effects of PGA Avg. Bill'!F18</f>
        <v>0.97065999999999997</v>
      </c>
      <c r="G18" s="592">
        <f>+E18+(D18*F18)</f>
        <v>276.04885999999999</v>
      </c>
      <c r="H18" s="591">
        <f>+F18+'CPA Amount of Change'!K14</f>
        <v>0.97087999999999997</v>
      </c>
      <c r="I18" s="593">
        <f>E18+(D18*H18)</f>
        <v>276.10847999999999</v>
      </c>
      <c r="J18" s="594">
        <f t="shared" ref="J18:J30" si="0">+I18-G18</f>
        <v>5.9619999999995343E-2</v>
      </c>
      <c r="K18" s="491">
        <f t="shared" ref="K18:K35" si="1">+J18/G18</f>
        <v>2.1597625869563579E-4</v>
      </c>
      <c r="L18" s="592"/>
      <c r="N18" s="595"/>
    </row>
    <row r="19" spans="1:14">
      <c r="D19" s="589"/>
      <c r="E19" s="590"/>
      <c r="F19" s="591"/>
      <c r="G19" s="592"/>
      <c r="H19" s="591"/>
      <c r="J19" s="594"/>
      <c r="K19" s="491"/>
    </row>
    <row r="20" spans="1:14">
      <c r="A20" s="577">
        <v>3</v>
      </c>
      <c r="C20" s="577" t="s">
        <v>220</v>
      </c>
      <c r="D20" s="589"/>
      <c r="E20" s="590">
        <f>+'Effects of PGA Avg. Bill'!E20</f>
        <v>60</v>
      </c>
      <c r="F20" s="591"/>
      <c r="G20" s="592"/>
      <c r="H20" s="591"/>
      <c r="J20" s="594"/>
      <c r="K20" s="491"/>
      <c r="L20" s="596"/>
      <c r="N20" s="595"/>
    </row>
    <row r="21" spans="1:14">
      <c r="A21" s="577">
        <v>4</v>
      </c>
      <c r="C21" s="577" t="s">
        <v>221</v>
      </c>
      <c r="D21" s="589"/>
      <c r="E21" s="590"/>
      <c r="F21" s="591">
        <f>+'Effects of PGA Avg. Bill'!F21</f>
        <v>0.89552000000000009</v>
      </c>
      <c r="G21" s="292">
        <f>+E20+(500*F21)</f>
        <v>507.76000000000005</v>
      </c>
      <c r="H21" s="591">
        <f>+F21+'CPA Amount of Change'!K15</f>
        <v>0.89574000000000009</v>
      </c>
      <c r="I21" s="292">
        <f>+E20+(500*H21)</f>
        <v>507.87000000000006</v>
      </c>
      <c r="J21" s="594"/>
      <c r="K21" s="491"/>
      <c r="L21" s="596"/>
      <c r="N21" s="595"/>
    </row>
    <row r="22" spans="1:14">
      <c r="A22" s="577">
        <v>5</v>
      </c>
      <c r="C22" s="577" t="s">
        <v>222</v>
      </c>
      <c r="D22" s="589"/>
      <c r="E22" s="590"/>
      <c r="F22" s="591">
        <f>+'Effects of PGA Avg. Bill'!F22</f>
        <v>0.85544000000000009</v>
      </c>
      <c r="G22" s="292">
        <f>+(D24-500)*F22</f>
        <v>1276.3164800000002</v>
      </c>
      <c r="H22" s="591">
        <f>+F22+'CPA Amount of Change'!K15</f>
        <v>0.85566000000000009</v>
      </c>
      <c r="I22" s="292">
        <f>+(D24-500)*H22</f>
        <v>1276.6447200000002</v>
      </c>
      <c r="J22" s="594"/>
      <c r="K22" s="491"/>
      <c r="L22" s="596"/>
      <c r="N22" s="595"/>
    </row>
    <row r="23" spans="1:14">
      <c r="A23" s="577">
        <v>6</v>
      </c>
      <c r="C23" s="577" t="s">
        <v>223</v>
      </c>
      <c r="D23" s="589"/>
      <c r="E23" s="590"/>
      <c r="F23" s="591">
        <f>+'Effects of PGA Avg. Bill'!F23</f>
        <v>0.84938000000000002</v>
      </c>
      <c r="G23" s="292"/>
      <c r="H23" s="591">
        <f>+F23+'CPA Amount of Change'!K15</f>
        <v>0.84960000000000002</v>
      </c>
      <c r="I23" s="291"/>
      <c r="J23" s="594"/>
      <c r="K23" s="491"/>
      <c r="L23" s="596"/>
    </row>
    <row r="24" spans="1:14">
      <c r="A24" s="577">
        <v>7</v>
      </c>
      <c r="C24" s="585" t="s">
        <v>232</v>
      </c>
      <c r="D24" s="597">
        <f>+'Effects of PGA Avg. Bill'!D24</f>
        <v>1992</v>
      </c>
      <c r="E24" s="590"/>
      <c r="F24" s="591"/>
      <c r="G24" s="292">
        <f>+SUM((G21:G23))</f>
        <v>1784.0764800000002</v>
      </c>
      <c r="H24" s="592"/>
      <c r="I24" s="292">
        <f>+SUM(I21:I23)</f>
        <v>1784.5147200000004</v>
      </c>
      <c r="J24" s="594">
        <f t="shared" si="0"/>
        <v>0.43824000000017804</v>
      </c>
      <c r="K24" s="491">
        <f t="shared" si="1"/>
        <v>2.4563969365269477E-4</v>
      </c>
      <c r="L24" s="596"/>
      <c r="N24" s="595"/>
    </row>
    <row r="25" spans="1:14">
      <c r="C25" s="580"/>
      <c r="D25" s="589"/>
      <c r="E25" s="590"/>
      <c r="F25" s="591"/>
      <c r="G25" s="292"/>
      <c r="H25" s="591"/>
      <c r="I25" s="291"/>
      <c r="J25" s="594"/>
      <c r="K25" s="491"/>
      <c r="L25" s="596"/>
      <c r="N25" s="595"/>
    </row>
    <row r="26" spans="1:14">
      <c r="A26" s="577">
        <v>8</v>
      </c>
      <c r="C26" s="577" t="s">
        <v>224</v>
      </c>
      <c r="D26" s="589"/>
      <c r="E26" s="590">
        <f>+'Effects of PGA Avg. Bill'!E26</f>
        <v>125</v>
      </c>
      <c r="F26" s="591"/>
      <c r="G26" s="292"/>
      <c r="H26" s="591"/>
      <c r="I26" s="291"/>
      <c r="J26" s="594"/>
      <c r="K26" s="491"/>
      <c r="L26" s="596"/>
      <c r="N26" s="595"/>
    </row>
    <row r="27" spans="1:14">
      <c r="A27" s="577">
        <v>9</v>
      </c>
      <c r="C27" s="577" t="s">
        <v>221</v>
      </c>
      <c r="D27" s="589"/>
      <c r="E27" s="590"/>
      <c r="F27" s="591">
        <f>+'Effects of PGA Avg. Bill'!F27</f>
        <v>0.78754000000000002</v>
      </c>
      <c r="G27" s="292">
        <f>+E26+(+F27*500)</f>
        <v>518.77</v>
      </c>
      <c r="H27" s="591">
        <f>+F27+'CPA Amount of Change'!K16</f>
        <v>0.78776000000000002</v>
      </c>
      <c r="I27" s="292">
        <f>+E26+(+H27*500)</f>
        <v>518.88</v>
      </c>
      <c r="J27" s="594"/>
      <c r="K27" s="491"/>
    </row>
    <row r="28" spans="1:14">
      <c r="A28" s="577">
        <v>10</v>
      </c>
      <c r="B28" s="580"/>
      <c r="C28" s="577" t="s">
        <v>222</v>
      </c>
      <c r="D28" s="589"/>
      <c r="E28" s="590"/>
      <c r="F28" s="591">
        <f>+'Effects of PGA Avg. Bill'!F28</f>
        <v>0.74803999999999993</v>
      </c>
      <c r="G28" s="292">
        <f>+F28*3500</f>
        <v>2618.14</v>
      </c>
      <c r="H28" s="591">
        <f>+F28+'CPA Amount of Change'!K16</f>
        <v>0.74825999999999993</v>
      </c>
      <c r="I28" s="292">
        <f>+H28*3500</f>
        <v>2618.91</v>
      </c>
      <c r="J28" s="594"/>
      <c r="K28" s="491"/>
    </row>
    <row r="29" spans="1:14">
      <c r="A29" s="577">
        <v>11</v>
      </c>
      <c r="B29" s="580"/>
      <c r="C29" s="577" t="s">
        <v>223</v>
      </c>
      <c r="D29" s="589"/>
      <c r="E29" s="590"/>
      <c r="F29" s="591">
        <f>+'Effects of PGA Avg. Bill'!F29</f>
        <v>0.65034000000000003</v>
      </c>
      <c r="G29" s="292">
        <f>+(+D30-(4000))*F29</f>
        <v>8219.6472599999997</v>
      </c>
      <c r="H29" s="591">
        <f>+F29+'CPA Amount of Change'!K16</f>
        <v>0.65056000000000003</v>
      </c>
      <c r="I29" s="292">
        <f>+(+D30-(4000))*H29</f>
        <v>8222.4278400000003</v>
      </c>
      <c r="J29" s="594"/>
      <c r="K29" s="491"/>
    </row>
    <row r="30" spans="1:14">
      <c r="A30" s="577">
        <v>12</v>
      </c>
      <c r="B30" s="580"/>
      <c r="C30" s="585" t="s">
        <v>233</v>
      </c>
      <c r="D30" s="597">
        <f>+'Effects of PGA Avg. Bill'!D30</f>
        <v>16639</v>
      </c>
      <c r="E30" s="590"/>
      <c r="F30" s="591"/>
      <c r="G30" s="292">
        <f>+SUM(G27:G29)</f>
        <v>11356.55726</v>
      </c>
      <c r="H30" s="592"/>
      <c r="I30" s="292">
        <f>+SUM(I27:I29)</f>
        <v>11360.217840000001</v>
      </c>
      <c r="J30" s="594">
        <f t="shared" si="0"/>
        <v>3.6605800000015734</v>
      </c>
      <c r="K30" s="491">
        <f t="shared" si="1"/>
        <v>3.2233184020432379E-4</v>
      </c>
    </row>
    <row r="31" spans="1:14">
      <c r="D31" s="597"/>
      <c r="E31" s="590"/>
      <c r="F31" s="591"/>
      <c r="G31" s="292"/>
      <c r="H31" s="591"/>
      <c r="I31" s="291"/>
      <c r="J31" s="594"/>
      <c r="K31" s="491"/>
    </row>
    <row r="32" spans="1:14">
      <c r="A32" s="577">
        <v>13</v>
      </c>
      <c r="C32" s="577" t="s">
        <v>225</v>
      </c>
      <c r="D32" s="597"/>
      <c r="E32" s="590">
        <f>+'Effects of PGA Avg. Bill'!E32</f>
        <v>163</v>
      </c>
      <c r="F32" s="591"/>
      <c r="G32" s="292"/>
      <c r="H32" s="591"/>
      <c r="I32" s="291"/>
      <c r="J32" s="594"/>
      <c r="K32" s="491"/>
    </row>
    <row r="33" spans="1:14">
      <c r="A33" s="577">
        <v>14</v>
      </c>
      <c r="C33" s="577" t="s">
        <v>226</v>
      </c>
      <c r="D33" s="597"/>
      <c r="F33" s="591">
        <f>+'Effects of PGA Avg. Bill'!F33</f>
        <v>0.75481999999999994</v>
      </c>
      <c r="G33" s="292">
        <f>+E32+(D35*F33)</f>
        <v>17699.733059999999</v>
      </c>
      <c r="H33" s="591">
        <f>+F33+'CPA Amount of Change'!K17</f>
        <v>0.75503999999999993</v>
      </c>
      <c r="I33" s="292">
        <f>+E32+(D35*H33)</f>
        <v>17704.84432</v>
      </c>
      <c r="J33" s="594"/>
      <c r="K33" s="491"/>
    </row>
    <row r="34" spans="1:14">
      <c r="A34" s="577">
        <v>15</v>
      </c>
      <c r="C34" s="577" t="s">
        <v>227</v>
      </c>
      <c r="D34" s="597"/>
      <c r="F34" s="591">
        <f>+'Effects of PGA Avg. Bill'!F34</f>
        <v>0.68815000000000004</v>
      </c>
      <c r="G34" s="292"/>
      <c r="H34" s="591">
        <f>+F34+'CPA Amount of Change'!K17</f>
        <v>0.68837000000000004</v>
      </c>
      <c r="I34" s="291"/>
      <c r="J34" s="594"/>
      <c r="K34" s="491"/>
    </row>
    <row r="35" spans="1:14">
      <c r="A35" s="577">
        <v>16</v>
      </c>
      <c r="C35" s="585" t="s">
        <v>234</v>
      </c>
      <c r="D35" s="597">
        <f>+'Effects of PGA Avg. Bill'!D35</f>
        <v>23233</v>
      </c>
      <c r="G35" s="859">
        <f>+G33+G34</f>
        <v>17699.733059999999</v>
      </c>
      <c r="H35" s="592"/>
      <c r="I35" s="292">
        <f>+I33+I34</f>
        <v>17704.84432</v>
      </c>
      <c r="J35" s="594">
        <f>+I35-G35</f>
        <v>5.1112600000014936</v>
      </c>
      <c r="K35" s="492">
        <f t="shared" si="1"/>
        <v>2.8877610654776136E-4</v>
      </c>
    </row>
    <row r="37" spans="1:14">
      <c r="N37" s="595"/>
    </row>
  </sheetData>
  <mergeCells count="1">
    <mergeCell ref="C6:L6"/>
  </mergeCells>
  <printOptions horizontalCentered="1"/>
  <pageMargins left="0.2" right="0.2" top="1" bottom="0.17" header="0.35" footer="0.5"/>
  <pageSetup scale="91" orientation="landscape" r:id="rId1"/>
  <headerFooter scaleWithDoc="0" alignWithMargins="0">
    <oddFooter>&amp;LTab Name: &amp;A</oddFooter>
  </headerFooter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2386-DF6D-46B7-8437-D56858772557}">
  <sheetPr>
    <tabColor rgb="FF7030A0"/>
  </sheetPr>
  <dimension ref="B2:J28"/>
  <sheetViews>
    <sheetView workbookViewId="0">
      <selection sqref="A1:I1"/>
    </sheetView>
  </sheetViews>
  <sheetFormatPr defaultRowHeight="10.5"/>
  <cols>
    <col min="2" max="2" width="67.1640625" bestFit="1" customWidth="1"/>
    <col min="6" max="6" width="10.1640625" style="615" bestFit="1" customWidth="1"/>
  </cols>
  <sheetData>
    <row r="2" spans="2:10" ht="15.75">
      <c r="B2" s="1011" t="s">
        <v>153</v>
      </c>
      <c r="C2" s="1011"/>
      <c r="D2" s="1011"/>
      <c r="E2" s="1011"/>
      <c r="F2" s="1011"/>
      <c r="G2" s="611"/>
      <c r="H2" s="611"/>
      <c r="I2" s="611"/>
      <c r="J2" s="611"/>
    </row>
    <row r="4" spans="2:10" ht="15.75">
      <c r="B4" s="1010" t="s">
        <v>194</v>
      </c>
      <c r="C4" s="1010"/>
      <c r="D4" s="1010"/>
      <c r="E4" s="1010"/>
      <c r="F4" s="1010"/>
      <c r="G4" s="500"/>
      <c r="H4" s="500"/>
      <c r="I4" s="500"/>
      <c r="J4" s="500"/>
    </row>
    <row r="7" spans="2:10" ht="15.75">
      <c r="B7" s="1010" t="s">
        <v>209</v>
      </c>
      <c r="C7" s="1010"/>
      <c r="D7" s="1010"/>
      <c r="E7" s="1010"/>
      <c r="F7" s="1010"/>
    </row>
    <row r="10" spans="2:10" ht="15.75">
      <c r="B10" s="415" t="s">
        <v>0</v>
      </c>
      <c r="C10" s="414"/>
      <c r="D10" s="414"/>
      <c r="E10" s="414"/>
      <c r="F10" s="415" t="s">
        <v>195</v>
      </c>
      <c r="G10" s="414"/>
    </row>
    <row r="11" spans="2:10" ht="15.75">
      <c r="B11" s="414"/>
      <c r="C11" s="414"/>
      <c r="D11" s="414"/>
      <c r="E11" s="414"/>
      <c r="F11" s="416"/>
      <c r="G11" s="414"/>
    </row>
    <row r="12" spans="2:10" ht="15.75">
      <c r="B12" s="612" t="s">
        <v>308</v>
      </c>
      <c r="C12" s="612"/>
      <c r="D12" s="612"/>
      <c r="E12" s="612"/>
      <c r="F12" s="614">
        <v>1</v>
      </c>
      <c r="G12" s="414"/>
    </row>
    <row r="13" spans="2:10" ht="15.75">
      <c r="B13" s="612" t="s">
        <v>289</v>
      </c>
      <c r="C13" s="612"/>
      <c r="D13" s="612"/>
      <c r="E13" s="612"/>
      <c r="F13" s="614">
        <v>2</v>
      </c>
      <c r="G13" s="414"/>
    </row>
    <row r="14" spans="2:10" ht="15.75">
      <c r="B14" s="612" t="s">
        <v>290</v>
      </c>
      <c r="C14" s="612"/>
      <c r="D14" s="612"/>
      <c r="E14" s="612"/>
      <c r="F14" s="614">
        <v>3</v>
      </c>
      <c r="G14" s="414"/>
    </row>
    <row r="15" spans="2:10" ht="15.75">
      <c r="B15" s="612" t="s">
        <v>291</v>
      </c>
      <c r="C15" s="612"/>
      <c r="D15" s="612"/>
      <c r="E15" s="612"/>
      <c r="F15" s="614">
        <v>4</v>
      </c>
      <c r="G15" s="414"/>
    </row>
    <row r="16" spans="2:10" ht="15.75">
      <c r="C16" s="612"/>
      <c r="D16" s="612"/>
      <c r="E16" s="612"/>
      <c r="F16" s="613"/>
      <c r="G16" s="414"/>
    </row>
    <row r="17" spans="2:7" ht="15.75">
      <c r="C17" s="612"/>
      <c r="D17" s="612"/>
      <c r="E17" s="612"/>
      <c r="F17" s="614"/>
      <c r="G17" s="414"/>
    </row>
    <row r="18" spans="2:7" ht="15.75">
      <c r="C18" s="612"/>
      <c r="D18" s="612"/>
      <c r="E18" s="612"/>
      <c r="F18" s="614"/>
      <c r="G18" s="414"/>
    </row>
    <row r="19" spans="2:7" ht="15.75">
      <c r="C19" s="612"/>
      <c r="D19" s="612"/>
      <c r="E19" s="612"/>
      <c r="F19" s="614"/>
      <c r="G19" s="414"/>
    </row>
    <row r="20" spans="2:7" ht="15.75">
      <c r="B20" s="414"/>
      <c r="C20" s="414"/>
      <c r="D20" s="414"/>
      <c r="E20" s="414"/>
      <c r="F20" s="417"/>
      <c r="G20" s="414"/>
    </row>
    <row r="21" spans="2:7" ht="15.75">
      <c r="B21" s="414"/>
      <c r="C21" s="414"/>
      <c r="D21" s="414"/>
      <c r="E21" s="414"/>
      <c r="F21" s="416"/>
      <c r="G21" s="414"/>
    </row>
    <row r="22" spans="2:7" ht="15.75">
      <c r="B22" s="414"/>
      <c r="C22" s="414"/>
      <c r="D22" s="414"/>
      <c r="E22" s="414"/>
      <c r="F22" s="416"/>
      <c r="G22" s="414"/>
    </row>
    <row r="23" spans="2:7" ht="15.75">
      <c r="B23" s="414"/>
      <c r="C23" s="414"/>
      <c r="D23" s="414"/>
      <c r="E23" s="414"/>
      <c r="F23" s="416"/>
      <c r="G23" s="414"/>
    </row>
    <row r="24" spans="2:7" ht="15.75">
      <c r="B24" s="414"/>
      <c r="C24" s="414"/>
      <c r="D24" s="414"/>
      <c r="E24" s="414"/>
      <c r="F24" s="416"/>
      <c r="G24" s="414"/>
    </row>
    <row r="25" spans="2:7" ht="15.75">
      <c r="B25" s="414"/>
      <c r="C25" s="414"/>
      <c r="D25" s="414"/>
      <c r="E25" s="414"/>
      <c r="F25" s="416"/>
      <c r="G25" s="414"/>
    </row>
    <row r="26" spans="2:7" ht="15.75">
      <c r="B26" s="414"/>
      <c r="C26" s="414"/>
      <c r="D26" s="414"/>
      <c r="E26" s="414"/>
      <c r="F26" s="416"/>
      <c r="G26" s="414"/>
    </row>
    <row r="27" spans="2:7" ht="15.75">
      <c r="B27" s="414"/>
      <c r="C27" s="414"/>
      <c r="D27" s="414"/>
      <c r="E27" s="414"/>
      <c r="F27" s="416"/>
      <c r="G27" s="414"/>
    </row>
    <row r="28" spans="2:7" ht="15.75">
      <c r="B28" s="414"/>
      <c r="C28" s="414"/>
      <c r="D28" s="414"/>
      <c r="E28" s="414"/>
      <c r="F28" s="416"/>
      <c r="G28" s="414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B540-5F18-4890-A92F-79F5C99AE2EE}">
  <sheetPr>
    <tabColor rgb="FF7030A0"/>
  </sheetPr>
  <dimension ref="A1:X31"/>
  <sheetViews>
    <sheetView workbookViewId="0">
      <selection sqref="A1:I1"/>
    </sheetView>
  </sheetViews>
  <sheetFormatPr defaultRowHeight="10.5"/>
  <cols>
    <col min="1" max="1" width="9.33203125" style="616"/>
    <col min="2" max="2" width="12.6640625" style="616" customWidth="1"/>
    <col min="3" max="3" width="22.5" style="616" customWidth="1"/>
    <col min="4" max="4" width="16.5" style="616" bestFit="1" customWidth="1"/>
    <col min="5" max="5" width="3" style="616" customWidth="1"/>
    <col min="6" max="6" width="22" style="616" bestFit="1" customWidth="1"/>
    <col min="7" max="7" width="2.83203125" style="616" customWidth="1"/>
    <col min="8" max="8" width="15.83203125" style="616" bestFit="1" customWidth="1"/>
    <col min="9" max="9" width="18.5" style="616" bestFit="1" customWidth="1"/>
    <col min="10" max="10" width="17.1640625" style="616" bestFit="1" customWidth="1"/>
    <col min="11" max="11" width="20" style="616" bestFit="1" customWidth="1"/>
    <col min="12" max="12" width="17.1640625" style="616" bestFit="1" customWidth="1"/>
    <col min="13" max="13" width="2.83203125" style="616" customWidth="1"/>
    <col min="14" max="14" width="15.83203125" style="616" bestFit="1" customWidth="1"/>
    <col min="15" max="15" width="4.1640625" style="616" customWidth="1"/>
    <col min="16" max="16" width="10.83203125" style="616" customWidth="1"/>
    <col min="17" max="17" width="3.1640625" style="616" customWidth="1"/>
    <col min="18" max="18" width="11" style="616" customWidth="1"/>
    <col min="19" max="19" width="3" style="616" customWidth="1"/>
    <col min="20" max="20" width="11.1640625" style="616" customWidth="1"/>
    <col min="21" max="21" width="3.5" style="616" customWidth="1"/>
    <col min="22" max="257" width="9.33203125" style="616"/>
    <col min="258" max="258" width="12.6640625" style="616" customWidth="1"/>
    <col min="259" max="259" width="20.6640625" style="616" customWidth="1"/>
    <col min="260" max="260" width="13" style="616" customWidth="1"/>
    <col min="261" max="261" width="3" style="616" customWidth="1"/>
    <col min="262" max="262" width="16.1640625" style="616" customWidth="1"/>
    <col min="263" max="263" width="2.83203125" style="616" customWidth="1"/>
    <col min="264" max="264" width="13.33203125" style="616" customWidth="1"/>
    <col min="265" max="265" width="3.33203125" style="616" customWidth="1"/>
    <col min="266" max="266" width="11.83203125" style="616" customWidth="1"/>
    <col min="267" max="267" width="3" style="616" customWidth="1"/>
    <col min="268" max="268" width="16" style="616" customWidth="1"/>
    <col min="269" max="269" width="2.83203125" style="616" customWidth="1"/>
    <col min="270" max="270" width="10.5" style="616" customWidth="1"/>
    <col min="271" max="271" width="4.1640625" style="616" customWidth="1"/>
    <col min="272" max="272" width="10.83203125" style="616" customWidth="1"/>
    <col min="273" max="273" width="3.1640625" style="616" customWidth="1"/>
    <col min="274" max="274" width="11" style="616" customWidth="1"/>
    <col min="275" max="275" width="3" style="616" customWidth="1"/>
    <col min="276" max="276" width="11.1640625" style="616" customWidth="1"/>
    <col min="277" max="277" width="3.5" style="616" customWidth="1"/>
    <col min="278" max="513" width="9.33203125" style="616"/>
    <col min="514" max="514" width="12.6640625" style="616" customWidth="1"/>
    <col min="515" max="515" width="20.6640625" style="616" customWidth="1"/>
    <col min="516" max="516" width="13" style="616" customWidth="1"/>
    <col min="517" max="517" width="3" style="616" customWidth="1"/>
    <col min="518" max="518" width="16.1640625" style="616" customWidth="1"/>
    <col min="519" max="519" width="2.83203125" style="616" customWidth="1"/>
    <col min="520" max="520" width="13.33203125" style="616" customWidth="1"/>
    <col min="521" max="521" width="3.33203125" style="616" customWidth="1"/>
    <col min="522" max="522" width="11.83203125" style="616" customWidth="1"/>
    <col min="523" max="523" width="3" style="616" customWidth="1"/>
    <col min="524" max="524" width="16" style="616" customWidth="1"/>
    <col min="525" max="525" width="2.83203125" style="616" customWidth="1"/>
    <col min="526" max="526" width="10.5" style="616" customWidth="1"/>
    <col min="527" max="527" width="4.1640625" style="616" customWidth="1"/>
    <col min="528" max="528" width="10.83203125" style="616" customWidth="1"/>
    <col min="529" max="529" width="3.1640625" style="616" customWidth="1"/>
    <col min="530" max="530" width="11" style="616" customWidth="1"/>
    <col min="531" max="531" width="3" style="616" customWidth="1"/>
    <col min="532" max="532" width="11.1640625" style="616" customWidth="1"/>
    <col min="533" max="533" width="3.5" style="616" customWidth="1"/>
    <col min="534" max="769" width="9.33203125" style="616"/>
    <col min="770" max="770" width="12.6640625" style="616" customWidth="1"/>
    <col min="771" max="771" width="20.6640625" style="616" customWidth="1"/>
    <col min="772" max="772" width="13" style="616" customWidth="1"/>
    <col min="773" max="773" width="3" style="616" customWidth="1"/>
    <col min="774" max="774" width="16.1640625" style="616" customWidth="1"/>
    <col min="775" max="775" width="2.83203125" style="616" customWidth="1"/>
    <col min="776" max="776" width="13.33203125" style="616" customWidth="1"/>
    <col min="777" max="777" width="3.33203125" style="616" customWidth="1"/>
    <col min="778" max="778" width="11.83203125" style="616" customWidth="1"/>
    <col min="779" max="779" width="3" style="616" customWidth="1"/>
    <col min="780" max="780" width="16" style="616" customWidth="1"/>
    <col min="781" max="781" width="2.83203125" style="616" customWidth="1"/>
    <col min="782" max="782" width="10.5" style="616" customWidth="1"/>
    <col min="783" max="783" width="4.1640625" style="616" customWidth="1"/>
    <col min="784" max="784" width="10.83203125" style="616" customWidth="1"/>
    <col min="785" max="785" width="3.1640625" style="616" customWidth="1"/>
    <col min="786" max="786" width="11" style="616" customWidth="1"/>
    <col min="787" max="787" width="3" style="616" customWidth="1"/>
    <col min="788" max="788" width="11.1640625" style="616" customWidth="1"/>
    <col min="789" max="789" width="3.5" style="616" customWidth="1"/>
    <col min="790" max="1025" width="9.33203125" style="616"/>
    <col min="1026" max="1026" width="12.6640625" style="616" customWidth="1"/>
    <col min="1027" max="1027" width="20.6640625" style="616" customWidth="1"/>
    <col min="1028" max="1028" width="13" style="616" customWidth="1"/>
    <col min="1029" max="1029" width="3" style="616" customWidth="1"/>
    <col min="1030" max="1030" width="16.1640625" style="616" customWidth="1"/>
    <col min="1031" max="1031" width="2.83203125" style="616" customWidth="1"/>
    <col min="1032" max="1032" width="13.33203125" style="616" customWidth="1"/>
    <col min="1033" max="1033" width="3.33203125" style="616" customWidth="1"/>
    <col min="1034" max="1034" width="11.83203125" style="616" customWidth="1"/>
    <col min="1035" max="1035" width="3" style="616" customWidth="1"/>
    <col min="1036" max="1036" width="16" style="616" customWidth="1"/>
    <col min="1037" max="1037" width="2.83203125" style="616" customWidth="1"/>
    <col min="1038" max="1038" width="10.5" style="616" customWidth="1"/>
    <col min="1039" max="1039" width="4.1640625" style="616" customWidth="1"/>
    <col min="1040" max="1040" width="10.83203125" style="616" customWidth="1"/>
    <col min="1041" max="1041" width="3.1640625" style="616" customWidth="1"/>
    <col min="1042" max="1042" width="11" style="616" customWidth="1"/>
    <col min="1043" max="1043" width="3" style="616" customWidth="1"/>
    <col min="1044" max="1044" width="11.1640625" style="616" customWidth="1"/>
    <col min="1045" max="1045" width="3.5" style="616" customWidth="1"/>
    <col min="1046" max="1281" width="9.33203125" style="616"/>
    <col min="1282" max="1282" width="12.6640625" style="616" customWidth="1"/>
    <col min="1283" max="1283" width="20.6640625" style="616" customWidth="1"/>
    <col min="1284" max="1284" width="13" style="616" customWidth="1"/>
    <col min="1285" max="1285" width="3" style="616" customWidth="1"/>
    <col min="1286" max="1286" width="16.1640625" style="616" customWidth="1"/>
    <col min="1287" max="1287" width="2.83203125" style="616" customWidth="1"/>
    <col min="1288" max="1288" width="13.33203125" style="616" customWidth="1"/>
    <col min="1289" max="1289" width="3.33203125" style="616" customWidth="1"/>
    <col min="1290" max="1290" width="11.83203125" style="616" customWidth="1"/>
    <col min="1291" max="1291" width="3" style="616" customWidth="1"/>
    <col min="1292" max="1292" width="16" style="616" customWidth="1"/>
    <col min="1293" max="1293" width="2.83203125" style="616" customWidth="1"/>
    <col min="1294" max="1294" width="10.5" style="616" customWidth="1"/>
    <col min="1295" max="1295" width="4.1640625" style="616" customWidth="1"/>
    <col min="1296" max="1296" width="10.83203125" style="616" customWidth="1"/>
    <col min="1297" max="1297" width="3.1640625" style="616" customWidth="1"/>
    <col min="1298" max="1298" width="11" style="616" customWidth="1"/>
    <col min="1299" max="1299" width="3" style="616" customWidth="1"/>
    <col min="1300" max="1300" width="11.1640625" style="616" customWidth="1"/>
    <col min="1301" max="1301" width="3.5" style="616" customWidth="1"/>
    <col min="1302" max="1537" width="9.33203125" style="616"/>
    <col min="1538" max="1538" width="12.6640625" style="616" customWidth="1"/>
    <col min="1539" max="1539" width="20.6640625" style="616" customWidth="1"/>
    <col min="1540" max="1540" width="13" style="616" customWidth="1"/>
    <col min="1541" max="1541" width="3" style="616" customWidth="1"/>
    <col min="1542" max="1542" width="16.1640625" style="616" customWidth="1"/>
    <col min="1543" max="1543" width="2.83203125" style="616" customWidth="1"/>
    <col min="1544" max="1544" width="13.33203125" style="616" customWidth="1"/>
    <col min="1545" max="1545" width="3.33203125" style="616" customWidth="1"/>
    <col min="1546" max="1546" width="11.83203125" style="616" customWidth="1"/>
    <col min="1547" max="1547" width="3" style="616" customWidth="1"/>
    <col min="1548" max="1548" width="16" style="616" customWidth="1"/>
    <col min="1549" max="1549" width="2.83203125" style="616" customWidth="1"/>
    <col min="1550" max="1550" width="10.5" style="616" customWidth="1"/>
    <col min="1551" max="1551" width="4.1640625" style="616" customWidth="1"/>
    <col min="1552" max="1552" width="10.83203125" style="616" customWidth="1"/>
    <col min="1553" max="1553" width="3.1640625" style="616" customWidth="1"/>
    <col min="1554" max="1554" width="11" style="616" customWidth="1"/>
    <col min="1555" max="1555" width="3" style="616" customWidth="1"/>
    <col min="1556" max="1556" width="11.1640625" style="616" customWidth="1"/>
    <col min="1557" max="1557" width="3.5" style="616" customWidth="1"/>
    <col min="1558" max="1793" width="9.33203125" style="616"/>
    <col min="1794" max="1794" width="12.6640625" style="616" customWidth="1"/>
    <col min="1795" max="1795" width="20.6640625" style="616" customWidth="1"/>
    <col min="1796" max="1796" width="13" style="616" customWidth="1"/>
    <col min="1797" max="1797" width="3" style="616" customWidth="1"/>
    <col min="1798" max="1798" width="16.1640625" style="616" customWidth="1"/>
    <col min="1799" max="1799" width="2.83203125" style="616" customWidth="1"/>
    <col min="1800" max="1800" width="13.33203125" style="616" customWidth="1"/>
    <col min="1801" max="1801" width="3.33203125" style="616" customWidth="1"/>
    <col min="1802" max="1802" width="11.83203125" style="616" customWidth="1"/>
    <col min="1803" max="1803" width="3" style="616" customWidth="1"/>
    <col min="1804" max="1804" width="16" style="616" customWidth="1"/>
    <col min="1805" max="1805" width="2.83203125" style="616" customWidth="1"/>
    <col min="1806" max="1806" width="10.5" style="616" customWidth="1"/>
    <col min="1807" max="1807" width="4.1640625" style="616" customWidth="1"/>
    <col min="1808" max="1808" width="10.83203125" style="616" customWidth="1"/>
    <col min="1809" max="1809" width="3.1640625" style="616" customWidth="1"/>
    <col min="1810" max="1810" width="11" style="616" customWidth="1"/>
    <col min="1811" max="1811" width="3" style="616" customWidth="1"/>
    <col min="1812" max="1812" width="11.1640625" style="616" customWidth="1"/>
    <col min="1813" max="1813" width="3.5" style="616" customWidth="1"/>
    <col min="1814" max="2049" width="9.33203125" style="616"/>
    <col min="2050" max="2050" width="12.6640625" style="616" customWidth="1"/>
    <col min="2051" max="2051" width="20.6640625" style="616" customWidth="1"/>
    <col min="2052" max="2052" width="13" style="616" customWidth="1"/>
    <col min="2053" max="2053" width="3" style="616" customWidth="1"/>
    <col min="2054" max="2054" width="16.1640625" style="616" customWidth="1"/>
    <col min="2055" max="2055" width="2.83203125" style="616" customWidth="1"/>
    <col min="2056" max="2056" width="13.33203125" style="616" customWidth="1"/>
    <col min="2057" max="2057" width="3.33203125" style="616" customWidth="1"/>
    <col min="2058" max="2058" width="11.83203125" style="616" customWidth="1"/>
    <col min="2059" max="2059" width="3" style="616" customWidth="1"/>
    <col min="2060" max="2060" width="16" style="616" customWidth="1"/>
    <col min="2061" max="2061" width="2.83203125" style="616" customWidth="1"/>
    <col min="2062" max="2062" width="10.5" style="616" customWidth="1"/>
    <col min="2063" max="2063" width="4.1640625" style="616" customWidth="1"/>
    <col min="2064" max="2064" width="10.83203125" style="616" customWidth="1"/>
    <col min="2065" max="2065" width="3.1640625" style="616" customWidth="1"/>
    <col min="2066" max="2066" width="11" style="616" customWidth="1"/>
    <col min="2067" max="2067" width="3" style="616" customWidth="1"/>
    <col min="2068" max="2068" width="11.1640625" style="616" customWidth="1"/>
    <col min="2069" max="2069" width="3.5" style="616" customWidth="1"/>
    <col min="2070" max="2305" width="9.33203125" style="616"/>
    <col min="2306" max="2306" width="12.6640625" style="616" customWidth="1"/>
    <col min="2307" max="2307" width="20.6640625" style="616" customWidth="1"/>
    <col min="2308" max="2308" width="13" style="616" customWidth="1"/>
    <col min="2309" max="2309" width="3" style="616" customWidth="1"/>
    <col min="2310" max="2310" width="16.1640625" style="616" customWidth="1"/>
    <col min="2311" max="2311" width="2.83203125" style="616" customWidth="1"/>
    <col min="2312" max="2312" width="13.33203125" style="616" customWidth="1"/>
    <col min="2313" max="2313" width="3.33203125" style="616" customWidth="1"/>
    <col min="2314" max="2314" width="11.83203125" style="616" customWidth="1"/>
    <col min="2315" max="2315" width="3" style="616" customWidth="1"/>
    <col min="2316" max="2316" width="16" style="616" customWidth="1"/>
    <col min="2317" max="2317" width="2.83203125" style="616" customWidth="1"/>
    <col min="2318" max="2318" width="10.5" style="616" customWidth="1"/>
    <col min="2319" max="2319" width="4.1640625" style="616" customWidth="1"/>
    <col min="2320" max="2320" width="10.83203125" style="616" customWidth="1"/>
    <col min="2321" max="2321" width="3.1640625" style="616" customWidth="1"/>
    <col min="2322" max="2322" width="11" style="616" customWidth="1"/>
    <col min="2323" max="2323" width="3" style="616" customWidth="1"/>
    <col min="2324" max="2324" width="11.1640625" style="616" customWidth="1"/>
    <col min="2325" max="2325" width="3.5" style="616" customWidth="1"/>
    <col min="2326" max="2561" width="9.33203125" style="616"/>
    <col min="2562" max="2562" width="12.6640625" style="616" customWidth="1"/>
    <col min="2563" max="2563" width="20.6640625" style="616" customWidth="1"/>
    <col min="2564" max="2564" width="13" style="616" customWidth="1"/>
    <col min="2565" max="2565" width="3" style="616" customWidth="1"/>
    <col min="2566" max="2566" width="16.1640625" style="616" customWidth="1"/>
    <col min="2567" max="2567" width="2.83203125" style="616" customWidth="1"/>
    <col min="2568" max="2568" width="13.33203125" style="616" customWidth="1"/>
    <col min="2569" max="2569" width="3.33203125" style="616" customWidth="1"/>
    <col min="2570" max="2570" width="11.83203125" style="616" customWidth="1"/>
    <col min="2571" max="2571" width="3" style="616" customWidth="1"/>
    <col min="2572" max="2572" width="16" style="616" customWidth="1"/>
    <col min="2573" max="2573" width="2.83203125" style="616" customWidth="1"/>
    <col min="2574" max="2574" width="10.5" style="616" customWidth="1"/>
    <col min="2575" max="2575" width="4.1640625" style="616" customWidth="1"/>
    <col min="2576" max="2576" width="10.83203125" style="616" customWidth="1"/>
    <col min="2577" max="2577" width="3.1640625" style="616" customWidth="1"/>
    <col min="2578" max="2578" width="11" style="616" customWidth="1"/>
    <col min="2579" max="2579" width="3" style="616" customWidth="1"/>
    <col min="2580" max="2580" width="11.1640625" style="616" customWidth="1"/>
    <col min="2581" max="2581" width="3.5" style="616" customWidth="1"/>
    <col min="2582" max="2817" width="9.33203125" style="616"/>
    <col min="2818" max="2818" width="12.6640625" style="616" customWidth="1"/>
    <col min="2819" max="2819" width="20.6640625" style="616" customWidth="1"/>
    <col min="2820" max="2820" width="13" style="616" customWidth="1"/>
    <col min="2821" max="2821" width="3" style="616" customWidth="1"/>
    <col min="2822" max="2822" width="16.1640625" style="616" customWidth="1"/>
    <col min="2823" max="2823" width="2.83203125" style="616" customWidth="1"/>
    <col min="2824" max="2824" width="13.33203125" style="616" customWidth="1"/>
    <col min="2825" max="2825" width="3.33203125" style="616" customWidth="1"/>
    <col min="2826" max="2826" width="11.83203125" style="616" customWidth="1"/>
    <col min="2827" max="2827" width="3" style="616" customWidth="1"/>
    <col min="2828" max="2828" width="16" style="616" customWidth="1"/>
    <col min="2829" max="2829" width="2.83203125" style="616" customWidth="1"/>
    <col min="2830" max="2830" width="10.5" style="616" customWidth="1"/>
    <col min="2831" max="2831" width="4.1640625" style="616" customWidth="1"/>
    <col min="2832" max="2832" width="10.83203125" style="616" customWidth="1"/>
    <col min="2833" max="2833" width="3.1640625" style="616" customWidth="1"/>
    <col min="2834" max="2834" width="11" style="616" customWidth="1"/>
    <col min="2835" max="2835" width="3" style="616" customWidth="1"/>
    <col min="2836" max="2836" width="11.1640625" style="616" customWidth="1"/>
    <col min="2837" max="2837" width="3.5" style="616" customWidth="1"/>
    <col min="2838" max="3073" width="9.33203125" style="616"/>
    <col min="3074" max="3074" width="12.6640625" style="616" customWidth="1"/>
    <col min="3075" max="3075" width="20.6640625" style="616" customWidth="1"/>
    <col min="3076" max="3076" width="13" style="616" customWidth="1"/>
    <col min="3077" max="3077" width="3" style="616" customWidth="1"/>
    <col min="3078" max="3078" width="16.1640625" style="616" customWidth="1"/>
    <col min="3079" max="3079" width="2.83203125" style="616" customWidth="1"/>
    <col min="3080" max="3080" width="13.33203125" style="616" customWidth="1"/>
    <col min="3081" max="3081" width="3.33203125" style="616" customWidth="1"/>
    <col min="3082" max="3082" width="11.83203125" style="616" customWidth="1"/>
    <col min="3083" max="3083" width="3" style="616" customWidth="1"/>
    <col min="3084" max="3084" width="16" style="616" customWidth="1"/>
    <col min="3085" max="3085" width="2.83203125" style="616" customWidth="1"/>
    <col min="3086" max="3086" width="10.5" style="616" customWidth="1"/>
    <col min="3087" max="3087" width="4.1640625" style="616" customWidth="1"/>
    <col min="3088" max="3088" width="10.83203125" style="616" customWidth="1"/>
    <col min="3089" max="3089" width="3.1640625" style="616" customWidth="1"/>
    <col min="3090" max="3090" width="11" style="616" customWidth="1"/>
    <col min="3091" max="3091" width="3" style="616" customWidth="1"/>
    <col min="3092" max="3092" width="11.1640625" style="616" customWidth="1"/>
    <col min="3093" max="3093" width="3.5" style="616" customWidth="1"/>
    <col min="3094" max="3329" width="9.33203125" style="616"/>
    <col min="3330" max="3330" width="12.6640625" style="616" customWidth="1"/>
    <col min="3331" max="3331" width="20.6640625" style="616" customWidth="1"/>
    <col min="3332" max="3332" width="13" style="616" customWidth="1"/>
    <col min="3333" max="3333" width="3" style="616" customWidth="1"/>
    <col min="3334" max="3334" width="16.1640625" style="616" customWidth="1"/>
    <col min="3335" max="3335" width="2.83203125" style="616" customWidth="1"/>
    <col min="3336" max="3336" width="13.33203125" style="616" customWidth="1"/>
    <col min="3337" max="3337" width="3.33203125" style="616" customWidth="1"/>
    <col min="3338" max="3338" width="11.83203125" style="616" customWidth="1"/>
    <col min="3339" max="3339" width="3" style="616" customWidth="1"/>
    <col min="3340" max="3340" width="16" style="616" customWidth="1"/>
    <col min="3341" max="3341" width="2.83203125" style="616" customWidth="1"/>
    <col min="3342" max="3342" width="10.5" style="616" customWidth="1"/>
    <col min="3343" max="3343" width="4.1640625" style="616" customWidth="1"/>
    <col min="3344" max="3344" width="10.83203125" style="616" customWidth="1"/>
    <col min="3345" max="3345" width="3.1640625" style="616" customWidth="1"/>
    <col min="3346" max="3346" width="11" style="616" customWidth="1"/>
    <col min="3347" max="3347" width="3" style="616" customWidth="1"/>
    <col min="3348" max="3348" width="11.1640625" style="616" customWidth="1"/>
    <col min="3349" max="3349" width="3.5" style="616" customWidth="1"/>
    <col min="3350" max="3585" width="9.33203125" style="616"/>
    <col min="3586" max="3586" width="12.6640625" style="616" customWidth="1"/>
    <col min="3587" max="3587" width="20.6640625" style="616" customWidth="1"/>
    <col min="3588" max="3588" width="13" style="616" customWidth="1"/>
    <col min="3589" max="3589" width="3" style="616" customWidth="1"/>
    <col min="3590" max="3590" width="16.1640625" style="616" customWidth="1"/>
    <col min="3591" max="3591" width="2.83203125" style="616" customWidth="1"/>
    <col min="3592" max="3592" width="13.33203125" style="616" customWidth="1"/>
    <col min="3593" max="3593" width="3.33203125" style="616" customWidth="1"/>
    <col min="3594" max="3594" width="11.83203125" style="616" customWidth="1"/>
    <col min="3595" max="3595" width="3" style="616" customWidth="1"/>
    <col min="3596" max="3596" width="16" style="616" customWidth="1"/>
    <col min="3597" max="3597" width="2.83203125" style="616" customWidth="1"/>
    <col min="3598" max="3598" width="10.5" style="616" customWidth="1"/>
    <col min="3599" max="3599" width="4.1640625" style="616" customWidth="1"/>
    <col min="3600" max="3600" width="10.83203125" style="616" customWidth="1"/>
    <col min="3601" max="3601" width="3.1640625" style="616" customWidth="1"/>
    <col min="3602" max="3602" width="11" style="616" customWidth="1"/>
    <col min="3603" max="3603" width="3" style="616" customWidth="1"/>
    <col min="3604" max="3604" width="11.1640625" style="616" customWidth="1"/>
    <col min="3605" max="3605" width="3.5" style="616" customWidth="1"/>
    <col min="3606" max="3841" width="9.33203125" style="616"/>
    <col min="3842" max="3842" width="12.6640625" style="616" customWidth="1"/>
    <col min="3843" max="3843" width="20.6640625" style="616" customWidth="1"/>
    <col min="3844" max="3844" width="13" style="616" customWidth="1"/>
    <col min="3845" max="3845" width="3" style="616" customWidth="1"/>
    <col min="3846" max="3846" width="16.1640625" style="616" customWidth="1"/>
    <col min="3847" max="3847" width="2.83203125" style="616" customWidth="1"/>
    <col min="3848" max="3848" width="13.33203125" style="616" customWidth="1"/>
    <col min="3849" max="3849" width="3.33203125" style="616" customWidth="1"/>
    <col min="3850" max="3850" width="11.83203125" style="616" customWidth="1"/>
    <col min="3851" max="3851" width="3" style="616" customWidth="1"/>
    <col min="3852" max="3852" width="16" style="616" customWidth="1"/>
    <col min="3853" max="3853" width="2.83203125" style="616" customWidth="1"/>
    <col min="3854" max="3854" width="10.5" style="616" customWidth="1"/>
    <col min="3855" max="3855" width="4.1640625" style="616" customWidth="1"/>
    <col min="3856" max="3856" width="10.83203125" style="616" customWidth="1"/>
    <col min="3857" max="3857" width="3.1640625" style="616" customWidth="1"/>
    <col min="3858" max="3858" width="11" style="616" customWidth="1"/>
    <col min="3859" max="3859" width="3" style="616" customWidth="1"/>
    <col min="3860" max="3860" width="11.1640625" style="616" customWidth="1"/>
    <col min="3861" max="3861" width="3.5" style="616" customWidth="1"/>
    <col min="3862" max="4097" width="9.33203125" style="616"/>
    <col min="4098" max="4098" width="12.6640625" style="616" customWidth="1"/>
    <col min="4099" max="4099" width="20.6640625" style="616" customWidth="1"/>
    <col min="4100" max="4100" width="13" style="616" customWidth="1"/>
    <col min="4101" max="4101" width="3" style="616" customWidth="1"/>
    <col min="4102" max="4102" width="16.1640625" style="616" customWidth="1"/>
    <col min="4103" max="4103" width="2.83203125" style="616" customWidth="1"/>
    <col min="4104" max="4104" width="13.33203125" style="616" customWidth="1"/>
    <col min="4105" max="4105" width="3.33203125" style="616" customWidth="1"/>
    <col min="4106" max="4106" width="11.83203125" style="616" customWidth="1"/>
    <col min="4107" max="4107" width="3" style="616" customWidth="1"/>
    <col min="4108" max="4108" width="16" style="616" customWidth="1"/>
    <col min="4109" max="4109" width="2.83203125" style="616" customWidth="1"/>
    <col min="4110" max="4110" width="10.5" style="616" customWidth="1"/>
    <col min="4111" max="4111" width="4.1640625" style="616" customWidth="1"/>
    <col min="4112" max="4112" width="10.83203125" style="616" customWidth="1"/>
    <col min="4113" max="4113" width="3.1640625" style="616" customWidth="1"/>
    <col min="4114" max="4114" width="11" style="616" customWidth="1"/>
    <col min="4115" max="4115" width="3" style="616" customWidth="1"/>
    <col min="4116" max="4116" width="11.1640625" style="616" customWidth="1"/>
    <col min="4117" max="4117" width="3.5" style="616" customWidth="1"/>
    <col min="4118" max="4353" width="9.33203125" style="616"/>
    <col min="4354" max="4354" width="12.6640625" style="616" customWidth="1"/>
    <col min="4355" max="4355" width="20.6640625" style="616" customWidth="1"/>
    <col min="4356" max="4356" width="13" style="616" customWidth="1"/>
    <col min="4357" max="4357" width="3" style="616" customWidth="1"/>
    <col min="4358" max="4358" width="16.1640625" style="616" customWidth="1"/>
    <col min="4359" max="4359" width="2.83203125" style="616" customWidth="1"/>
    <col min="4360" max="4360" width="13.33203125" style="616" customWidth="1"/>
    <col min="4361" max="4361" width="3.33203125" style="616" customWidth="1"/>
    <col min="4362" max="4362" width="11.83203125" style="616" customWidth="1"/>
    <col min="4363" max="4363" width="3" style="616" customWidth="1"/>
    <col min="4364" max="4364" width="16" style="616" customWidth="1"/>
    <col min="4365" max="4365" width="2.83203125" style="616" customWidth="1"/>
    <col min="4366" max="4366" width="10.5" style="616" customWidth="1"/>
    <col min="4367" max="4367" width="4.1640625" style="616" customWidth="1"/>
    <col min="4368" max="4368" width="10.83203125" style="616" customWidth="1"/>
    <col min="4369" max="4369" width="3.1640625" style="616" customWidth="1"/>
    <col min="4370" max="4370" width="11" style="616" customWidth="1"/>
    <col min="4371" max="4371" width="3" style="616" customWidth="1"/>
    <col min="4372" max="4372" width="11.1640625" style="616" customWidth="1"/>
    <col min="4373" max="4373" width="3.5" style="616" customWidth="1"/>
    <col min="4374" max="4609" width="9.33203125" style="616"/>
    <col min="4610" max="4610" width="12.6640625" style="616" customWidth="1"/>
    <col min="4611" max="4611" width="20.6640625" style="616" customWidth="1"/>
    <col min="4612" max="4612" width="13" style="616" customWidth="1"/>
    <col min="4613" max="4613" width="3" style="616" customWidth="1"/>
    <col min="4614" max="4614" width="16.1640625" style="616" customWidth="1"/>
    <col min="4615" max="4615" width="2.83203125" style="616" customWidth="1"/>
    <col min="4616" max="4616" width="13.33203125" style="616" customWidth="1"/>
    <col min="4617" max="4617" width="3.33203125" style="616" customWidth="1"/>
    <col min="4618" max="4618" width="11.83203125" style="616" customWidth="1"/>
    <col min="4619" max="4619" width="3" style="616" customWidth="1"/>
    <col min="4620" max="4620" width="16" style="616" customWidth="1"/>
    <col min="4621" max="4621" width="2.83203125" style="616" customWidth="1"/>
    <col min="4622" max="4622" width="10.5" style="616" customWidth="1"/>
    <col min="4623" max="4623" width="4.1640625" style="616" customWidth="1"/>
    <col min="4624" max="4624" width="10.83203125" style="616" customWidth="1"/>
    <col min="4625" max="4625" width="3.1640625" style="616" customWidth="1"/>
    <col min="4626" max="4626" width="11" style="616" customWidth="1"/>
    <col min="4627" max="4627" width="3" style="616" customWidth="1"/>
    <col min="4628" max="4628" width="11.1640625" style="616" customWidth="1"/>
    <col min="4629" max="4629" width="3.5" style="616" customWidth="1"/>
    <col min="4630" max="4865" width="9.33203125" style="616"/>
    <col min="4866" max="4866" width="12.6640625" style="616" customWidth="1"/>
    <col min="4867" max="4867" width="20.6640625" style="616" customWidth="1"/>
    <col min="4868" max="4868" width="13" style="616" customWidth="1"/>
    <col min="4869" max="4869" width="3" style="616" customWidth="1"/>
    <col min="4870" max="4870" width="16.1640625" style="616" customWidth="1"/>
    <col min="4871" max="4871" width="2.83203125" style="616" customWidth="1"/>
    <col min="4872" max="4872" width="13.33203125" style="616" customWidth="1"/>
    <col min="4873" max="4873" width="3.33203125" style="616" customWidth="1"/>
    <col min="4874" max="4874" width="11.83203125" style="616" customWidth="1"/>
    <col min="4875" max="4875" width="3" style="616" customWidth="1"/>
    <col min="4876" max="4876" width="16" style="616" customWidth="1"/>
    <col min="4877" max="4877" width="2.83203125" style="616" customWidth="1"/>
    <col min="4878" max="4878" width="10.5" style="616" customWidth="1"/>
    <col min="4879" max="4879" width="4.1640625" style="616" customWidth="1"/>
    <col min="4880" max="4880" width="10.83203125" style="616" customWidth="1"/>
    <col min="4881" max="4881" width="3.1640625" style="616" customWidth="1"/>
    <col min="4882" max="4882" width="11" style="616" customWidth="1"/>
    <col min="4883" max="4883" width="3" style="616" customWidth="1"/>
    <col min="4884" max="4884" width="11.1640625" style="616" customWidth="1"/>
    <col min="4885" max="4885" width="3.5" style="616" customWidth="1"/>
    <col min="4886" max="5121" width="9.33203125" style="616"/>
    <col min="5122" max="5122" width="12.6640625" style="616" customWidth="1"/>
    <col min="5123" max="5123" width="20.6640625" style="616" customWidth="1"/>
    <col min="5124" max="5124" width="13" style="616" customWidth="1"/>
    <col min="5125" max="5125" width="3" style="616" customWidth="1"/>
    <col min="5126" max="5126" width="16.1640625" style="616" customWidth="1"/>
    <col min="5127" max="5127" width="2.83203125" style="616" customWidth="1"/>
    <col min="5128" max="5128" width="13.33203125" style="616" customWidth="1"/>
    <col min="5129" max="5129" width="3.33203125" style="616" customWidth="1"/>
    <col min="5130" max="5130" width="11.83203125" style="616" customWidth="1"/>
    <col min="5131" max="5131" width="3" style="616" customWidth="1"/>
    <col min="5132" max="5132" width="16" style="616" customWidth="1"/>
    <col min="5133" max="5133" width="2.83203125" style="616" customWidth="1"/>
    <col min="5134" max="5134" width="10.5" style="616" customWidth="1"/>
    <col min="5135" max="5135" width="4.1640625" style="616" customWidth="1"/>
    <col min="5136" max="5136" width="10.83203125" style="616" customWidth="1"/>
    <col min="5137" max="5137" width="3.1640625" style="616" customWidth="1"/>
    <col min="5138" max="5138" width="11" style="616" customWidth="1"/>
    <col min="5139" max="5139" width="3" style="616" customWidth="1"/>
    <col min="5140" max="5140" width="11.1640625" style="616" customWidth="1"/>
    <col min="5141" max="5141" width="3.5" style="616" customWidth="1"/>
    <col min="5142" max="5377" width="9.33203125" style="616"/>
    <col min="5378" max="5378" width="12.6640625" style="616" customWidth="1"/>
    <col min="5379" max="5379" width="20.6640625" style="616" customWidth="1"/>
    <col min="5380" max="5380" width="13" style="616" customWidth="1"/>
    <col min="5381" max="5381" width="3" style="616" customWidth="1"/>
    <col min="5382" max="5382" width="16.1640625" style="616" customWidth="1"/>
    <col min="5383" max="5383" width="2.83203125" style="616" customWidth="1"/>
    <col min="5384" max="5384" width="13.33203125" style="616" customWidth="1"/>
    <col min="5385" max="5385" width="3.33203125" style="616" customWidth="1"/>
    <col min="5386" max="5386" width="11.83203125" style="616" customWidth="1"/>
    <col min="5387" max="5387" width="3" style="616" customWidth="1"/>
    <col min="5388" max="5388" width="16" style="616" customWidth="1"/>
    <col min="5389" max="5389" width="2.83203125" style="616" customWidth="1"/>
    <col min="5390" max="5390" width="10.5" style="616" customWidth="1"/>
    <col min="5391" max="5391" width="4.1640625" style="616" customWidth="1"/>
    <col min="5392" max="5392" width="10.83203125" style="616" customWidth="1"/>
    <col min="5393" max="5393" width="3.1640625" style="616" customWidth="1"/>
    <col min="5394" max="5394" width="11" style="616" customWidth="1"/>
    <col min="5395" max="5395" width="3" style="616" customWidth="1"/>
    <col min="5396" max="5396" width="11.1640625" style="616" customWidth="1"/>
    <col min="5397" max="5397" width="3.5" style="616" customWidth="1"/>
    <col min="5398" max="5633" width="9.33203125" style="616"/>
    <col min="5634" max="5634" width="12.6640625" style="616" customWidth="1"/>
    <col min="5635" max="5635" width="20.6640625" style="616" customWidth="1"/>
    <col min="5636" max="5636" width="13" style="616" customWidth="1"/>
    <col min="5637" max="5637" width="3" style="616" customWidth="1"/>
    <col min="5638" max="5638" width="16.1640625" style="616" customWidth="1"/>
    <col min="5639" max="5639" width="2.83203125" style="616" customWidth="1"/>
    <col min="5640" max="5640" width="13.33203125" style="616" customWidth="1"/>
    <col min="5641" max="5641" width="3.33203125" style="616" customWidth="1"/>
    <col min="5642" max="5642" width="11.83203125" style="616" customWidth="1"/>
    <col min="5643" max="5643" width="3" style="616" customWidth="1"/>
    <col min="5644" max="5644" width="16" style="616" customWidth="1"/>
    <col min="5645" max="5645" width="2.83203125" style="616" customWidth="1"/>
    <col min="5646" max="5646" width="10.5" style="616" customWidth="1"/>
    <col min="5647" max="5647" width="4.1640625" style="616" customWidth="1"/>
    <col min="5648" max="5648" width="10.83203125" style="616" customWidth="1"/>
    <col min="5649" max="5649" width="3.1640625" style="616" customWidth="1"/>
    <col min="5650" max="5650" width="11" style="616" customWidth="1"/>
    <col min="5651" max="5651" width="3" style="616" customWidth="1"/>
    <col min="5652" max="5652" width="11.1640625" style="616" customWidth="1"/>
    <col min="5653" max="5653" width="3.5" style="616" customWidth="1"/>
    <col min="5654" max="5889" width="9.33203125" style="616"/>
    <col min="5890" max="5890" width="12.6640625" style="616" customWidth="1"/>
    <col min="5891" max="5891" width="20.6640625" style="616" customWidth="1"/>
    <col min="5892" max="5892" width="13" style="616" customWidth="1"/>
    <col min="5893" max="5893" width="3" style="616" customWidth="1"/>
    <col min="5894" max="5894" width="16.1640625" style="616" customWidth="1"/>
    <col min="5895" max="5895" width="2.83203125" style="616" customWidth="1"/>
    <col min="5896" max="5896" width="13.33203125" style="616" customWidth="1"/>
    <col min="5897" max="5897" width="3.33203125" style="616" customWidth="1"/>
    <col min="5898" max="5898" width="11.83203125" style="616" customWidth="1"/>
    <col min="5899" max="5899" width="3" style="616" customWidth="1"/>
    <col min="5900" max="5900" width="16" style="616" customWidth="1"/>
    <col min="5901" max="5901" width="2.83203125" style="616" customWidth="1"/>
    <col min="5902" max="5902" width="10.5" style="616" customWidth="1"/>
    <col min="5903" max="5903" width="4.1640625" style="616" customWidth="1"/>
    <col min="5904" max="5904" width="10.83203125" style="616" customWidth="1"/>
    <col min="5905" max="5905" width="3.1640625" style="616" customWidth="1"/>
    <col min="5906" max="5906" width="11" style="616" customWidth="1"/>
    <col min="5907" max="5907" width="3" style="616" customWidth="1"/>
    <col min="5908" max="5908" width="11.1640625" style="616" customWidth="1"/>
    <col min="5909" max="5909" width="3.5" style="616" customWidth="1"/>
    <col min="5910" max="6145" width="9.33203125" style="616"/>
    <col min="6146" max="6146" width="12.6640625" style="616" customWidth="1"/>
    <col min="6147" max="6147" width="20.6640625" style="616" customWidth="1"/>
    <col min="6148" max="6148" width="13" style="616" customWidth="1"/>
    <col min="6149" max="6149" width="3" style="616" customWidth="1"/>
    <col min="6150" max="6150" width="16.1640625" style="616" customWidth="1"/>
    <col min="6151" max="6151" width="2.83203125" style="616" customWidth="1"/>
    <col min="6152" max="6152" width="13.33203125" style="616" customWidth="1"/>
    <col min="6153" max="6153" width="3.33203125" style="616" customWidth="1"/>
    <col min="6154" max="6154" width="11.83203125" style="616" customWidth="1"/>
    <col min="6155" max="6155" width="3" style="616" customWidth="1"/>
    <col min="6156" max="6156" width="16" style="616" customWidth="1"/>
    <col min="6157" max="6157" width="2.83203125" style="616" customWidth="1"/>
    <col min="6158" max="6158" width="10.5" style="616" customWidth="1"/>
    <col min="6159" max="6159" width="4.1640625" style="616" customWidth="1"/>
    <col min="6160" max="6160" width="10.83203125" style="616" customWidth="1"/>
    <col min="6161" max="6161" width="3.1640625" style="616" customWidth="1"/>
    <col min="6162" max="6162" width="11" style="616" customWidth="1"/>
    <col min="6163" max="6163" width="3" style="616" customWidth="1"/>
    <col min="6164" max="6164" width="11.1640625" style="616" customWidth="1"/>
    <col min="6165" max="6165" width="3.5" style="616" customWidth="1"/>
    <col min="6166" max="6401" width="9.33203125" style="616"/>
    <col min="6402" max="6402" width="12.6640625" style="616" customWidth="1"/>
    <col min="6403" max="6403" width="20.6640625" style="616" customWidth="1"/>
    <col min="6404" max="6404" width="13" style="616" customWidth="1"/>
    <col min="6405" max="6405" width="3" style="616" customWidth="1"/>
    <col min="6406" max="6406" width="16.1640625" style="616" customWidth="1"/>
    <col min="6407" max="6407" width="2.83203125" style="616" customWidth="1"/>
    <col min="6408" max="6408" width="13.33203125" style="616" customWidth="1"/>
    <col min="6409" max="6409" width="3.33203125" style="616" customWidth="1"/>
    <col min="6410" max="6410" width="11.83203125" style="616" customWidth="1"/>
    <col min="6411" max="6411" width="3" style="616" customWidth="1"/>
    <col min="6412" max="6412" width="16" style="616" customWidth="1"/>
    <col min="6413" max="6413" width="2.83203125" style="616" customWidth="1"/>
    <col min="6414" max="6414" width="10.5" style="616" customWidth="1"/>
    <col min="6415" max="6415" width="4.1640625" style="616" customWidth="1"/>
    <col min="6416" max="6416" width="10.83203125" style="616" customWidth="1"/>
    <col min="6417" max="6417" width="3.1640625" style="616" customWidth="1"/>
    <col min="6418" max="6418" width="11" style="616" customWidth="1"/>
    <col min="6419" max="6419" width="3" style="616" customWidth="1"/>
    <col min="6420" max="6420" width="11.1640625" style="616" customWidth="1"/>
    <col min="6421" max="6421" width="3.5" style="616" customWidth="1"/>
    <col min="6422" max="6657" width="9.33203125" style="616"/>
    <col min="6658" max="6658" width="12.6640625" style="616" customWidth="1"/>
    <col min="6659" max="6659" width="20.6640625" style="616" customWidth="1"/>
    <col min="6660" max="6660" width="13" style="616" customWidth="1"/>
    <col min="6661" max="6661" width="3" style="616" customWidth="1"/>
    <col min="6662" max="6662" width="16.1640625" style="616" customWidth="1"/>
    <col min="6663" max="6663" width="2.83203125" style="616" customWidth="1"/>
    <col min="6664" max="6664" width="13.33203125" style="616" customWidth="1"/>
    <col min="6665" max="6665" width="3.33203125" style="616" customWidth="1"/>
    <col min="6666" max="6666" width="11.83203125" style="616" customWidth="1"/>
    <col min="6667" max="6667" width="3" style="616" customWidth="1"/>
    <col min="6668" max="6668" width="16" style="616" customWidth="1"/>
    <col min="6669" max="6669" width="2.83203125" style="616" customWidth="1"/>
    <col min="6670" max="6670" width="10.5" style="616" customWidth="1"/>
    <col min="6671" max="6671" width="4.1640625" style="616" customWidth="1"/>
    <col min="6672" max="6672" width="10.83203125" style="616" customWidth="1"/>
    <col min="6673" max="6673" width="3.1640625" style="616" customWidth="1"/>
    <col min="6674" max="6674" width="11" style="616" customWidth="1"/>
    <col min="6675" max="6675" width="3" style="616" customWidth="1"/>
    <col min="6676" max="6676" width="11.1640625" style="616" customWidth="1"/>
    <col min="6677" max="6677" width="3.5" style="616" customWidth="1"/>
    <col min="6678" max="6913" width="9.33203125" style="616"/>
    <col min="6914" max="6914" width="12.6640625" style="616" customWidth="1"/>
    <col min="6915" max="6915" width="20.6640625" style="616" customWidth="1"/>
    <col min="6916" max="6916" width="13" style="616" customWidth="1"/>
    <col min="6917" max="6917" width="3" style="616" customWidth="1"/>
    <col min="6918" max="6918" width="16.1640625" style="616" customWidth="1"/>
    <col min="6919" max="6919" width="2.83203125" style="616" customWidth="1"/>
    <col min="6920" max="6920" width="13.33203125" style="616" customWidth="1"/>
    <col min="6921" max="6921" width="3.33203125" style="616" customWidth="1"/>
    <col min="6922" max="6922" width="11.83203125" style="616" customWidth="1"/>
    <col min="6923" max="6923" width="3" style="616" customWidth="1"/>
    <col min="6924" max="6924" width="16" style="616" customWidth="1"/>
    <col min="6925" max="6925" width="2.83203125" style="616" customWidth="1"/>
    <col min="6926" max="6926" width="10.5" style="616" customWidth="1"/>
    <col min="6927" max="6927" width="4.1640625" style="616" customWidth="1"/>
    <col min="6928" max="6928" width="10.83203125" style="616" customWidth="1"/>
    <col min="6929" max="6929" width="3.1640625" style="616" customWidth="1"/>
    <col min="6930" max="6930" width="11" style="616" customWidth="1"/>
    <col min="6931" max="6931" width="3" style="616" customWidth="1"/>
    <col min="6932" max="6932" width="11.1640625" style="616" customWidth="1"/>
    <col min="6933" max="6933" width="3.5" style="616" customWidth="1"/>
    <col min="6934" max="7169" width="9.33203125" style="616"/>
    <col min="7170" max="7170" width="12.6640625" style="616" customWidth="1"/>
    <col min="7171" max="7171" width="20.6640625" style="616" customWidth="1"/>
    <col min="7172" max="7172" width="13" style="616" customWidth="1"/>
    <col min="7173" max="7173" width="3" style="616" customWidth="1"/>
    <col min="7174" max="7174" width="16.1640625" style="616" customWidth="1"/>
    <col min="7175" max="7175" width="2.83203125" style="616" customWidth="1"/>
    <col min="7176" max="7176" width="13.33203125" style="616" customWidth="1"/>
    <col min="7177" max="7177" width="3.33203125" style="616" customWidth="1"/>
    <col min="7178" max="7178" width="11.83203125" style="616" customWidth="1"/>
    <col min="7179" max="7179" width="3" style="616" customWidth="1"/>
    <col min="7180" max="7180" width="16" style="616" customWidth="1"/>
    <col min="7181" max="7181" width="2.83203125" style="616" customWidth="1"/>
    <col min="7182" max="7182" width="10.5" style="616" customWidth="1"/>
    <col min="7183" max="7183" width="4.1640625" style="616" customWidth="1"/>
    <col min="7184" max="7184" width="10.83203125" style="616" customWidth="1"/>
    <col min="7185" max="7185" width="3.1640625" style="616" customWidth="1"/>
    <col min="7186" max="7186" width="11" style="616" customWidth="1"/>
    <col min="7187" max="7187" width="3" style="616" customWidth="1"/>
    <col min="7188" max="7188" width="11.1640625" style="616" customWidth="1"/>
    <col min="7189" max="7189" width="3.5" style="616" customWidth="1"/>
    <col min="7190" max="7425" width="9.33203125" style="616"/>
    <col min="7426" max="7426" width="12.6640625" style="616" customWidth="1"/>
    <col min="7427" max="7427" width="20.6640625" style="616" customWidth="1"/>
    <col min="7428" max="7428" width="13" style="616" customWidth="1"/>
    <col min="7429" max="7429" width="3" style="616" customWidth="1"/>
    <col min="7430" max="7430" width="16.1640625" style="616" customWidth="1"/>
    <col min="7431" max="7431" width="2.83203125" style="616" customWidth="1"/>
    <col min="7432" max="7432" width="13.33203125" style="616" customWidth="1"/>
    <col min="7433" max="7433" width="3.33203125" style="616" customWidth="1"/>
    <col min="7434" max="7434" width="11.83203125" style="616" customWidth="1"/>
    <col min="7435" max="7435" width="3" style="616" customWidth="1"/>
    <col min="7436" max="7436" width="16" style="616" customWidth="1"/>
    <col min="7437" max="7437" width="2.83203125" style="616" customWidth="1"/>
    <col min="7438" max="7438" width="10.5" style="616" customWidth="1"/>
    <col min="7439" max="7439" width="4.1640625" style="616" customWidth="1"/>
    <col min="7440" max="7440" width="10.83203125" style="616" customWidth="1"/>
    <col min="7441" max="7441" width="3.1640625" style="616" customWidth="1"/>
    <col min="7442" max="7442" width="11" style="616" customWidth="1"/>
    <col min="7443" max="7443" width="3" style="616" customWidth="1"/>
    <col min="7444" max="7444" width="11.1640625" style="616" customWidth="1"/>
    <col min="7445" max="7445" width="3.5" style="616" customWidth="1"/>
    <col min="7446" max="7681" width="9.33203125" style="616"/>
    <col min="7682" max="7682" width="12.6640625" style="616" customWidth="1"/>
    <col min="7683" max="7683" width="20.6640625" style="616" customWidth="1"/>
    <col min="7684" max="7684" width="13" style="616" customWidth="1"/>
    <col min="7685" max="7685" width="3" style="616" customWidth="1"/>
    <col min="7686" max="7686" width="16.1640625" style="616" customWidth="1"/>
    <col min="7687" max="7687" width="2.83203125" style="616" customWidth="1"/>
    <col min="7688" max="7688" width="13.33203125" style="616" customWidth="1"/>
    <col min="7689" max="7689" width="3.33203125" style="616" customWidth="1"/>
    <col min="7690" max="7690" width="11.83203125" style="616" customWidth="1"/>
    <col min="7691" max="7691" width="3" style="616" customWidth="1"/>
    <col min="7692" max="7692" width="16" style="616" customWidth="1"/>
    <col min="7693" max="7693" width="2.83203125" style="616" customWidth="1"/>
    <col min="7694" max="7694" width="10.5" style="616" customWidth="1"/>
    <col min="7695" max="7695" width="4.1640625" style="616" customWidth="1"/>
    <col min="7696" max="7696" width="10.83203125" style="616" customWidth="1"/>
    <col min="7697" max="7697" width="3.1640625" style="616" customWidth="1"/>
    <col min="7698" max="7698" width="11" style="616" customWidth="1"/>
    <col min="7699" max="7699" width="3" style="616" customWidth="1"/>
    <col min="7700" max="7700" width="11.1640625" style="616" customWidth="1"/>
    <col min="7701" max="7701" width="3.5" style="616" customWidth="1"/>
    <col min="7702" max="7937" width="9.33203125" style="616"/>
    <col min="7938" max="7938" width="12.6640625" style="616" customWidth="1"/>
    <col min="7939" max="7939" width="20.6640625" style="616" customWidth="1"/>
    <col min="7940" max="7940" width="13" style="616" customWidth="1"/>
    <col min="7941" max="7941" width="3" style="616" customWidth="1"/>
    <col min="7942" max="7942" width="16.1640625" style="616" customWidth="1"/>
    <col min="7943" max="7943" width="2.83203125" style="616" customWidth="1"/>
    <col min="7944" max="7944" width="13.33203125" style="616" customWidth="1"/>
    <col min="7945" max="7945" width="3.33203125" style="616" customWidth="1"/>
    <col min="7946" max="7946" width="11.83203125" style="616" customWidth="1"/>
    <col min="7947" max="7947" width="3" style="616" customWidth="1"/>
    <col min="7948" max="7948" width="16" style="616" customWidth="1"/>
    <col min="7949" max="7949" width="2.83203125" style="616" customWidth="1"/>
    <col min="7950" max="7950" width="10.5" style="616" customWidth="1"/>
    <col min="7951" max="7951" width="4.1640625" style="616" customWidth="1"/>
    <col min="7952" max="7952" width="10.83203125" style="616" customWidth="1"/>
    <col min="7953" max="7953" width="3.1640625" style="616" customWidth="1"/>
    <col min="7954" max="7954" width="11" style="616" customWidth="1"/>
    <col min="7955" max="7955" width="3" style="616" customWidth="1"/>
    <col min="7956" max="7956" width="11.1640625" style="616" customWidth="1"/>
    <col min="7957" max="7957" width="3.5" style="616" customWidth="1"/>
    <col min="7958" max="8193" width="9.33203125" style="616"/>
    <col min="8194" max="8194" width="12.6640625" style="616" customWidth="1"/>
    <col min="8195" max="8195" width="20.6640625" style="616" customWidth="1"/>
    <col min="8196" max="8196" width="13" style="616" customWidth="1"/>
    <col min="8197" max="8197" width="3" style="616" customWidth="1"/>
    <col min="8198" max="8198" width="16.1640625" style="616" customWidth="1"/>
    <col min="8199" max="8199" width="2.83203125" style="616" customWidth="1"/>
    <col min="8200" max="8200" width="13.33203125" style="616" customWidth="1"/>
    <col min="8201" max="8201" width="3.33203125" style="616" customWidth="1"/>
    <col min="8202" max="8202" width="11.83203125" style="616" customWidth="1"/>
    <col min="8203" max="8203" width="3" style="616" customWidth="1"/>
    <col min="8204" max="8204" width="16" style="616" customWidth="1"/>
    <col min="8205" max="8205" width="2.83203125" style="616" customWidth="1"/>
    <col min="8206" max="8206" width="10.5" style="616" customWidth="1"/>
    <col min="8207" max="8207" width="4.1640625" style="616" customWidth="1"/>
    <col min="8208" max="8208" width="10.83203125" style="616" customWidth="1"/>
    <col min="8209" max="8209" width="3.1640625" style="616" customWidth="1"/>
    <col min="8210" max="8210" width="11" style="616" customWidth="1"/>
    <col min="8211" max="8211" width="3" style="616" customWidth="1"/>
    <col min="8212" max="8212" width="11.1640625" style="616" customWidth="1"/>
    <col min="8213" max="8213" width="3.5" style="616" customWidth="1"/>
    <col min="8214" max="8449" width="9.33203125" style="616"/>
    <col min="8450" max="8450" width="12.6640625" style="616" customWidth="1"/>
    <col min="8451" max="8451" width="20.6640625" style="616" customWidth="1"/>
    <col min="8452" max="8452" width="13" style="616" customWidth="1"/>
    <col min="8453" max="8453" width="3" style="616" customWidth="1"/>
    <col min="8454" max="8454" width="16.1640625" style="616" customWidth="1"/>
    <col min="8455" max="8455" width="2.83203125" style="616" customWidth="1"/>
    <col min="8456" max="8456" width="13.33203125" style="616" customWidth="1"/>
    <col min="8457" max="8457" width="3.33203125" style="616" customWidth="1"/>
    <col min="8458" max="8458" width="11.83203125" style="616" customWidth="1"/>
    <col min="8459" max="8459" width="3" style="616" customWidth="1"/>
    <col min="8460" max="8460" width="16" style="616" customWidth="1"/>
    <col min="8461" max="8461" width="2.83203125" style="616" customWidth="1"/>
    <col min="8462" max="8462" width="10.5" style="616" customWidth="1"/>
    <col min="8463" max="8463" width="4.1640625" style="616" customWidth="1"/>
    <col min="8464" max="8464" width="10.83203125" style="616" customWidth="1"/>
    <col min="8465" max="8465" width="3.1640625" style="616" customWidth="1"/>
    <col min="8466" max="8466" width="11" style="616" customWidth="1"/>
    <col min="8467" max="8467" width="3" style="616" customWidth="1"/>
    <col min="8468" max="8468" width="11.1640625" style="616" customWidth="1"/>
    <col min="8469" max="8469" width="3.5" style="616" customWidth="1"/>
    <col min="8470" max="8705" width="9.33203125" style="616"/>
    <col min="8706" max="8706" width="12.6640625" style="616" customWidth="1"/>
    <col min="8707" max="8707" width="20.6640625" style="616" customWidth="1"/>
    <col min="8708" max="8708" width="13" style="616" customWidth="1"/>
    <col min="8709" max="8709" width="3" style="616" customWidth="1"/>
    <col min="8710" max="8710" width="16.1640625" style="616" customWidth="1"/>
    <col min="8711" max="8711" width="2.83203125" style="616" customWidth="1"/>
    <col min="8712" max="8712" width="13.33203125" style="616" customWidth="1"/>
    <col min="8713" max="8713" width="3.33203125" style="616" customWidth="1"/>
    <col min="8714" max="8714" width="11.83203125" style="616" customWidth="1"/>
    <col min="8715" max="8715" width="3" style="616" customWidth="1"/>
    <col min="8716" max="8716" width="16" style="616" customWidth="1"/>
    <col min="8717" max="8717" width="2.83203125" style="616" customWidth="1"/>
    <col min="8718" max="8718" width="10.5" style="616" customWidth="1"/>
    <col min="8719" max="8719" width="4.1640625" style="616" customWidth="1"/>
    <col min="8720" max="8720" width="10.83203125" style="616" customWidth="1"/>
    <col min="8721" max="8721" width="3.1640625" style="616" customWidth="1"/>
    <col min="8722" max="8722" width="11" style="616" customWidth="1"/>
    <col min="8723" max="8723" width="3" style="616" customWidth="1"/>
    <col min="8724" max="8724" width="11.1640625" style="616" customWidth="1"/>
    <col min="8725" max="8725" width="3.5" style="616" customWidth="1"/>
    <col min="8726" max="8961" width="9.33203125" style="616"/>
    <col min="8962" max="8962" width="12.6640625" style="616" customWidth="1"/>
    <col min="8963" max="8963" width="20.6640625" style="616" customWidth="1"/>
    <col min="8964" max="8964" width="13" style="616" customWidth="1"/>
    <col min="8965" max="8965" width="3" style="616" customWidth="1"/>
    <col min="8966" max="8966" width="16.1640625" style="616" customWidth="1"/>
    <col min="8967" max="8967" width="2.83203125" style="616" customWidth="1"/>
    <col min="8968" max="8968" width="13.33203125" style="616" customWidth="1"/>
    <col min="8969" max="8969" width="3.33203125" style="616" customWidth="1"/>
    <col min="8970" max="8970" width="11.83203125" style="616" customWidth="1"/>
    <col min="8971" max="8971" width="3" style="616" customWidth="1"/>
    <col min="8972" max="8972" width="16" style="616" customWidth="1"/>
    <col min="8973" max="8973" width="2.83203125" style="616" customWidth="1"/>
    <col min="8974" max="8974" width="10.5" style="616" customWidth="1"/>
    <col min="8975" max="8975" width="4.1640625" style="616" customWidth="1"/>
    <col min="8976" max="8976" width="10.83203125" style="616" customWidth="1"/>
    <col min="8977" max="8977" width="3.1640625" style="616" customWidth="1"/>
    <col min="8978" max="8978" width="11" style="616" customWidth="1"/>
    <col min="8979" max="8979" width="3" style="616" customWidth="1"/>
    <col min="8980" max="8980" width="11.1640625" style="616" customWidth="1"/>
    <col min="8981" max="8981" width="3.5" style="616" customWidth="1"/>
    <col min="8982" max="9217" width="9.33203125" style="616"/>
    <col min="9218" max="9218" width="12.6640625" style="616" customWidth="1"/>
    <col min="9219" max="9219" width="20.6640625" style="616" customWidth="1"/>
    <col min="9220" max="9220" width="13" style="616" customWidth="1"/>
    <col min="9221" max="9221" width="3" style="616" customWidth="1"/>
    <col min="9222" max="9222" width="16.1640625" style="616" customWidth="1"/>
    <col min="9223" max="9223" width="2.83203125" style="616" customWidth="1"/>
    <col min="9224" max="9224" width="13.33203125" style="616" customWidth="1"/>
    <col min="9225" max="9225" width="3.33203125" style="616" customWidth="1"/>
    <col min="9226" max="9226" width="11.83203125" style="616" customWidth="1"/>
    <col min="9227" max="9227" width="3" style="616" customWidth="1"/>
    <col min="9228" max="9228" width="16" style="616" customWidth="1"/>
    <col min="9229" max="9229" width="2.83203125" style="616" customWidth="1"/>
    <col min="9230" max="9230" width="10.5" style="616" customWidth="1"/>
    <col min="9231" max="9231" width="4.1640625" style="616" customWidth="1"/>
    <col min="9232" max="9232" width="10.83203125" style="616" customWidth="1"/>
    <col min="9233" max="9233" width="3.1640625" style="616" customWidth="1"/>
    <col min="9234" max="9234" width="11" style="616" customWidth="1"/>
    <col min="9235" max="9235" width="3" style="616" customWidth="1"/>
    <col min="9236" max="9236" width="11.1640625" style="616" customWidth="1"/>
    <col min="9237" max="9237" width="3.5" style="616" customWidth="1"/>
    <col min="9238" max="9473" width="9.33203125" style="616"/>
    <col min="9474" max="9474" width="12.6640625" style="616" customWidth="1"/>
    <col min="9475" max="9475" width="20.6640625" style="616" customWidth="1"/>
    <col min="9476" max="9476" width="13" style="616" customWidth="1"/>
    <col min="9477" max="9477" width="3" style="616" customWidth="1"/>
    <col min="9478" max="9478" width="16.1640625" style="616" customWidth="1"/>
    <col min="9479" max="9479" width="2.83203125" style="616" customWidth="1"/>
    <col min="9480" max="9480" width="13.33203125" style="616" customWidth="1"/>
    <col min="9481" max="9481" width="3.33203125" style="616" customWidth="1"/>
    <col min="9482" max="9482" width="11.83203125" style="616" customWidth="1"/>
    <col min="9483" max="9483" width="3" style="616" customWidth="1"/>
    <col min="9484" max="9484" width="16" style="616" customWidth="1"/>
    <col min="9485" max="9485" width="2.83203125" style="616" customWidth="1"/>
    <col min="9486" max="9486" width="10.5" style="616" customWidth="1"/>
    <col min="9487" max="9487" width="4.1640625" style="616" customWidth="1"/>
    <col min="9488" max="9488" width="10.83203125" style="616" customWidth="1"/>
    <col min="9489" max="9489" width="3.1640625" style="616" customWidth="1"/>
    <col min="9490" max="9490" width="11" style="616" customWidth="1"/>
    <col min="9491" max="9491" width="3" style="616" customWidth="1"/>
    <col min="9492" max="9492" width="11.1640625" style="616" customWidth="1"/>
    <col min="9493" max="9493" width="3.5" style="616" customWidth="1"/>
    <col min="9494" max="9729" width="9.33203125" style="616"/>
    <col min="9730" max="9730" width="12.6640625" style="616" customWidth="1"/>
    <col min="9731" max="9731" width="20.6640625" style="616" customWidth="1"/>
    <col min="9732" max="9732" width="13" style="616" customWidth="1"/>
    <col min="9733" max="9733" width="3" style="616" customWidth="1"/>
    <col min="9734" max="9734" width="16.1640625" style="616" customWidth="1"/>
    <col min="9735" max="9735" width="2.83203125" style="616" customWidth="1"/>
    <col min="9736" max="9736" width="13.33203125" style="616" customWidth="1"/>
    <col min="9737" max="9737" width="3.33203125" style="616" customWidth="1"/>
    <col min="9738" max="9738" width="11.83203125" style="616" customWidth="1"/>
    <col min="9739" max="9739" width="3" style="616" customWidth="1"/>
    <col min="9740" max="9740" width="16" style="616" customWidth="1"/>
    <col min="9741" max="9741" width="2.83203125" style="616" customWidth="1"/>
    <col min="9742" max="9742" width="10.5" style="616" customWidth="1"/>
    <col min="9743" max="9743" width="4.1640625" style="616" customWidth="1"/>
    <col min="9744" max="9744" width="10.83203125" style="616" customWidth="1"/>
    <col min="9745" max="9745" width="3.1640625" style="616" customWidth="1"/>
    <col min="9746" max="9746" width="11" style="616" customWidth="1"/>
    <col min="9747" max="9747" width="3" style="616" customWidth="1"/>
    <col min="9748" max="9748" width="11.1640625" style="616" customWidth="1"/>
    <col min="9749" max="9749" width="3.5" style="616" customWidth="1"/>
    <col min="9750" max="9985" width="9.33203125" style="616"/>
    <col min="9986" max="9986" width="12.6640625" style="616" customWidth="1"/>
    <col min="9987" max="9987" width="20.6640625" style="616" customWidth="1"/>
    <col min="9988" max="9988" width="13" style="616" customWidth="1"/>
    <col min="9989" max="9989" width="3" style="616" customWidth="1"/>
    <col min="9990" max="9990" width="16.1640625" style="616" customWidth="1"/>
    <col min="9991" max="9991" width="2.83203125" style="616" customWidth="1"/>
    <col min="9992" max="9992" width="13.33203125" style="616" customWidth="1"/>
    <col min="9993" max="9993" width="3.33203125" style="616" customWidth="1"/>
    <col min="9994" max="9994" width="11.83203125" style="616" customWidth="1"/>
    <col min="9995" max="9995" width="3" style="616" customWidth="1"/>
    <col min="9996" max="9996" width="16" style="616" customWidth="1"/>
    <col min="9997" max="9997" width="2.83203125" style="616" customWidth="1"/>
    <col min="9998" max="9998" width="10.5" style="616" customWidth="1"/>
    <col min="9999" max="9999" width="4.1640625" style="616" customWidth="1"/>
    <col min="10000" max="10000" width="10.83203125" style="616" customWidth="1"/>
    <col min="10001" max="10001" width="3.1640625" style="616" customWidth="1"/>
    <col min="10002" max="10002" width="11" style="616" customWidth="1"/>
    <col min="10003" max="10003" width="3" style="616" customWidth="1"/>
    <col min="10004" max="10004" width="11.1640625" style="616" customWidth="1"/>
    <col min="10005" max="10005" width="3.5" style="616" customWidth="1"/>
    <col min="10006" max="10241" width="9.33203125" style="616"/>
    <col min="10242" max="10242" width="12.6640625" style="616" customWidth="1"/>
    <col min="10243" max="10243" width="20.6640625" style="616" customWidth="1"/>
    <col min="10244" max="10244" width="13" style="616" customWidth="1"/>
    <col min="10245" max="10245" width="3" style="616" customWidth="1"/>
    <col min="10246" max="10246" width="16.1640625" style="616" customWidth="1"/>
    <col min="10247" max="10247" width="2.83203125" style="616" customWidth="1"/>
    <col min="10248" max="10248" width="13.33203125" style="616" customWidth="1"/>
    <col min="10249" max="10249" width="3.33203125" style="616" customWidth="1"/>
    <col min="10250" max="10250" width="11.83203125" style="616" customWidth="1"/>
    <col min="10251" max="10251" width="3" style="616" customWidth="1"/>
    <col min="10252" max="10252" width="16" style="616" customWidth="1"/>
    <col min="10253" max="10253" width="2.83203125" style="616" customWidth="1"/>
    <col min="10254" max="10254" width="10.5" style="616" customWidth="1"/>
    <col min="10255" max="10255" width="4.1640625" style="616" customWidth="1"/>
    <col min="10256" max="10256" width="10.83203125" style="616" customWidth="1"/>
    <col min="10257" max="10257" width="3.1640625" style="616" customWidth="1"/>
    <col min="10258" max="10258" width="11" style="616" customWidth="1"/>
    <col min="10259" max="10259" width="3" style="616" customWidth="1"/>
    <col min="10260" max="10260" width="11.1640625" style="616" customWidth="1"/>
    <col min="10261" max="10261" width="3.5" style="616" customWidth="1"/>
    <col min="10262" max="10497" width="9.33203125" style="616"/>
    <col min="10498" max="10498" width="12.6640625" style="616" customWidth="1"/>
    <col min="10499" max="10499" width="20.6640625" style="616" customWidth="1"/>
    <col min="10500" max="10500" width="13" style="616" customWidth="1"/>
    <col min="10501" max="10501" width="3" style="616" customWidth="1"/>
    <col min="10502" max="10502" width="16.1640625" style="616" customWidth="1"/>
    <col min="10503" max="10503" width="2.83203125" style="616" customWidth="1"/>
    <col min="10504" max="10504" width="13.33203125" style="616" customWidth="1"/>
    <col min="10505" max="10505" width="3.33203125" style="616" customWidth="1"/>
    <col min="10506" max="10506" width="11.83203125" style="616" customWidth="1"/>
    <col min="10507" max="10507" width="3" style="616" customWidth="1"/>
    <col min="10508" max="10508" width="16" style="616" customWidth="1"/>
    <col min="10509" max="10509" width="2.83203125" style="616" customWidth="1"/>
    <col min="10510" max="10510" width="10.5" style="616" customWidth="1"/>
    <col min="10511" max="10511" width="4.1640625" style="616" customWidth="1"/>
    <col min="10512" max="10512" width="10.83203125" style="616" customWidth="1"/>
    <col min="10513" max="10513" width="3.1640625" style="616" customWidth="1"/>
    <col min="10514" max="10514" width="11" style="616" customWidth="1"/>
    <col min="10515" max="10515" width="3" style="616" customWidth="1"/>
    <col min="10516" max="10516" width="11.1640625" style="616" customWidth="1"/>
    <col min="10517" max="10517" width="3.5" style="616" customWidth="1"/>
    <col min="10518" max="10753" width="9.33203125" style="616"/>
    <col min="10754" max="10754" width="12.6640625" style="616" customWidth="1"/>
    <col min="10755" max="10755" width="20.6640625" style="616" customWidth="1"/>
    <col min="10756" max="10756" width="13" style="616" customWidth="1"/>
    <col min="10757" max="10757" width="3" style="616" customWidth="1"/>
    <col min="10758" max="10758" width="16.1640625" style="616" customWidth="1"/>
    <col min="10759" max="10759" width="2.83203125" style="616" customWidth="1"/>
    <col min="10760" max="10760" width="13.33203125" style="616" customWidth="1"/>
    <col min="10761" max="10761" width="3.33203125" style="616" customWidth="1"/>
    <col min="10762" max="10762" width="11.83203125" style="616" customWidth="1"/>
    <col min="10763" max="10763" width="3" style="616" customWidth="1"/>
    <col min="10764" max="10764" width="16" style="616" customWidth="1"/>
    <col min="10765" max="10765" width="2.83203125" style="616" customWidth="1"/>
    <col min="10766" max="10766" width="10.5" style="616" customWidth="1"/>
    <col min="10767" max="10767" width="4.1640625" style="616" customWidth="1"/>
    <col min="10768" max="10768" width="10.83203125" style="616" customWidth="1"/>
    <col min="10769" max="10769" width="3.1640625" style="616" customWidth="1"/>
    <col min="10770" max="10770" width="11" style="616" customWidth="1"/>
    <col min="10771" max="10771" width="3" style="616" customWidth="1"/>
    <col min="10772" max="10772" width="11.1640625" style="616" customWidth="1"/>
    <col min="10773" max="10773" width="3.5" style="616" customWidth="1"/>
    <col min="10774" max="11009" width="9.33203125" style="616"/>
    <col min="11010" max="11010" width="12.6640625" style="616" customWidth="1"/>
    <col min="11011" max="11011" width="20.6640625" style="616" customWidth="1"/>
    <col min="11012" max="11012" width="13" style="616" customWidth="1"/>
    <col min="11013" max="11013" width="3" style="616" customWidth="1"/>
    <col min="11014" max="11014" width="16.1640625" style="616" customWidth="1"/>
    <col min="11015" max="11015" width="2.83203125" style="616" customWidth="1"/>
    <col min="11016" max="11016" width="13.33203125" style="616" customWidth="1"/>
    <col min="11017" max="11017" width="3.33203125" style="616" customWidth="1"/>
    <col min="11018" max="11018" width="11.83203125" style="616" customWidth="1"/>
    <col min="11019" max="11019" width="3" style="616" customWidth="1"/>
    <col min="11020" max="11020" width="16" style="616" customWidth="1"/>
    <col min="11021" max="11021" width="2.83203125" style="616" customWidth="1"/>
    <col min="11022" max="11022" width="10.5" style="616" customWidth="1"/>
    <col min="11023" max="11023" width="4.1640625" style="616" customWidth="1"/>
    <col min="11024" max="11024" width="10.83203125" style="616" customWidth="1"/>
    <col min="11025" max="11025" width="3.1640625" style="616" customWidth="1"/>
    <col min="11026" max="11026" width="11" style="616" customWidth="1"/>
    <col min="11027" max="11027" width="3" style="616" customWidth="1"/>
    <col min="11028" max="11028" width="11.1640625" style="616" customWidth="1"/>
    <col min="11029" max="11029" width="3.5" style="616" customWidth="1"/>
    <col min="11030" max="11265" width="9.33203125" style="616"/>
    <col min="11266" max="11266" width="12.6640625" style="616" customWidth="1"/>
    <col min="11267" max="11267" width="20.6640625" style="616" customWidth="1"/>
    <col min="11268" max="11268" width="13" style="616" customWidth="1"/>
    <col min="11269" max="11269" width="3" style="616" customWidth="1"/>
    <col min="11270" max="11270" width="16.1640625" style="616" customWidth="1"/>
    <col min="11271" max="11271" width="2.83203125" style="616" customWidth="1"/>
    <col min="11272" max="11272" width="13.33203125" style="616" customWidth="1"/>
    <col min="11273" max="11273" width="3.33203125" style="616" customWidth="1"/>
    <col min="11274" max="11274" width="11.83203125" style="616" customWidth="1"/>
    <col min="11275" max="11275" width="3" style="616" customWidth="1"/>
    <col min="11276" max="11276" width="16" style="616" customWidth="1"/>
    <col min="11277" max="11277" width="2.83203125" style="616" customWidth="1"/>
    <col min="11278" max="11278" width="10.5" style="616" customWidth="1"/>
    <col min="11279" max="11279" width="4.1640625" style="616" customWidth="1"/>
    <col min="11280" max="11280" width="10.83203125" style="616" customWidth="1"/>
    <col min="11281" max="11281" width="3.1640625" style="616" customWidth="1"/>
    <col min="11282" max="11282" width="11" style="616" customWidth="1"/>
    <col min="11283" max="11283" width="3" style="616" customWidth="1"/>
    <col min="11284" max="11284" width="11.1640625" style="616" customWidth="1"/>
    <col min="11285" max="11285" width="3.5" style="616" customWidth="1"/>
    <col min="11286" max="11521" width="9.33203125" style="616"/>
    <col min="11522" max="11522" width="12.6640625" style="616" customWidth="1"/>
    <col min="11523" max="11523" width="20.6640625" style="616" customWidth="1"/>
    <col min="11524" max="11524" width="13" style="616" customWidth="1"/>
    <col min="11525" max="11525" width="3" style="616" customWidth="1"/>
    <col min="11526" max="11526" width="16.1640625" style="616" customWidth="1"/>
    <col min="11527" max="11527" width="2.83203125" style="616" customWidth="1"/>
    <col min="11528" max="11528" width="13.33203125" style="616" customWidth="1"/>
    <col min="11529" max="11529" width="3.33203125" style="616" customWidth="1"/>
    <col min="11530" max="11530" width="11.83203125" style="616" customWidth="1"/>
    <col min="11531" max="11531" width="3" style="616" customWidth="1"/>
    <col min="11532" max="11532" width="16" style="616" customWidth="1"/>
    <col min="11533" max="11533" width="2.83203125" style="616" customWidth="1"/>
    <col min="11534" max="11534" width="10.5" style="616" customWidth="1"/>
    <col min="11535" max="11535" width="4.1640625" style="616" customWidth="1"/>
    <col min="11536" max="11536" width="10.83203125" style="616" customWidth="1"/>
    <col min="11537" max="11537" width="3.1640625" style="616" customWidth="1"/>
    <col min="11538" max="11538" width="11" style="616" customWidth="1"/>
    <col min="11539" max="11539" width="3" style="616" customWidth="1"/>
    <col min="11540" max="11540" width="11.1640625" style="616" customWidth="1"/>
    <col min="11541" max="11541" width="3.5" style="616" customWidth="1"/>
    <col min="11542" max="11777" width="9.33203125" style="616"/>
    <col min="11778" max="11778" width="12.6640625" style="616" customWidth="1"/>
    <col min="11779" max="11779" width="20.6640625" style="616" customWidth="1"/>
    <col min="11780" max="11780" width="13" style="616" customWidth="1"/>
    <col min="11781" max="11781" width="3" style="616" customWidth="1"/>
    <col min="11782" max="11782" width="16.1640625" style="616" customWidth="1"/>
    <col min="11783" max="11783" width="2.83203125" style="616" customWidth="1"/>
    <col min="11784" max="11784" width="13.33203125" style="616" customWidth="1"/>
    <col min="11785" max="11785" width="3.33203125" style="616" customWidth="1"/>
    <col min="11786" max="11786" width="11.83203125" style="616" customWidth="1"/>
    <col min="11787" max="11787" width="3" style="616" customWidth="1"/>
    <col min="11788" max="11788" width="16" style="616" customWidth="1"/>
    <col min="11789" max="11789" width="2.83203125" style="616" customWidth="1"/>
    <col min="11790" max="11790" width="10.5" style="616" customWidth="1"/>
    <col min="11791" max="11791" width="4.1640625" style="616" customWidth="1"/>
    <col min="11792" max="11792" width="10.83203125" style="616" customWidth="1"/>
    <col min="11793" max="11793" width="3.1640625" style="616" customWidth="1"/>
    <col min="11794" max="11794" width="11" style="616" customWidth="1"/>
    <col min="11795" max="11795" width="3" style="616" customWidth="1"/>
    <col min="11796" max="11796" width="11.1640625" style="616" customWidth="1"/>
    <col min="11797" max="11797" width="3.5" style="616" customWidth="1"/>
    <col min="11798" max="12033" width="9.33203125" style="616"/>
    <col min="12034" max="12034" width="12.6640625" style="616" customWidth="1"/>
    <col min="12035" max="12035" width="20.6640625" style="616" customWidth="1"/>
    <col min="12036" max="12036" width="13" style="616" customWidth="1"/>
    <col min="12037" max="12037" width="3" style="616" customWidth="1"/>
    <col min="12038" max="12038" width="16.1640625" style="616" customWidth="1"/>
    <col min="12039" max="12039" width="2.83203125" style="616" customWidth="1"/>
    <col min="12040" max="12040" width="13.33203125" style="616" customWidth="1"/>
    <col min="12041" max="12041" width="3.33203125" style="616" customWidth="1"/>
    <col min="12042" max="12042" width="11.83203125" style="616" customWidth="1"/>
    <col min="12043" max="12043" width="3" style="616" customWidth="1"/>
    <col min="12044" max="12044" width="16" style="616" customWidth="1"/>
    <col min="12045" max="12045" width="2.83203125" style="616" customWidth="1"/>
    <col min="12046" max="12046" width="10.5" style="616" customWidth="1"/>
    <col min="12047" max="12047" width="4.1640625" style="616" customWidth="1"/>
    <col min="12048" max="12048" width="10.83203125" style="616" customWidth="1"/>
    <col min="12049" max="12049" width="3.1640625" style="616" customWidth="1"/>
    <col min="12050" max="12050" width="11" style="616" customWidth="1"/>
    <col min="12051" max="12051" width="3" style="616" customWidth="1"/>
    <col min="12052" max="12052" width="11.1640625" style="616" customWidth="1"/>
    <col min="12053" max="12053" width="3.5" style="616" customWidth="1"/>
    <col min="12054" max="12289" width="9.33203125" style="616"/>
    <col min="12290" max="12290" width="12.6640625" style="616" customWidth="1"/>
    <col min="12291" max="12291" width="20.6640625" style="616" customWidth="1"/>
    <col min="12292" max="12292" width="13" style="616" customWidth="1"/>
    <col min="12293" max="12293" width="3" style="616" customWidth="1"/>
    <col min="12294" max="12294" width="16.1640625" style="616" customWidth="1"/>
    <col min="12295" max="12295" width="2.83203125" style="616" customWidth="1"/>
    <col min="12296" max="12296" width="13.33203125" style="616" customWidth="1"/>
    <col min="12297" max="12297" width="3.33203125" style="616" customWidth="1"/>
    <col min="12298" max="12298" width="11.83203125" style="616" customWidth="1"/>
    <col min="12299" max="12299" width="3" style="616" customWidth="1"/>
    <col min="12300" max="12300" width="16" style="616" customWidth="1"/>
    <col min="12301" max="12301" width="2.83203125" style="616" customWidth="1"/>
    <col min="12302" max="12302" width="10.5" style="616" customWidth="1"/>
    <col min="12303" max="12303" width="4.1640625" style="616" customWidth="1"/>
    <col min="12304" max="12304" width="10.83203125" style="616" customWidth="1"/>
    <col min="12305" max="12305" width="3.1640625" style="616" customWidth="1"/>
    <col min="12306" max="12306" width="11" style="616" customWidth="1"/>
    <col min="12307" max="12307" width="3" style="616" customWidth="1"/>
    <col min="12308" max="12308" width="11.1640625" style="616" customWidth="1"/>
    <col min="12309" max="12309" width="3.5" style="616" customWidth="1"/>
    <col min="12310" max="12545" width="9.33203125" style="616"/>
    <col min="12546" max="12546" width="12.6640625" style="616" customWidth="1"/>
    <col min="12547" max="12547" width="20.6640625" style="616" customWidth="1"/>
    <col min="12548" max="12548" width="13" style="616" customWidth="1"/>
    <col min="12549" max="12549" width="3" style="616" customWidth="1"/>
    <col min="12550" max="12550" width="16.1640625" style="616" customWidth="1"/>
    <col min="12551" max="12551" width="2.83203125" style="616" customWidth="1"/>
    <col min="12552" max="12552" width="13.33203125" style="616" customWidth="1"/>
    <col min="12553" max="12553" width="3.33203125" style="616" customWidth="1"/>
    <col min="12554" max="12554" width="11.83203125" style="616" customWidth="1"/>
    <col min="12555" max="12555" width="3" style="616" customWidth="1"/>
    <col min="12556" max="12556" width="16" style="616" customWidth="1"/>
    <col min="12557" max="12557" width="2.83203125" style="616" customWidth="1"/>
    <col min="12558" max="12558" width="10.5" style="616" customWidth="1"/>
    <col min="12559" max="12559" width="4.1640625" style="616" customWidth="1"/>
    <col min="12560" max="12560" width="10.83203125" style="616" customWidth="1"/>
    <col min="12561" max="12561" width="3.1640625" style="616" customWidth="1"/>
    <col min="12562" max="12562" width="11" style="616" customWidth="1"/>
    <col min="12563" max="12563" width="3" style="616" customWidth="1"/>
    <col min="12564" max="12564" width="11.1640625" style="616" customWidth="1"/>
    <col min="12565" max="12565" width="3.5" style="616" customWidth="1"/>
    <col min="12566" max="12801" width="9.33203125" style="616"/>
    <col min="12802" max="12802" width="12.6640625" style="616" customWidth="1"/>
    <col min="12803" max="12803" width="20.6640625" style="616" customWidth="1"/>
    <col min="12804" max="12804" width="13" style="616" customWidth="1"/>
    <col min="12805" max="12805" width="3" style="616" customWidth="1"/>
    <col min="12806" max="12806" width="16.1640625" style="616" customWidth="1"/>
    <col min="12807" max="12807" width="2.83203125" style="616" customWidth="1"/>
    <col min="12808" max="12808" width="13.33203125" style="616" customWidth="1"/>
    <col min="12809" max="12809" width="3.33203125" style="616" customWidth="1"/>
    <col min="12810" max="12810" width="11.83203125" style="616" customWidth="1"/>
    <col min="12811" max="12811" width="3" style="616" customWidth="1"/>
    <col min="12812" max="12812" width="16" style="616" customWidth="1"/>
    <col min="12813" max="12813" width="2.83203125" style="616" customWidth="1"/>
    <col min="12814" max="12814" width="10.5" style="616" customWidth="1"/>
    <col min="12815" max="12815" width="4.1640625" style="616" customWidth="1"/>
    <col min="12816" max="12816" width="10.83203125" style="616" customWidth="1"/>
    <col min="12817" max="12817" width="3.1640625" style="616" customWidth="1"/>
    <col min="12818" max="12818" width="11" style="616" customWidth="1"/>
    <col min="12819" max="12819" width="3" style="616" customWidth="1"/>
    <col min="12820" max="12820" width="11.1640625" style="616" customWidth="1"/>
    <col min="12821" max="12821" width="3.5" style="616" customWidth="1"/>
    <col min="12822" max="13057" width="9.33203125" style="616"/>
    <col min="13058" max="13058" width="12.6640625" style="616" customWidth="1"/>
    <col min="13059" max="13059" width="20.6640625" style="616" customWidth="1"/>
    <col min="13060" max="13060" width="13" style="616" customWidth="1"/>
    <col min="13061" max="13061" width="3" style="616" customWidth="1"/>
    <col min="13062" max="13062" width="16.1640625" style="616" customWidth="1"/>
    <col min="13063" max="13063" width="2.83203125" style="616" customWidth="1"/>
    <col min="13064" max="13064" width="13.33203125" style="616" customWidth="1"/>
    <col min="13065" max="13065" width="3.33203125" style="616" customWidth="1"/>
    <col min="13066" max="13066" width="11.83203125" style="616" customWidth="1"/>
    <col min="13067" max="13067" width="3" style="616" customWidth="1"/>
    <col min="13068" max="13068" width="16" style="616" customWidth="1"/>
    <col min="13069" max="13069" width="2.83203125" style="616" customWidth="1"/>
    <col min="13070" max="13070" width="10.5" style="616" customWidth="1"/>
    <col min="13071" max="13071" width="4.1640625" style="616" customWidth="1"/>
    <col min="13072" max="13072" width="10.83203125" style="616" customWidth="1"/>
    <col min="13073" max="13073" width="3.1640625" style="616" customWidth="1"/>
    <col min="13074" max="13074" width="11" style="616" customWidth="1"/>
    <col min="13075" max="13075" width="3" style="616" customWidth="1"/>
    <col min="13076" max="13076" width="11.1640625" style="616" customWidth="1"/>
    <col min="13077" max="13077" width="3.5" style="616" customWidth="1"/>
    <col min="13078" max="13313" width="9.33203125" style="616"/>
    <col min="13314" max="13314" width="12.6640625" style="616" customWidth="1"/>
    <col min="13315" max="13315" width="20.6640625" style="616" customWidth="1"/>
    <col min="13316" max="13316" width="13" style="616" customWidth="1"/>
    <col min="13317" max="13317" width="3" style="616" customWidth="1"/>
    <col min="13318" max="13318" width="16.1640625" style="616" customWidth="1"/>
    <col min="13319" max="13319" width="2.83203125" style="616" customWidth="1"/>
    <col min="13320" max="13320" width="13.33203125" style="616" customWidth="1"/>
    <col min="13321" max="13321" width="3.33203125" style="616" customWidth="1"/>
    <col min="13322" max="13322" width="11.83203125" style="616" customWidth="1"/>
    <col min="13323" max="13323" width="3" style="616" customWidth="1"/>
    <col min="13324" max="13324" width="16" style="616" customWidth="1"/>
    <col min="13325" max="13325" width="2.83203125" style="616" customWidth="1"/>
    <col min="13326" max="13326" width="10.5" style="616" customWidth="1"/>
    <col min="13327" max="13327" width="4.1640625" style="616" customWidth="1"/>
    <col min="13328" max="13328" width="10.83203125" style="616" customWidth="1"/>
    <col min="13329" max="13329" width="3.1640625" style="616" customWidth="1"/>
    <col min="13330" max="13330" width="11" style="616" customWidth="1"/>
    <col min="13331" max="13331" width="3" style="616" customWidth="1"/>
    <col min="13332" max="13332" width="11.1640625" style="616" customWidth="1"/>
    <col min="13333" max="13333" width="3.5" style="616" customWidth="1"/>
    <col min="13334" max="13569" width="9.33203125" style="616"/>
    <col min="13570" max="13570" width="12.6640625" style="616" customWidth="1"/>
    <col min="13571" max="13571" width="20.6640625" style="616" customWidth="1"/>
    <col min="13572" max="13572" width="13" style="616" customWidth="1"/>
    <col min="13573" max="13573" width="3" style="616" customWidth="1"/>
    <col min="13574" max="13574" width="16.1640625" style="616" customWidth="1"/>
    <col min="13575" max="13575" width="2.83203125" style="616" customWidth="1"/>
    <col min="13576" max="13576" width="13.33203125" style="616" customWidth="1"/>
    <col min="13577" max="13577" width="3.33203125" style="616" customWidth="1"/>
    <col min="13578" max="13578" width="11.83203125" style="616" customWidth="1"/>
    <col min="13579" max="13579" width="3" style="616" customWidth="1"/>
    <col min="13580" max="13580" width="16" style="616" customWidth="1"/>
    <col min="13581" max="13581" width="2.83203125" style="616" customWidth="1"/>
    <col min="13582" max="13582" width="10.5" style="616" customWidth="1"/>
    <col min="13583" max="13583" width="4.1640625" style="616" customWidth="1"/>
    <col min="13584" max="13584" width="10.83203125" style="616" customWidth="1"/>
    <col min="13585" max="13585" width="3.1640625" style="616" customWidth="1"/>
    <col min="13586" max="13586" width="11" style="616" customWidth="1"/>
    <col min="13587" max="13587" width="3" style="616" customWidth="1"/>
    <col min="13588" max="13588" width="11.1640625" style="616" customWidth="1"/>
    <col min="13589" max="13589" width="3.5" style="616" customWidth="1"/>
    <col min="13590" max="13825" width="9.33203125" style="616"/>
    <col min="13826" max="13826" width="12.6640625" style="616" customWidth="1"/>
    <col min="13827" max="13827" width="20.6640625" style="616" customWidth="1"/>
    <col min="13828" max="13828" width="13" style="616" customWidth="1"/>
    <col min="13829" max="13829" width="3" style="616" customWidth="1"/>
    <col min="13830" max="13830" width="16.1640625" style="616" customWidth="1"/>
    <col min="13831" max="13831" width="2.83203125" style="616" customWidth="1"/>
    <col min="13832" max="13832" width="13.33203125" style="616" customWidth="1"/>
    <col min="13833" max="13833" width="3.33203125" style="616" customWidth="1"/>
    <col min="13834" max="13834" width="11.83203125" style="616" customWidth="1"/>
    <col min="13835" max="13835" width="3" style="616" customWidth="1"/>
    <col min="13836" max="13836" width="16" style="616" customWidth="1"/>
    <col min="13837" max="13837" width="2.83203125" style="616" customWidth="1"/>
    <col min="13838" max="13838" width="10.5" style="616" customWidth="1"/>
    <col min="13839" max="13839" width="4.1640625" style="616" customWidth="1"/>
    <col min="13840" max="13840" width="10.83203125" style="616" customWidth="1"/>
    <col min="13841" max="13841" width="3.1640625" style="616" customWidth="1"/>
    <col min="13842" max="13842" width="11" style="616" customWidth="1"/>
    <col min="13843" max="13843" width="3" style="616" customWidth="1"/>
    <col min="13844" max="13844" width="11.1640625" style="616" customWidth="1"/>
    <col min="13845" max="13845" width="3.5" style="616" customWidth="1"/>
    <col min="13846" max="14081" width="9.33203125" style="616"/>
    <col min="14082" max="14082" width="12.6640625" style="616" customWidth="1"/>
    <col min="14083" max="14083" width="20.6640625" style="616" customWidth="1"/>
    <col min="14084" max="14084" width="13" style="616" customWidth="1"/>
    <col min="14085" max="14085" width="3" style="616" customWidth="1"/>
    <col min="14086" max="14086" width="16.1640625" style="616" customWidth="1"/>
    <col min="14087" max="14087" width="2.83203125" style="616" customWidth="1"/>
    <col min="14088" max="14088" width="13.33203125" style="616" customWidth="1"/>
    <col min="14089" max="14089" width="3.33203125" style="616" customWidth="1"/>
    <col min="14090" max="14090" width="11.83203125" style="616" customWidth="1"/>
    <col min="14091" max="14091" width="3" style="616" customWidth="1"/>
    <col min="14092" max="14092" width="16" style="616" customWidth="1"/>
    <col min="14093" max="14093" width="2.83203125" style="616" customWidth="1"/>
    <col min="14094" max="14094" width="10.5" style="616" customWidth="1"/>
    <col min="14095" max="14095" width="4.1640625" style="616" customWidth="1"/>
    <col min="14096" max="14096" width="10.83203125" style="616" customWidth="1"/>
    <col min="14097" max="14097" width="3.1640625" style="616" customWidth="1"/>
    <col min="14098" max="14098" width="11" style="616" customWidth="1"/>
    <col min="14099" max="14099" width="3" style="616" customWidth="1"/>
    <col min="14100" max="14100" width="11.1640625" style="616" customWidth="1"/>
    <col min="14101" max="14101" width="3.5" style="616" customWidth="1"/>
    <col min="14102" max="14337" width="9.33203125" style="616"/>
    <col min="14338" max="14338" width="12.6640625" style="616" customWidth="1"/>
    <col min="14339" max="14339" width="20.6640625" style="616" customWidth="1"/>
    <col min="14340" max="14340" width="13" style="616" customWidth="1"/>
    <col min="14341" max="14341" width="3" style="616" customWidth="1"/>
    <col min="14342" max="14342" width="16.1640625" style="616" customWidth="1"/>
    <col min="14343" max="14343" width="2.83203125" style="616" customWidth="1"/>
    <col min="14344" max="14344" width="13.33203125" style="616" customWidth="1"/>
    <col min="14345" max="14345" width="3.33203125" style="616" customWidth="1"/>
    <col min="14346" max="14346" width="11.83203125" style="616" customWidth="1"/>
    <col min="14347" max="14347" width="3" style="616" customWidth="1"/>
    <col min="14348" max="14348" width="16" style="616" customWidth="1"/>
    <col min="14349" max="14349" width="2.83203125" style="616" customWidth="1"/>
    <col min="14350" max="14350" width="10.5" style="616" customWidth="1"/>
    <col min="14351" max="14351" width="4.1640625" style="616" customWidth="1"/>
    <col min="14352" max="14352" width="10.83203125" style="616" customWidth="1"/>
    <col min="14353" max="14353" width="3.1640625" style="616" customWidth="1"/>
    <col min="14354" max="14354" width="11" style="616" customWidth="1"/>
    <col min="14355" max="14355" width="3" style="616" customWidth="1"/>
    <col min="14356" max="14356" width="11.1640625" style="616" customWidth="1"/>
    <col min="14357" max="14357" width="3.5" style="616" customWidth="1"/>
    <col min="14358" max="14593" width="9.33203125" style="616"/>
    <col min="14594" max="14594" width="12.6640625" style="616" customWidth="1"/>
    <col min="14595" max="14595" width="20.6640625" style="616" customWidth="1"/>
    <col min="14596" max="14596" width="13" style="616" customWidth="1"/>
    <col min="14597" max="14597" width="3" style="616" customWidth="1"/>
    <col min="14598" max="14598" width="16.1640625" style="616" customWidth="1"/>
    <col min="14599" max="14599" width="2.83203125" style="616" customWidth="1"/>
    <col min="14600" max="14600" width="13.33203125" style="616" customWidth="1"/>
    <col min="14601" max="14601" width="3.33203125" style="616" customWidth="1"/>
    <col min="14602" max="14602" width="11.83203125" style="616" customWidth="1"/>
    <col min="14603" max="14603" width="3" style="616" customWidth="1"/>
    <col min="14604" max="14604" width="16" style="616" customWidth="1"/>
    <col min="14605" max="14605" width="2.83203125" style="616" customWidth="1"/>
    <col min="14606" max="14606" width="10.5" style="616" customWidth="1"/>
    <col min="14607" max="14607" width="4.1640625" style="616" customWidth="1"/>
    <col min="14608" max="14608" width="10.83203125" style="616" customWidth="1"/>
    <col min="14609" max="14609" width="3.1640625" style="616" customWidth="1"/>
    <col min="14610" max="14610" width="11" style="616" customWidth="1"/>
    <col min="14611" max="14611" width="3" style="616" customWidth="1"/>
    <col min="14612" max="14612" width="11.1640625" style="616" customWidth="1"/>
    <col min="14613" max="14613" width="3.5" style="616" customWidth="1"/>
    <col min="14614" max="14849" width="9.33203125" style="616"/>
    <col min="14850" max="14850" width="12.6640625" style="616" customWidth="1"/>
    <col min="14851" max="14851" width="20.6640625" style="616" customWidth="1"/>
    <col min="14852" max="14852" width="13" style="616" customWidth="1"/>
    <col min="14853" max="14853" width="3" style="616" customWidth="1"/>
    <col min="14854" max="14854" width="16.1640625" style="616" customWidth="1"/>
    <col min="14855" max="14855" width="2.83203125" style="616" customWidth="1"/>
    <col min="14856" max="14856" width="13.33203125" style="616" customWidth="1"/>
    <col min="14857" max="14857" width="3.33203125" style="616" customWidth="1"/>
    <col min="14858" max="14858" width="11.83203125" style="616" customWidth="1"/>
    <col min="14859" max="14859" width="3" style="616" customWidth="1"/>
    <col min="14860" max="14860" width="16" style="616" customWidth="1"/>
    <col min="14861" max="14861" width="2.83203125" style="616" customWidth="1"/>
    <col min="14862" max="14862" width="10.5" style="616" customWidth="1"/>
    <col min="14863" max="14863" width="4.1640625" style="616" customWidth="1"/>
    <col min="14864" max="14864" width="10.83203125" style="616" customWidth="1"/>
    <col min="14865" max="14865" width="3.1640625" style="616" customWidth="1"/>
    <col min="14866" max="14866" width="11" style="616" customWidth="1"/>
    <col min="14867" max="14867" width="3" style="616" customWidth="1"/>
    <col min="14868" max="14868" width="11.1640625" style="616" customWidth="1"/>
    <col min="14869" max="14869" width="3.5" style="616" customWidth="1"/>
    <col min="14870" max="15105" width="9.33203125" style="616"/>
    <col min="15106" max="15106" width="12.6640625" style="616" customWidth="1"/>
    <col min="15107" max="15107" width="20.6640625" style="616" customWidth="1"/>
    <col min="15108" max="15108" width="13" style="616" customWidth="1"/>
    <col min="15109" max="15109" width="3" style="616" customWidth="1"/>
    <col min="15110" max="15110" width="16.1640625" style="616" customWidth="1"/>
    <col min="15111" max="15111" width="2.83203125" style="616" customWidth="1"/>
    <col min="15112" max="15112" width="13.33203125" style="616" customWidth="1"/>
    <col min="15113" max="15113" width="3.33203125" style="616" customWidth="1"/>
    <col min="15114" max="15114" width="11.83203125" style="616" customWidth="1"/>
    <col min="15115" max="15115" width="3" style="616" customWidth="1"/>
    <col min="15116" max="15116" width="16" style="616" customWidth="1"/>
    <col min="15117" max="15117" width="2.83203125" style="616" customWidth="1"/>
    <col min="15118" max="15118" width="10.5" style="616" customWidth="1"/>
    <col min="15119" max="15119" width="4.1640625" style="616" customWidth="1"/>
    <col min="15120" max="15120" width="10.83203125" style="616" customWidth="1"/>
    <col min="15121" max="15121" width="3.1640625" style="616" customWidth="1"/>
    <col min="15122" max="15122" width="11" style="616" customWidth="1"/>
    <col min="15123" max="15123" width="3" style="616" customWidth="1"/>
    <col min="15124" max="15124" width="11.1640625" style="616" customWidth="1"/>
    <col min="15125" max="15125" width="3.5" style="616" customWidth="1"/>
    <col min="15126" max="15361" width="9.33203125" style="616"/>
    <col min="15362" max="15362" width="12.6640625" style="616" customWidth="1"/>
    <col min="15363" max="15363" width="20.6640625" style="616" customWidth="1"/>
    <col min="15364" max="15364" width="13" style="616" customWidth="1"/>
    <col min="15365" max="15365" width="3" style="616" customWidth="1"/>
    <col min="15366" max="15366" width="16.1640625" style="616" customWidth="1"/>
    <col min="15367" max="15367" width="2.83203125" style="616" customWidth="1"/>
    <col min="15368" max="15368" width="13.33203125" style="616" customWidth="1"/>
    <col min="15369" max="15369" width="3.33203125" style="616" customWidth="1"/>
    <col min="15370" max="15370" width="11.83203125" style="616" customWidth="1"/>
    <col min="15371" max="15371" width="3" style="616" customWidth="1"/>
    <col min="15372" max="15372" width="16" style="616" customWidth="1"/>
    <col min="15373" max="15373" width="2.83203125" style="616" customWidth="1"/>
    <col min="15374" max="15374" width="10.5" style="616" customWidth="1"/>
    <col min="15375" max="15375" width="4.1640625" style="616" customWidth="1"/>
    <col min="15376" max="15376" width="10.83203125" style="616" customWidth="1"/>
    <col min="15377" max="15377" width="3.1640625" style="616" customWidth="1"/>
    <col min="15378" max="15378" width="11" style="616" customWidth="1"/>
    <col min="15379" max="15379" width="3" style="616" customWidth="1"/>
    <col min="15380" max="15380" width="11.1640625" style="616" customWidth="1"/>
    <col min="15381" max="15381" width="3.5" style="616" customWidth="1"/>
    <col min="15382" max="15617" width="9.33203125" style="616"/>
    <col min="15618" max="15618" width="12.6640625" style="616" customWidth="1"/>
    <col min="15619" max="15619" width="20.6640625" style="616" customWidth="1"/>
    <col min="15620" max="15620" width="13" style="616" customWidth="1"/>
    <col min="15621" max="15621" width="3" style="616" customWidth="1"/>
    <col min="15622" max="15622" width="16.1640625" style="616" customWidth="1"/>
    <col min="15623" max="15623" width="2.83203125" style="616" customWidth="1"/>
    <col min="15624" max="15624" width="13.33203125" style="616" customWidth="1"/>
    <col min="15625" max="15625" width="3.33203125" style="616" customWidth="1"/>
    <col min="15626" max="15626" width="11.83203125" style="616" customWidth="1"/>
    <col min="15627" max="15627" width="3" style="616" customWidth="1"/>
    <col min="15628" max="15628" width="16" style="616" customWidth="1"/>
    <col min="15629" max="15629" width="2.83203125" style="616" customWidth="1"/>
    <col min="15630" max="15630" width="10.5" style="616" customWidth="1"/>
    <col min="15631" max="15631" width="4.1640625" style="616" customWidth="1"/>
    <col min="15632" max="15632" width="10.83203125" style="616" customWidth="1"/>
    <col min="15633" max="15633" width="3.1640625" style="616" customWidth="1"/>
    <col min="15634" max="15634" width="11" style="616" customWidth="1"/>
    <col min="15635" max="15635" width="3" style="616" customWidth="1"/>
    <col min="15636" max="15636" width="11.1640625" style="616" customWidth="1"/>
    <col min="15637" max="15637" width="3.5" style="616" customWidth="1"/>
    <col min="15638" max="15873" width="9.33203125" style="616"/>
    <col min="15874" max="15874" width="12.6640625" style="616" customWidth="1"/>
    <col min="15875" max="15875" width="20.6640625" style="616" customWidth="1"/>
    <col min="15876" max="15876" width="13" style="616" customWidth="1"/>
    <col min="15877" max="15877" width="3" style="616" customWidth="1"/>
    <col min="15878" max="15878" width="16.1640625" style="616" customWidth="1"/>
    <col min="15879" max="15879" width="2.83203125" style="616" customWidth="1"/>
    <col min="15880" max="15880" width="13.33203125" style="616" customWidth="1"/>
    <col min="15881" max="15881" width="3.33203125" style="616" customWidth="1"/>
    <col min="15882" max="15882" width="11.83203125" style="616" customWidth="1"/>
    <col min="15883" max="15883" width="3" style="616" customWidth="1"/>
    <col min="15884" max="15884" width="16" style="616" customWidth="1"/>
    <col min="15885" max="15885" width="2.83203125" style="616" customWidth="1"/>
    <col min="15886" max="15886" width="10.5" style="616" customWidth="1"/>
    <col min="15887" max="15887" width="4.1640625" style="616" customWidth="1"/>
    <col min="15888" max="15888" width="10.83203125" style="616" customWidth="1"/>
    <col min="15889" max="15889" width="3.1640625" style="616" customWidth="1"/>
    <col min="15890" max="15890" width="11" style="616" customWidth="1"/>
    <col min="15891" max="15891" width="3" style="616" customWidth="1"/>
    <col min="15892" max="15892" width="11.1640625" style="616" customWidth="1"/>
    <col min="15893" max="15893" width="3.5" style="616" customWidth="1"/>
    <col min="15894" max="16129" width="9.33203125" style="616"/>
    <col min="16130" max="16130" width="12.6640625" style="616" customWidth="1"/>
    <col min="16131" max="16131" width="20.6640625" style="616" customWidth="1"/>
    <col min="16132" max="16132" width="13" style="616" customWidth="1"/>
    <col min="16133" max="16133" width="3" style="616" customWidth="1"/>
    <col min="16134" max="16134" width="16.1640625" style="616" customWidth="1"/>
    <col min="16135" max="16135" width="2.83203125" style="616" customWidth="1"/>
    <col min="16136" max="16136" width="13.33203125" style="616" customWidth="1"/>
    <col min="16137" max="16137" width="3.33203125" style="616" customWidth="1"/>
    <col min="16138" max="16138" width="11.83203125" style="616" customWidth="1"/>
    <col min="16139" max="16139" width="3" style="616" customWidth="1"/>
    <col min="16140" max="16140" width="16" style="616" customWidth="1"/>
    <col min="16141" max="16141" width="2.83203125" style="616" customWidth="1"/>
    <col min="16142" max="16142" width="10.5" style="616" customWidth="1"/>
    <col min="16143" max="16143" width="4.1640625" style="616" customWidth="1"/>
    <col min="16144" max="16144" width="10.83203125" style="616" customWidth="1"/>
    <col min="16145" max="16145" width="3.1640625" style="616" customWidth="1"/>
    <col min="16146" max="16146" width="11" style="616" customWidth="1"/>
    <col min="16147" max="16147" width="3" style="616" customWidth="1"/>
    <col min="16148" max="16148" width="11.1640625" style="616" customWidth="1"/>
    <col min="16149" max="16149" width="3.5" style="616" customWidth="1"/>
    <col min="16150" max="16384" width="9.33203125" style="616"/>
  </cols>
  <sheetData>
    <row r="1" spans="1:24" ht="13.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</row>
    <row r="2" spans="1:24" ht="13.5" customHeight="1">
      <c r="A2" s="578"/>
      <c r="I2" s="578"/>
      <c r="J2" s="578"/>
      <c r="K2" s="494" t="s">
        <v>389</v>
      </c>
      <c r="L2" s="578"/>
      <c r="M2" s="578"/>
      <c r="N2" s="578"/>
    </row>
    <row r="3" spans="1:24" ht="13.5" customHeight="1">
      <c r="A3" s="578"/>
      <c r="I3" s="578"/>
      <c r="J3" s="578"/>
      <c r="K3" s="496" t="s">
        <v>298</v>
      </c>
      <c r="L3" s="578"/>
      <c r="M3" s="578"/>
      <c r="N3" s="578"/>
    </row>
    <row r="4" spans="1:24" ht="13.5" customHeight="1">
      <c r="A4" s="578"/>
      <c r="B4" s="1011" t="s">
        <v>153</v>
      </c>
      <c r="C4" s="1011"/>
      <c r="D4" s="1011"/>
      <c r="E4" s="1011"/>
      <c r="F4" s="1011"/>
      <c r="G4" s="1011"/>
      <c r="H4" s="1011"/>
      <c r="I4" s="578"/>
      <c r="J4" s="578"/>
      <c r="K4" s="496" t="s">
        <v>383</v>
      </c>
      <c r="L4" s="578"/>
      <c r="M4" s="578"/>
      <c r="N4" s="578"/>
    </row>
    <row r="5" spans="1:24" s="173" customFormat="1" ht="15.75">
      <c r="A5" s="198"/>
      <c r="B5" s="1013" t="s">
        <v>308</v>
      </c>
      <c r="C5" s="1013"/>
      <c r="D5" s="1013"/>
      <c r="E5" s="1013"/>
      <c r="F5" s="1013"/>
      <c r="G5" s="1013"/>
      <c r="H5" s="1013"/>
      <c r="I5" s="198"/>
      <c r="J5" s="198"/>
      <c r="K5" s="198"/>
      <c r="L5" s="198"/>
      <c r="M5" s="198"/>
      <c r="N5" s="198"/>
    </row>
    <row r="6" spans="1:24" s="173" customFormat="1" ht="15.75">
      <c r="A6" s="198"/>
      <c r="B6" s="423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24" s="173" customFormat="1" ht="15.75">
      <c r="A7" s="198"/>
      <c r="B7" s="424"/>
      <c r="C7" s="198"/>
      <c r="D7" s="824" t="s">
        <v>154</v>
      </c>
      <c r="E7" s="825"/>
      <c r="F7" s="826" t="s">
        <v>6</v>
      </c>
      <c r="G7" s="198"/>
      <c r="H7" s="198"/>
      <c r="I7" s="198"/>
      <c r="J7" s="198"/>
      <c r="K7" s="198"/>
      <c r="L7" s="198"/>
      <c r="M7" s="198"/>
      <c r="N7" s="198"/>
    </row>
    <row r="8" spans="1:24" s="173" customFormat="1" ht="15.75">
      <c r="A8" s="198"/>
      <c r="B8" s="827"/>
      <c r="C8" s="828"/>
      <c r="D8" s="829"/>
      <c r="E8" s="830"/>
      <c r="F8" s="828"/>
      <c r="G8" s="198"/>
      <c r="H8" s="198"/>
      <c r="I8" s="198"/>
      <c r="J8" s="198"/>
      <c r="K8" s="198"/>
      <c r="L8" s="198"/>
      <c r="M8" s="198"/>
      <c r="N8" s="198"/>
    </row>
    <row r="9" spans="1:24" s="173" customFormat="1" ht="15.75">
      <c r="A9" s="198"/>
      <c r="B9" s="220" t="s">
        <v>299</v>
      </c>
      <c r="C9" s="221"/>
      <c r="D9" s="222">
        <v>-743418.47</v>
      </c>
      <c r="E9" s="198"/>
      <c r="F9" s="224">
        <f>+'47WA.2540.'!I69</f>
        <v>-821191.95999999973</v>
      </c>
      <c r="G9" s="198"/>
      <c r="H9" s="198"/>
      <c r="I9" s="198"/>
      <c r="J9" s="198"/>
      <c r="K9" s="198"/>
      <c r="L9" s="198"/>
      <c r="M9" s="198"/>
      <c r="N9" s="427"/>
      <c r="X9" s="428"/>
    </row>
    <row r="10" spans="1:24" s="173" customFormat="1" ht="15.75">
      <c r="A10" s="198"/>
      <c r="B10" s="220"/>
      <c r="C10" s="221"/>
      <c r="D10" s="222"/>
      <c r="E10" s="198"/>
      <c r="F10" s="221"/>
      <c r="G10" s="198"/>
      <c r="H10" s="198"/>
      <c r="I10" s="198"/>
      <c r="J10" s="198"/>
      <c r="K10" s="198"/>
      <c r="L10" s="198"/>
      <c r="M10" s="198"/>
      <c r="N10" s="198"/>
    </row>
    <row r="11" spans="1:24" s="173" customFormat="1" ht="15.75">
      <c r="A11" s="198"/>
      <c r="B11" s="225"/>
      <c r="C11" s="221"/>
      <c r="D11" s="226"/>
      <c r="E11" s="198"/>
      <c r="F11" s="227"/>
      <c r="G11" s="198"/>
      <c r="H11" s="198"/>
      <c r="I11" s="198"/>
      <c r="J11" s="198"/>
      <c r="K11" s="198"/>
      <c r="L11" s="198"/>
      <c r="M11" s="198"/>
      <c r="N11" s="198"/>
    </row>
    <row r="12" spans="1:24" s="173" customFormat="1" ht="15.75">
      <c r="A12" s="198"/>
      <c r="B12" s="228"/>
      <c r="C12" s="229"/>
      <c r="D12" s="230"/>
      <c r="E12" s="231"/>
      <c r="F12" s="232"/>
      <c r="G12" s="198"/>
      <c r="H12" s="198"/>
      <c r="I12" s="198"/>
      <c r="J12" s="198"/>
      <c r="K12" s="198"/>
      <c r="L12" s="198"/>
      <c r="M12" s="198"/>
      <c r="N12" s="198"/>
    </row>
    <row r="13" spans="1:24" s="173" customFormat="1" ht="15.75">
      <c r="A13" s="198"/>
      <c r="B13" s="198"/>
      <c r="C13" s="198"/>
      <c r="D13" s="233"/>
      <c r="E13" s="198"/>
      <c r="F13" s="233"/>
      <c r="G13" s="198"/>
      <c r="H13" s="198"/>
      <c r="I13" s="198"/>
      <c r="J13" s="198"/>
      <c r="K13" s="198"/>
      <c r="L13" s="198"/>
      <c r="M13" s="198"/>
      <c r="N13" s="198"/>
    </row>
    <row r="14" spans="1:24" s="173" customFormat="1" ht="15.75">
      <c r="A14" s="198"/>
      <c r="B14" s="831" t="s">
        <v>129</v>
      </c>
      <c r="C14" s="832"/>
      <c r="D14" s="630" t="s">
        <v>67</v>
      </c>
      <c r="E14" s="831"/>
      <c r="F14" s="631" t="s">
        <v>69</v>
      </c>
      <c r="G14" s="831"/>
      <c r="H14" s="833">
        <v>505</v>
      </c>
      <c r="I14" s="834">
        <v>511</v>
      </c>
      <c r="J14" s="834">
        <v>570</v>
      </c>
      <c r="K14" s="834">
        <v>663</v>
      </c>
      <c r="L14" s="834" t="s">
        <v>146</v>
      </c>
      <c r="M14" s="198"/>
      <c r="N14" s="198"/>
      <c r="T14" s="428"/>
    </row>
    <row r="15" spans="1:24" s="173" customFormat="1" ht="15.75">
      <c r="A15" s="198"/>
      <c r="B15" s="827"/>
      <c r="C15" s="828"/>
      <c r="D15" s="633"/>
      <c r="E15" s="225"/>
      <c r="F15" s="227"/>
      <c r="G15" s="225"/>
      <c r="H15" s="221"/>
      <c r="I15" s="263"/>
      <c r="J15" s="263"/>
      <c r="K15" s="263"/>
      <c r="L15" s="263"/>
      <c r="M15" s="198"/>
      <c r="N15" s="198"/>
      <c r="T15" s="428"/>
    </row>
    <row r="16" spans="1:24" s="173" customFormat="1" ht="15.75">
      <c r="A16" s="198"/>
      <c r="B16" s="225" t="s">
        <v>300</v>
      </c>
      <c r="C16" s="221"/>
      <c r="D16" s="240">
        <v>-2.7399999999999998E-3</v>
      </c>
      <c r="E16" s="835"/>
      <c r="F16" s="241">
        <v>-2.0899999999999998E-3</v>
      </c>
      <c r="G16" s="835"/>
      <c r="H16" s="241">
        <v>-1.33E-3</v>
      </c>
      <c r="I16" s="240">
        <v>-1.09E-3</v>
      </c>
      <c r="J16" s="240">
        <v>-4.0000000000000002E-4</v>
      </c>
      <c r="K16" s="240">
        <v>-2.3000000000000001E-4</v>
      </c>
      <c r="L16" s="263"/>
      <c r="M16" s="198"/>
      <c r="N16" s="198"/>
      <c r="R16" s="464"/>
      <c r="T16" s="428"/>
    </row>
    <row r="17" spans="1:20" s="173" customFormat="1" ht="15.75">
      <c r="A17" s="198"/>
      <c r="B17" s="225"/>
      <c r="C17" s="221"/>
      <c r="D17" s="429"/>
      <c r="E17" s="429"/>
      <c r="F17" s="465"/>
      <c r="G17" s="429"/>
      <c r="H17" s="465"/>
      <c r="I17" s="468"/>
      <c r="J17" s="468"/>
      <c r="K17" s="263"/>
      <c r="L17" s="263"/>
      <c r="M17" s="198"/>
      <c r="N17" s="198"/>
      <c r="R17" s="464"/>
      <c r="T17" s="428"/>
    </row>
    <row r="18" spans="1:20" s="173" customFormat="1" ht="15.75">
      <c r="A18" s="198"/>
      <c r="B18" s="242" t="s">
        <v>159</v>
      </c>
      <c r="C18" s="221"/>
      <c r="D18" s="243">
        <v>0.11636925328260395</v>
      </c>
      <c r="E18" s="636"/>
      <c r="F18" s="244">
        <f>+D18</f>
        <v>0.11636925328260395</v>
      </c>
      <c r="G18" s="636"/>
      <c r="H18" s="244">
        <f>+F18</f>
        <v>0.11636925328260395</v>
      </c>
      <c r="I18" s="243">
        <f>+H18</f>
        <v>0.11636925328260395</v>
      </c>
      <c r="J18" s="243">
        <f>+I18</f>
        <v>0.11636925328260395</v>
      </c>
      <c r="K18" s="243">
        <f>+J18</f>
        <v>0.11636925328260395</v>
      </c>
      <c r="L18" s="637"/>
      <c r="M18" s="198"/>
      <c r="N18" s="198"/>
      <c r="R18" s="464"/>
      <c r="T18" s="428"/>
    </row>
    <row r="19" spans="1:20" ht="15.75">
      <c r="A19" s="578"/>
      <c r="B19" s="635"/>
      <c r="C19" s="621"/>
      <c r="D19" s="243"/>
      <c r="E19" s="624"/>
      <c r="F19" s="244"/>
      <c r="G19" s="624"/>
      <c r="H19" s="244"/>
      <c r="I19" s="634"/>
      <c r="J19" s="634"/>
      <c r="K19" s="634"/>
      <c r="L19" s="637"/>
      <c r="M19" s="578"/>
      <c r="N19" s="578"/>
      <c r="T19" s="623"/>
    </row>
    <row r="20" spans="1:20" ht="15.75">
      <c r="A20" s="578"/>
      <c r="B20" s="638" t="s">
        <v>301</v>
      </c>
      <c r="C20" s="639"/>
      <c r="D20" s="248">
        <f>+D16+D24</f>
        <v>-3.0588517539943344E-3</v>
      </c>
      <c r="E20" s="624"/>
      <c r="F20" s="249">
        <f>+F16+F24</f>
        <v>-2.3332117393606421E-3</v>
      </c>
      <c r="G20" s="624"/>
      <c r="H20" s="249">
        <f>+H16+H24</f>
        <v>-1.4847711068658633E-3</v>
      </c>
      <c r="I20" s="248">
        <f t="shared" ref="I20:K20" si="0">+I16+I24</f>
        <v>-1.2168424860780384E-3</v>
      </c>
      <c r="J20" s="248">
        <f>+J16+J24</f>
        <v>-4.4654770131304159E-4</v>
      </c>
      <c r="K20" s="248">
        <f t="shared" si="0"/>
        <v>-2.5676492825499889E-4</v>
      </c>
      <c r="L20" s="634"/>
      <c r="M20" s="578"/>
      <c r="N20" s="578"/>
      <c r="P20" s="623"/>
      <c r="R20" s="640"/>
      <c r="T20" s="623"/>
    </row>
    <row r="21" spans="1:20" ht="15.75">
      <c r="A21" s="578"/>
      <c r="B21" s="638"/>
      <c r="C21" s="639"/>
      <c r="D21" s="248"/>
      <c r="E21" s="624"/>
      <c r="F21" s="249"/>
      <c r="G21" s="624"/>
      <c r="H21" s="249"/>
      <c r="I21" s="634"/>
      <c r="J21" s="634"/>
      <c r="K21" s="634"/>
      <c r="L21" s="634"/>
      <c r="M21" s="578"/>
      <c r="N21" s="622"/>
      <c r="P21" s="623"/>
      <c r="R21" s="641"/>
      <c r="T21" s="623"/>
    </row>
    <row r="22" spans="1:20" ht="15.75">
      <c r="A22" s="578"/>
      <c r="B22" s="624" t="s">
        <v>302</v>
      </c>
      <c r="C22" s="621"/>
      <c r="D22" s="222">
        <f>+D20*D27</f>
        <v>-403749.50064073299</v>
      </c>
      <c r="E22" s="624"/>
      <c r="F22" s="250">
        <f>+F20*F27</f>
        <v>-218313.01543336516</v>
      </c>
      <c r="G22" s="624"/>
      <c r="H22" s="250">
        <f>+H20*H27</f>
        <v>-19163.299221842262</v>
      </c>
      <c r="I22" s="222">
        <f>+I20*I27</f>
        <v>-18921.292523536908</v>
      </c>
      <c r="J22" s="222">
        <f>+J20*J27</f>
        <v>-1041.2245664621028</v>
      </c>
      <c r="K22" s="222">
        <f>+K20*K27</f>
        <v>-160003.62761406036</v>
      </c>
      <c r="L22" s="642">
        <f>+D22+F22+H22+I22+J22+K22</f>
        <v>-821191.96</v>
      </c>
      <c r="M22" s="578"/>
      <c r="N22" s="578"/>
      <c r="T22" s="623"/>
    </row>
    <row r="23" spans="1:20" ht="15.75">
      <c r="A23" s="578"/>
      <c r="B23" s="624"/>
      <c r="C23" s="621"/>
      <c r="D23" s="222"/>
      <c r="E23" s="624"/>
      <c r="F23" s="250"/>
      <c r="G23" s="624"/>
      <c r="H23" s="250"/>
      <c r="I23" s="634"/>
      <c r="J23" s="634"/>
      <c r="K23" s="634"/>
      <c r="L23" s="642"/>
      <c r="M23" s="578"/>
      <c r="N23" s="578"/>
      <c r="T23" s="623"/>
    </row>
    <row r="24" spans="1:20" ht="15.75">
      <c r="A24" s="578"/>
      <c r="B24" s="624" t="s">
        <v>164</v>
      </c>
      <c r="C24" s="621"/>
      <c r="D24" s="240">
        <f>+D16*D18</f>
        <v>-3.1885175399433478E-4</v>
      </c>
      <c r="E24" s="624"/>
      <c r="F24" s="241">
        <f>+F16*F18</f>
        <v>-2.4321173936064222E-4</v>
      </c>
      <c r="G24" s="719"/>
      <c r="H24" s="241">
        <f>+H16*H18</f>
        <v>-1.5477110686586324E-4</v>
      </c>
      <c r="I24" s="240">
        <f t="shared" ref="I24:K24" si="1">+I16*I18</f>
        <v>-1.2684248607803831E-4</v>
      </c>
      <c r="J24" s="240">
        <f>+J16*J18</f>
        <v>-4.6547701313041582E-5</v>
      </c>
      <c r="K24" s="240">
        <f t="shared" si="1"/>
        <v>-2.6764928254998908E-5</v>
      </c>
      <c r="L24" s="642"/>
      <c r="M24" s="578"/>
      <c r="N24" s="578"/>
      <c r="S24" s="442"/>
    </row>
    <row r="25" spans="1:20" ht="15.75">
      <c r="A25" s="578"/>
      <c r="B25" s="624"/>
      <c r="C25" s="621"/>
      <c r="D25" s="240"/>
      <c r="E25" s="624"/>
      <c r="F25" s="241"/>
      <c r="G25" s="624"/>
      <c r="H25" s="241"/>
      <c r="I25" s="634"/>
      <c r="J25" s="634"/>
      <c r="K25" s="634"/>
      <c r="L25" s="642"/>
      <c r="M25" s="578"/>
      <c r="N25" s="578"/>
      <c r="S25" s="442"/>
    </row>
    <row r="26" spans="1:20" ht="15.75">
      <c r="A26" s="578"/>
      <c r="B26" s="624"/>
      <c r="C26" s="621"/>
      <c r="D26" s="226"/>
      <c r="E26" s="624"/>
      <c r="F26" s="227"/>
      <c r="G26" s="624"/>
      <c r="H26" s="227"/>
      <c r="I26" s="634"/>
      <c r="J26" s="634"/>
      <c r="K26" s="634"/>
      <c r="L26" s="643"/>
      <c r="M26" s="578"/>
      <c r="N26" s="578"/>
      <c r="S26" s="442"/>
    </row>
    <row r="27" spans="1:20" ht="15.75">
      <c r="A27" s="578"/>
      <c r="B27" s="625" t="s">
        <v>165</v>
      </c>
      <c r="C27" s="626"/>
      <c r="D27" s="230">
        <f>+'Test Period Volumes'!C34</f>
        <v>131993811.11343679</v>
      </c>
      <c r="E27" s="625"/>
      <c r="F27" s="232">
        <f>+'Test Period Volumes'!D34</f>
        <v>93567596.866792873</v>
      </c>
      <c r="G27" s="625"/>
      <c r="H27" s="232">
        <f>+'Test Period Volumes'!E34</f>
        <v>12906567.97753373</v>
      </c>
      <c r="I27" s="644">
        <f>+'Test Period Volumes'!F34</f>
        <v>15549500.235253498</v>
      </c>
      <c r="J27" s="644">
        <f>+'Test Period Volumes'!G34</f>
        <v>2331720.8069831203</v>
      </c>
      <c r="K27" s="644">
        <f>+'Test Period Volumes'!H34</f>
        <v>623152191</v>
      </c>
      <c r="L27" s="230">
        <f>+D27+F27+H27+I27+J27+K27</f>
        <v>879501388</v>
      </c>
      <c r="M27" s="578"/>
      <c r="N27" s="578"/>
      <c r="S27" s="442"/>
    </row>
    <row r="28" spans="1:20" ht="15">
      <c r="A28" s="645"/>
      <c r="D28" s="646"/>
      <c r="E28" s="646"/>
      <c r="F28" s="646"/>
      <c r="G28" s="646"/>
      <c r="H28" s="646"/>
      <c r="I28" s="646"/>
      <c r="J28" s="646"/>
      <c r="S28" s="442"/>
    </row>
    <row r="31" spans="1:20">
      <c r="C31" s="175"/>
      <c r="D31" s="175"/>
      <c r="E31" s="175"/>
      <c r="F31" s="175"/>
      <c r="G31" s="175"/>
      <c r="H31" s="175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  <colBreaks count="1" manualBreakCount="1">
    <brk id="20" min="1" max="30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DBA5-87FD-4F53-8E20-BC084BDB8B1A}">
  <sheetPr>
    <tabColor rgb="FF7030A0"/>
  </sheetPr>
  <dimension ref="A1:O28"/>
  <sheetViews>
    <sheetView workbookViewId="0">
      <selection sqref="A1:I1"/>
    </sheetView>
  </sheetViews>
  <sheetFormatPr defaultRowHeight="15.75"/>
  <cols>
    <col min="1" max="1" width="6.1640625" style="578" bestFit="1" customWidth="1"/>
    <col min="2" max="2" width="9.33203125" style="578"/>
    <col min="3" max="3" width="21.6640625" style="578" customWidth="1"/>
    <col min="4" max="4" width="13.5" style="578" customWidth="1"/>
    <col min="5" max="5" width="18" style="578" bestFit="1" customWidth="1"/>
    <col min="6" max="6" width="27.1640625" style="578" bestFit="1" customWidth="1"/>
    <col min="7" max="7" width="1.83203125" style="578" customWidth="1"/>
    <col min="8" max="8" width="25" style="578" customWidth="1"/>
    <col min="9" max="9" width="1.33203125" style="578" customWidth="1"/>
    <col min="10" max="10" width="15.33203125" style="652" bestFit="1" customWidth="1"/>
    <col min="11" max="11" width="17.6640625" style="578" bestFit="1" customWidth="1"/>
    <col min="12" max="12" width="13.5" style="578" bestFit="1" customWidth="1"/>
    <col min="13" max="13" width="9.33203125" style="578"/>
    <col min="14" max="14" width="15.83203125" style="578" customWidth="1"/>
    <col min="15" max="15" width="12.5" style="578" customWidth="1"/>
    <col min="16" max="253" width="9.33203125" style="578"/>
    <col min="254" max="254" width="5" style="578" customWidth="1"/>
    <col min="255" max="255" width="9.33203125" style="578"/>
    <col min="256" max="256" width="21.6640625" style="578" customWidth="1"/>
    <col min="257" max="257" width="13.5" style="578" customWidth="1"/>
    <col min="258" max="258" width="10.5" style="578" customWidth="1"/>
    <col min="259" max="259" width="15.1640625" style="578" customWidth="1"/>
    <col min="260" max="260" width="3.6640625" style="578" customWidth="1"/>
    <col min="261" max="261" width="13.1640625" style="578" customWidth="1"/>
    <col min="262" max="262" width="3.83203125" style="578" customWidth="1"/>
    <col min="263" max="263" width="15" style="578" customWidth="1"/>
    <col min="264" max="264" width="3.6640625" style="578" customWidth="1"/>
    <col min="265" max="266" width="13" style="578" customWidth="1"/>
    <col min="267" max="267" width="0" style="578" hidden="1" customWidth="1"/>
    <col min="268" max="269" width="9.33203125" style="578"/>
    <col min="270" max="270" width="15.83203125" style="578" customWidth="1"/>
    <col min="271" max="509" width="9.33203125" style="578"/>
    <col min="510" max="510" width="5" style="578" customWidth="1"/>
    <col min="511" max="511" width="9.33203125" style="578"/>
    <col min="512" max="512" width="21.6640625" style="578" customWidth="1"/>
    <col min="513" max="513" width="13.5" style="578" customWidth="1"/>
    <col min="514" max="514" width="10.5" style="578" customWidth="1"/>
    <col min="515" max="515" width="15.1640625" style="578" customWidth="1"/>
    <col min="516" max="516" width="3.6640625" style="578" customWidth="1"/>
    <col min="517" max="517" width="13.1640625" style="578" customWidth="1"/>
    <col min="518" max="518" width="3.83203125" style="578" customWidth="1"/>
    <col min="519" max="519" width="15" style="578" customWidth="1"/>
    <col min="520" max="520" width="3.6640625" style="578" customWidth="1"/>
    <col min="521" max="522" width="13" style="578" customWidth="1"/>
    <col min="523" max="523" width="0" style="578" hidden="1" customWidth="1"/>
    <col min="524" max="525" width="9.33203125" style="578"/>
    <col min="526" max="526" width="15.83203125" style="578" customWidth="1"/>
    <col min="527" max="765" width="9.33203125" style="578"/>
    <col min="766" max="766" width="5" style="578" customWidth="1"/>
    <col min="767" max="767" width="9.33203125" style="578"/>
    <col min="768" max="768" width="21.6640625" style="578" customWidth="1"/>
    <col min="769" max="769" width="13.5" style="578" customWidth="1"/>
    <col min="770" max="770" width="10.5" style="578" customWidth="1"/>
    <col min="771" max="771" width="15.1640625" style="578" customWidth="1"/>
    <col min="772" max="772" width="3.6640625" style="578" customWidth="1"/>
    <col min="773" max="773" width="13.1640625" style="578" customWidth="1"/>
    <col min="774" max="774" width="3.83203125" style="578" customWidth="1"/>
    <col min="775" max="775" width="15" style="578" customWidth="1"/>
    <col min="776" max="776" width="3.6640625" style="578" customWidth="1"/>
    <col min="777" max="778" width="13" style="578" customWidth="1"/>
    <col min="779" max="779" width="0" style="578" hidden="1" customWidth="1"/>
    <col min="780" max="781" width="9.33203125" style="578"/>
    <col min="782" max="782" width="15.83203125" style="578" customWidth="1"/>
    <col min="783" max="1021" width="9.33203125" style="578"/>
    <col min="1022" max="1022" width="5" style="578" customWidth="1"/>
    <col min="1023" max="1023" width="9.33203125" style="578"/>
    <col min="1024" max="1024" width="21.6640625" style="578" customWidth="1"/>
    <col min="1025" max="1025" width="13.5" style="578" customWidth="1"/>
    <col min="1026" max="1026" width="10.5" style="578" customWidth="1"/>
    <col min="1027" max="1027" width="15.1640625" style="578" customWidth="1"/>
    <col min="1028" max="1028" width="3.6640625" style="578" customWidth="1"/>
    <col min="1029" max="1029" width="13.1640625" style="578" customWidth="1"/>
    <col min="1030" max="1030" width="3.83203125" style="578" customWidth="1"/>
    <col min="1031" max="1031" width="15" style="578" customWidth="1"/>
    <col min="1032" max="1032" width="3.6640625" style="578" customWidth="1"/>
    <col min="1033" max="1034" width="13" style="578" customWidth="1"/>
    <col min="1035" max="1035" width="0" style="578" hidden="1" customWidth="1"/>
    <col min="1036" max="1037" width="9.33203125" style="578"/>
    <col min="1038" max="1038" width="15.83203125" style="578" customWidth="1"/>
    <col min="1039" max="1277" width="9.33203125" style="578"/>
    <col min="1278" max="1278" width="5" style="578" customWidth="1"/>
    <col min="1279" max="1279" width="9.33203125" style="578"/>
    <col min="1280" max="1280" width="21.6640625" style="578" customWidth="1"/>
    <col min="1281" max="1281" width="13.5" style="578" customWidth="1"/>
    <col min="1282" max="1282" width="10.5" style="578" customWidth="1"/>
    <col min="1283" max="1283" width="15.1640625" style="578" customWidth="1"/>
    <col min="1284" max="1284" width="3.6640625" style="578" customWidth="1"/>
    <col min="1285" max="1285" width="13.1640625" style="578" customWidth="1"/>
    <col min="1286" max="1286" width="3.83203125" style="578" customWidth="1"/>
    <col min="1287" max="1287" width="15" style="578" customWidth="1"/>
    <col min="1288" max="1288" width="3.6640625" style="578" customWidth="1"/>
    <col min="1289" max="1290" width="13" style="578" customWidth="1"/>
    <col min="1291" max="1291" width="0" style="578" hidden="1" customWidth="1"/>
    <col min="1292" max="1293" width="9.33203125" style="578"/>
    <col min="1294" max="1294" width="15.83203125" style="578" customWidth="1"/>
    <col min="1295" max="1533" width="9.33203125" style="578"/>
    <col min="1534" max="1534" width="5" style="578" customWidth="1"/>
    <col min="1535" max="1535" width="9.33203125" style="578"/>
    <col min="1536" max="1536" width="21.6640625" style="578" customWidth="1"/>
    <col min="1537" max="1537" width="13.5" style="578" customWidth="1"/>
    <col min="1538" max="1538" width="10.5" style="578" customWidth="1"/>
    <col min="1539" max="1539" width="15.1640625" style="578" customWidth="1"/>
    <col min="1540" max="1540" width="3.6640625" style="578" customWidth="1"/>
    <col min="1541" max="1541" width="13.1640625" style="578" customWidth="1"/>
    <col min="1542" max="1542" width="3.83203125" style="578" customWidth="1"/>
    <col min="1543" max="1543" width="15" style="578" customWidth="1"/>
    <col min="1544" max="1544" width="3.6640625" style="578" customWidth="1"/>
    <col min="1545" max="1546" width="13" style="578" customWidth="1"/>
    <col min="1547" max="1547" width="0" style="578" hidden="1" customWidth="1"/>
    <col min="1548" max="1549" width="9.33203125" style="578"/>
    <col min="1550" max="1550" width="15.83203125" style="578" customWidth="1"/>
    <col min="1551" max="1789" width="9.33203125" style="578"/>
    <col min="1790" max="1790" width="5" style="578" customWidth="1"/>
    <col min="1791" max="1791" width="9.33203125" style="578"/>
    <col min="1792" max="1792" width="21.6640625" style="578" customWidth="1"/>
    <col min="1793" max="1793" width="13.5" style="578" customWidth="1"/>
    <col min="1794" max="1794" width="10.5" style="578" customWidth="1"/>
    <col min="1795" max="1795" width="15.1640625" style="578" customWidth="1"/>
    <col min="1796" max="1796" width="3.6640625" style="578" customWidth="1"/>
    <col min="1797" max="1797" width="13.1640625" style="578" customWidth="1"/>
    <col min="1798" max="1798" width="3.83203125" style="578" customWidth="1"/>
    <col min="1799" max="1799" width="15" style="578" customWidth="1"/>
    <col min="1800" max="1800" width="3.6640625" style="578" customWidth="1"/>
    <col min="1801" max="1802" width="13" style="578" customWidth="1"/>
    <col min="1803" max="1803" width="0" style="578" hidden="1" customWidth="1"/>
    <col min="1804" max="1805" width="9.33203125" style="578"/>
    <col min="1806" max="1806" width="15.83203125" style="578" customWidth="1"/>
    <col min="1807" max="2045" width="9.33203125" style="578"/>
    <col min="2046" max="2046" width="5" style="578" customWidth="1"/>
    <col min="2047" max="2047" width="9.33203125" style="578"/>
    <col min="2048" max="2048" width="21.6640625" style="578" customWidth="1"/>
    <col min="2049" max="2049" width="13.5" style="578" customWidth="1"/>
    <col min="2050" max="2050" width="10.5" style="578" customWidth="1"/>
    <col min="2051" max="2051" width="15.1640625" style="578" customWidth="1"/>
    <col min="2052" max="2052" width="3.6640625" style="578" customWidth="1"/>
    <col min="2053" max="2053" width="13.1640625" style="578" customWidth="1"/>
    <col min="2054" max="2054" width="3.83203125" style="578" customWidth="1"/>
    <col min="2055" max="2055" width="15" style="578" customWidth="1"/>
    <col min="2056" max="2056" width="3.6640625" style="578" customWidth="1"/>
    <col min="2057" max="2058" width="13" style="578" customWidth="1"/>
    <col min="2059" max="2059" width="0" style="578" hidden="1" customWidth="1"/>
    <col min="2060" max="2061" width="9.33203125" style="578"/>
    <col min="2062" max="2062" width="15.83203125" style="578" customWidth="1"/>
    <col min="2063" max="2301" width="9.33203125" style="578"/>
    <col min="2302" max="2302" width="5" style="578" customWidth="1"/>
    <col min="2303" max="2303" width="9.33203125" style="578"/>
    <col min="2304" max="2304" width="21.6640625" style="578" customWidth="1"/>
    <col min="2305" max="2305" width="13.5" style="578" customWidth="1"/>
    <col min="2306" max="2306" width="10.5" style="578" customWidth="1"/>
    <col min="2307" max="2307" width="15.1640625" style="578" customWidth="1"/>
    <col min="2308" max="2308" width="3.6640625" style="578" customWidth="1"/>
    <col min="2309" max="2309" width="13.1640625" style="578" customWidth="1"/>
    <col min="2310" max="2310" width="3.83203125" style="578" customWidth="1"/>
    <col min="2311" max="2311" width="15" style="578" customWidth="1"/>
    <col min="2312" max="2312" width="3.6640625" style="578" customWidth="1"/>
    <col min="2313" max="2314" width="13" style="578" customWidth="1"/>
    <col min="2315" max="2315" width="0" style="578" hidden="1" customWidth="1"/>
    <col min="2316" max="2317" width="9.33203125" style="578"/>
    <col min="2318" max="2318" width="15.83203125" style="578" customWidth="1"/>
    <col min="2319" max="2557" width="9.33203125" style="578"/>
    <col min="2558" max="2558" width="5" style="578" customWidth="1"/>
    <col min="2559" max="2559" width="9.33203125" style="578"/>
    <col min="2560" max="2560" width="21.6640625" style="578" customWidth="1"/>
    <col min="2561" max="2561" width="13.5" style="578" customWidth="1"/>
    <col min="2562" max="2562" width="10.5" style="578" customWidth="1"/>
    <col min="2563" max="2563" width="15.1640625" style="578" customWidth="1"/>
    <col min="2564" max="2564" width="3.6640625" style="578" customWidth="1"/>
    <col min="2565" max="2565" width="13.1640625" style="578" customWidth="1"/>
    <col min="2566" max="2566" width="3.83203125" style="578" customWidth="1"/>
    <col min="2567" max="2567" width="15" style="578" customWidth="1"/>
    <col min="2568" max="2568" width="3.6640625" style="578" customWidth="1"/>
    <col min="2569" max="2570" width="13" style="578" customWidth="1"/>
    <col min="2571" max="2571" width="0" style="578" hidden="1" customWidth="1"/>
    <col min="2572" max="2573" width="9.33203125" style="578"/>
    <col min="2574" max="2574" width="15.83203125" style="578" customWidth="1"/>
    <col min="2575" max="2813" width="9.33203125" style="578"/>
    <col min="2814" max="2814" width="5" style="578" customWidth="1"/>
    <col min="2815" max="2815" width="9.33203125" style="578"/>
    <col min="2816" max="2816" width="21.6640625" style="578" customWidth="1"/>
    <col min="2817" max="2817" width="13.5" style="578" customWidth="1"/>
    <col min="2818" max="2818" width="10.5" style="578" customWidth="1"/>
    <col min="2819" max="2819" width="15.1640625" style="578" customWidth="1"/>
    <col min="2820" max="2820" width="3.6640625" style="578" customWidth="1"/>
    <col min="2821" max="2821" width="13.1640625" style="578" customWidth="1"/>
    <col min="2822" max="2822" width="3.83203125" style="578" customWidth="1"/>
    <col min="2823" max="2823" width="15" style="578" customWidth="1"/>
    <col min="2824" max="2824" width="3.6640625" style="578" customWidth="1"/>
    <col min="2825" max="2826" width="13" style="578" customWidth="1"/>
    <col min="2827" max="2827" width="0" style="578" hidden="1" customWidth="1"/>
    <col min="2828" max="2829" width="9.33203125" style="578"/>
    <col min="2830" max="2830" width="15.83203125" style="578" customWidth="1"/>
    <col min="2831" max="3069" width="9.33203125" style="578"/>
    <col min="3070" max="3070" width="5" style="578" customWidth="1"/>
    <col min="3071" max="3071" width="9.33203125" style="578"/>
    <col min="3072" max="3072" width="21.6640625" style="578" customWidth="1"/>
    <col min="3073" max="3073" width="13.5" style="578" customWidth="1"/>
    <col min="3074" max="3074" width="10.5" style="578" customWidth="1"/>
    <col min="3075" max="3075" width="15.1640625" style="578" customWidth="1"/>
    <col min="3076" max="3076" width="3.6640625" style="578" customWidth="1"/>
    <col min="3077" max="3077" width="13.1640625" style="578" customWidth="1"/>
    <col min="3078" max="3078" width="3.83203125" style="578" customWidth="1"/>
    <col min="3079" max="3079" width="15" style="578" customWidth="1"/>
    <col min="3080" max="3080" width="3.6640625" style="578" customWidth="1"/>
    <col min="3081" max="3082" width="13" style="578" customWidth="1"/>
    <col min="3083" max="3083" width="0" style="578" hidden="1" customWidth="1"/>
    <col min="3084" max="3085" width="9.33203125" style="578"/>
    <col min="3086" max="3086" width="15.83203125" style="578" customWidth="1"/>
    <col min="3087" max="3325" width="9.33203125" style="578"/>
    <col min="3326" max="3326" width="5" style="578" customWidth="1"/>
    <col min="3327" max="3327" width="9.33203125" style="578"/>
    <col min="3328" max="3328" width="21.6640625" style="578" customWidth="1"/>
    <col min="3329" max="3329" width="13.5" style="578" customWidth="1"/>
    <col min="3330" max="3330" width="10.5" style="578" customWidth="1"/>
    <col min="3331" max="3331" width="15.1640625" style="578" customWidth="1"/>
    <col min="3332" max="3332" width="3.6640625" style="578" customWidth="1"/>
    <col min="3333" max="3333" width="13.1640625" style="578" customWidth="1"/>
    <col min="3334" max="3334" width="3.83203125" style="578" customWidth="1"/>
    <col min="3335" max="3335" width="15" style="578" customWidth="1"/>
    <col min="3336" max="3336" width="3.6640625" style="578" customWidth="1"/>
    <col min="3337" max="3338" width="13" style="578" customWidth="1"/>
    <col min="3339" max="3339" width="0" style="578" hidden="1" customWidth="1"/>
    <col min="3340" max="3341" width="9.33203125" style="578"/>
    <col min="3342" max="3342" width="15.83203125" style="578" customWidth="1"/>
    <col min="3343" max="3581" width="9.33203125" style="578"/>
    <col min="3582" max="3582" width="5" style="578" customWidth="1"/>
    <col min="3583" max="3583" width="9.33203125" style="578"/>
    <col min="3584" max="3584" width="21.6640625" style="578" customWidth="1"/>
    <col min="3585" max="3585" width="13.5" style="578" customWidth="1"/>
    <col min="3586" max="3586" width="10.5" style="578" customWidth="1"/>
    <col min="3587" max="3587" width="15.1640625" style="578" customWidth="1"/>
    <col min="3588" max="3588" width="3.6640625" style="578" customWidth="1"/>
    <col min="3589" max="3589" width="13.1640625" style="578" customWidth="1"/>
    <col min="3590" max="3590" width="3.83203125" style="578" customWidth="1"/>
    <col min="3591" max="3591" width="15" style="578" customWidth="1"/>
    <col min="3592" max="3592" width="3.6640625" style="578" customWidth="1"/>
    <col min="3593" max="3594" width="13" style="578" customWidth="1"/>
    <col min="3595" max="3595" width="0" style="578" hidden="1" customWidth="1"/>
    <col min="3596" max="3597" width="9.33203125" style="578"/>
    <col min="3598" max="3598" width="15.83203125" style="578" customWidth="1"/>
    <col min="3599" max="3837" width="9.33203125" style="578"/>
    <col min="3838" max="3838" width="5" style="578" customWidth="1"/>
    <col min="3839" max="3839" width="9.33203125" style="578"/>
    <col min="3840" max="3840" width="21.6640625" style="578" customWidth="1"/>
    <col min="3841" max="3841" width="13.5" style="578" customWidth="1"/>
    <col min="3842" max="3842" width="10.5" style="578" customWidth="1"/>
    <col min="3843" max="3843" width="15.1640625" style="578" customWidth="1"/>
    <col min="3844" max="3844" width="3.6640625" style="578" customWidth="1"/>
    <col min="3845" max="3845" width="13.1640625" style="578" customWidth="1"/>
    <col min="3846" max="3846" width="3.83203125" style="578" customWidth="1"/>
    <col min="3847" max="3847" width="15" style="578" customWidth="1"/>
    <col min="3848" max="3848" width="3.6640625" style="578" customWidth="1"/>
    <col min="3849" max="3850" width="13" style="578" customWidth="1"/>
    <col min="3851" max="3851" width="0" style="578" hidden="1" customWidth="1"/>
    <col min="3852" max="3853" width="9.33203125" style="578"/>
    <col min="3854" max="3854" width="15.83203125" style="578" customWidth="1"/>
    <col min="3855" max="4093" width="9.33203125" style="578"/>
    <col min="4094" max="4094" width="5" style="578" customWidth="1"/>
    <col min="4095" max="4095" width="9.33203125" style="578"/>
    <col min="4096" max="4096" width="21.6640625" style="578" customWidth="1"/>
    <col min="4097" max="4097" width="13.5" style="578" customWidth="1"/>
    <col min="4098" max="4098" width="10.5" style="578" customWidth="1"/>
    <col min="4099" max="4099" width="15.1640625" style="578" customWidth="1"/>
    <col min="4100" max="4100" width="3.6640625" style="578" customWidth="1"/>
    <col min="4101" max="4101" width="13.1640625" style="578" customWidth="1"/>
    <col min="4102" max="4102" width="3.83203125" style="578" customWidth="1"/>
    <col min="4103" max="4103" width="15" style="578" customWidth="1"/>
    <col min="4104" max="4104" width="3.6640625" style="578" customWidth="1"/>
    <col min="4105" max="4106" width="13" style="578" customWidth="1"/>
    <col min="4107" max="4107" width="0" style="578" hidden="1" customWidth="1"/>
    <col min="4108" max="4109" width="9.33203125" style="578"/>
    <col min="4110" max="4110" width="15.83203125" style="578" customWidth="1"/>
    <col min="4111" max="4349" width="9.33203125" style="578"/>
    <col min="4350" max="4350" width="5" style="578" customWidth="1"/>
    <col min="4351" max="4351" width="9.33203125" style="578"/>
    <col min="4352" max="4352" width="21.6640625" style="578" customWidth="1"/>
    <col min="4353" max="4353" width="13.5" style="578" customWidth="1"/>
    <col min="4354" max="4354" width="10.5" style="578" customWidth="1"/>
    <col min="4355" max="4355" width="15.1640625" style="578" customWidth="1"/>
    <col min="4356" max="4356" width="3.6640625" style="578" customWidth="1"/>
    <col min="4357" max="4357" width="13.1640625" style="578" customWidth="1"/>
    <col min="4358" max="4358" width="3.83203125" style="578" customWidth="1"/>
    <col min="4359" max="4359" width="15" style="578" customWidth="1"/>
    <col min="4360" max="4360" width="3.6640625" style="578" customWidth="1"/>
    <col min="4361" max="4362" width="13" style="578" customWidth="1"/>
    <col min="4363" max="4363" width="0" style="578" hidden="1" customWidth="1"/>
    <col min="4364" max="4365" width="9.33203125" style="578"/>
    <col min="4366" max="4366" width="15.83203125" style="578" customWidth="1"/>
    <col min="4367" max="4605" width="9.33203125" style="578"/>
    <col min="4606" max="4606" width="5" style="578" customWidth="1"/>
    <col min="4607" max="4607" width="9.33203125" style="578"/>
    <col min="4608" max="4608" width="21.6640625" style="578" customWidth="1"/>
    <col min="4609" max="4609" width="13.5" style="578" customWidth="1"/>
    <col min="4610" max="4610" width="10.5" style="578" customWidth="1"/>
    <col min="4611" max="4611" width="15.1640625" style="578" customWidth="1"/>
    <col min="4612" max="4612" width="3.6640625" style="578" customWidth="1"/>
    <col min="4613" max="4613" width="13.1640625" style="578" customWidth="1"/>
    <col min="4614" max="4614" width="3.83203125" style="578" customWidth="1"/>
    <col min="4615" max="4615" width="15" style="578" customWidth="1"/>
    <col min="4616" max="4616" width="3.6640625" style="578" customWidth="1"/>
    <col min="4617" max="4618" width="13" style="578" customWidth="1"/>
    <col min="4619" max="4619" width="0" style="578" hidden="1" customWidth="1"/>
    <col min="4620" max="4621" width="9.33203125" style="578"/>
    <col min="4622" max="4622" width="15.83203125" style="578" customWidth="1"/>
    <col min="4623" max="4861" width="9.33203125" style="578"/>
    <col min="4862" max="4862" width="5" style="578" customWidth="1"/>
    <col min="4863" max="4863" width="9.33203125" style="578"/>
    <col min="4864" max="4864" width="21.6640625" style="578" customWidth="1"/>
    <col min="4865" max="4865" width="13.5" style="578" customWidth="1"/>
    <col min="4866" max="4866" width="10.5" style="578" customWidth="1"/>
    <col min="4867" max="4867" width="15.1640625" style="578" customWidth="1"/>
    <col min="4868" max="4868" width="3.6640625" style="578" customWidth="1"/>
    <col min="4869" max="4869" width="13.1640625" style="578" customWidth="1"/>
    <col min="4870" max="4870" width="3.83203125" style="578" customWidth="1"/>
    <col min="4871" max="4871" width="15" style="578" customWidth="1"/>
    <col min="4872" max="4872" width="3.6640625" style="578" customWidth="1"/>
    <col min="4873" max="4874" width="13" style="578" customWidth="1"/>
    <col min="4875" max="4875" width="0" style="578" hidden="1" customWidth="1"/>
    <col min="4876" max="4877" width="9.33203125" style="578"/>
    <col min="4878" max="4878" width="15.83203125" style="578" customWidth="1"/>
    <col min="4879" max="5117" width="9.33203125" style="578"/>
    <col min="5118" max="5118" width="5" style="578" customWidth="1"/>
    <col min="5119" max="5119" width="9.33203125" style="578"/>
    <col min="5120" max="5120" width="21.6640625" style="578" customWidth="1"/>
    <col min="5121" max="5121" width="13.5" style="578" customWidth="1"/>
    <col min="5122" max="5122" width="10.5" style="578" customWidth="1"/>
    <col min="5123" max="5123" width="15.1640625" style="578" customWidth="1"/>
    <col min="5124" max="5124" width="3.6640625" style="578" customWidth="1"/>
    <col min="5125" max="5125" width="13.1640625" style="578" customWidth="1"/>
    <col min="5126" max="5126" width="3.83203125" style="578" customWidth="1"/>
    <col min="5127" max="5127" width="15" style="578" customWidth="1"/>
    <col min="5128" max="5128" width="3.6640625" style="578" customWidth="1"/>
    <col min="5129" max="5130" width="13" style="578" customWidth="1"/>
    <col min="5131" max="5131" width="0" style="578" hidden="1" customWidth="1"/>
    <col min="5132" max="5133" width="9.33203125" style="578"/>
    <col min="5134" max="5134" width="15.83203125" style="578" customWidth="1"/>
    <col min="5135" max="5373" width="9.33203125" style="578"/>
    <col min="5374" max="5374" width="5" style="578" customWidth="1"/>
    <col min="5375" max="5375" width="9.33203125" style="578"/>
    <col min="5376" max="5376" width="21.6640625" style="578" customWidth="1"/>
    <col min="5377" max="5377" width="13.5" style="578" customWidth="1"/>
    <col min="5378" max="5378" width="10.5" style="578" customWidth="1"/>
    <col min="5379" max="5379" width="15.1640625" style="578" customWidth="1"/>
    <col min="5380" max="5380" width="3.6640625" style="578" customWidth="1"/>
    <col min="5381" max="5381" width="13.1640625" style="578" customWidth="1"/>
    <col min="5382" max="5382" width="3.83203125" style="578" customWidth="1"/>
    <col min="5383" max="5383" width="15" style="578" customWidth="1"/>
    <col min="5384" max="5384" width="3.6640625" style="578" customWidth="1"/>
    <col min="5385" max="5386" width="13" style="578" customWidth="1"/>
    <col min="5387" max="5387" width="0" style="578" hidden="1" customWidth="1"/>
    <col min="5388" max="5389" width="9.33203125" style="578"/>
    <col min="5390" max="5390" width="15.83203125" style="578" customWidth="1"/>
    <col min="5391" max="5629" width="9.33203125" style="578"/>
    <col min="5630" max="5630" width="5" style="578" customWidth="1"/>
    <col min="5631" max="5631" width="9.33203125" style="578"/>
    <col min="5632" max="5632" width="21.6640625" style="578" customWidth="1"/>
    <col min="5633" max="5633" width="13.5" style="578" customWidth="1"/>
    <col min="5634" max="5634" width="10.5" style="578" customWidth="1"/>
    <col min="5635" max="5635" width="15.1640625" style="578" customWidth="1"/>
    <col min="5636" max="5636" width="3.6640625" style="578" customWidth="1"/>
    <col min="5637" max="5637" width="13.1640625" style="578" customWidth="1"/>
    <col min="5638" max="5638" width="3.83203125" style="578" customWidth="1"/>
    <col min="5639" max="5639" width="15" style="578" customWidth="1"/>
    <col min="5640" max="5640" width="3.6640625" style="578" customWidth="1"/>
    <col min="5641" max="5642" width="13" style="578" customWidth="1"/>
    <col min="5643" max="5643" width="0" style="578" hidden="1" customWidth="1"/>
    <col min="5644" max="5645" width="9.33203125" style="578"/>
    <col min="5646" max="5646" width="15.83203125" style="578" customWidth="1"/>
    <col min="5647" max="5885" width="9.33203125" style="578"/>
    <col min="5886" max="5886" width="5" style="578" customWidth="1"/>
    <col min="5887" max="5887" width="9.33203125" style="578"/>
    <col min="5888" max="5888" width="21.6640625" style="578" customWidth="1"/>
    <col min="5889" max="5889" width="13.5" style="578" customWidth="1"/>
    <col min="5890" max="5890" width="10.5" style="578" customWidth="1"/>
    <col min="5891" max="5891" width="15.1640625" style="578" customWidth="1"/>
    <col min="5892" max="5892" width="3.6640625" style="578" customWidth="1"/>
    <col min="5893" max="5893" width="13.1640625" style="578" customWidth="1"/>
    <col min="5894" max="5894" width="3.83203125" style="578" customWidth="1"/>
    <col min="5895" max="5895" width="15" style="578" customWidth="1"/>
    <col min="5896" max="5896" width="3.6640625" style="578" customWidth="1"/>
    <col min="5897" max="5898" width="13" style="578" customWidth="1"/>
    <col min="5899" max="5899" width="0" style="578" hidden="1" customWidth="1"/>
    <col min="5900" max="5901" width="9.33203125" style="578"/>
    <col min="5902" max="5902" width="15.83203125" style="578" customWidth="1"/>
    <col min="5903" max="6141" width="9.33203125" style="578"/>
    <col min="6142" max="6142" width="5" style="578" customWidth="1"/>
    <col min="6143" max="6143" width="9.33203125" style="578"/>
    <col min="6144" max="6144" width="21.6640625" style="578" customWidth="1"/>
    <col min="6145" max="6145" width="13.5" style="578" customWidth="1"/>
    <col min="6146" max="6146" width="10.5" style="578" customWidth="1"/>
    <col min="6147" max="6147" width="15.1640625" style="578" customWidth="1"/>
    <col min="6148" max="6148" width="3.6640625" style="578" customWidth="1"/>
    <col min="6149" max="6149" width="13.1640625" style="578" customWidth="1"/>
    <col min="6150" max="6150" width="3.83203125" style="578" customWidth="1"/>
    <col min="6151" max="6151" width="15" style="578" customWidth="1"/>
    <col min="6152" max="6152" width="3.6640625" style="578" customWidth="1"/>
    <col min="6153" max="6154" width="13" style="578" customWidth="1"/>
    <col min="6155" max="6155" width="0" style="578" hidden="1" customWidth="1"/>
    <col min="6156" max="6157" width="9.33203125" style="578"/>
    <col min="6158" max="6158" width="15.83203125" style="578" customWidth="1"/>
    <col min="6159" max="6397" width="9.33203125" style="578"/>
    <col min="6398" max="6398" width="5" style="578" customWidth="1"/>
    <col min="6399" max="6399" width="9.33203125" style="578"/>
    <col min="6400" max="6400" width="21.6640625" style="578" customWidth="1"/>
    <col min="6401" max="6401" width="13.5" style="578" customWidth="1"/>
    <col min="6402" max="6402" width="10.5" style="578" customWidth="1"/>
    <col min="6403" max="6403" width="15.1640625" style="578" customWidth="1"/>
    <col min="6404" max="6404" width="3.6640625" style="578" customWidth="1"/>
    <col min="6405" max="6405" width="13.1640625" style="578" customWidth="1"/>
    <col min="6406" max="6406" width="3.83203125" style="578" customWidth="1"/>
    <col min="6407" max="6407" width="15" style="578" customWidth="1"/>
    <col min="6408" max="6408" width="3.6640625" style="578" customWidth="1"/>
    <col min="6409" max="6410" width="13" style="578" customWidth="1"/>
    <col min="6411" max="6411" width="0" style="578" hidden="1" customWidth="1"/>
    <col min="6412" max="6413" width="9.33203125" style="578"/>
    <col min="6414" max="6414" width="15.83203125" style="578" customWidth="1"/>
    <col min="6415" max="6653" width="9.33203125" style="578"/>
    <col min="6654" max="6654" width="5" style="578" customWidth="1"/>
    <col min="6655" max="6655" width="9.33203125" style="578"/>
    <col min="6656" max="6656" width="21.6640625" style="578" customWidth="1"/>
    <col min="6657" max="6657" width="13.5" style="578" customWidth="1"/>
    <col min="6658" max="6658" width="10.5" style="578" customWidth="1"/>
    <col min="6659" max="6659" width="15.1640625" style="578" customWidth="1"/>
    <col min="6660" max="6660" width="3.6640625" style="578" customWidth="1"/>
    <col min="6661" max="6661" width="13.1640625" style="578" customWidth="1"/>
    <col min="6662" max="6662" width="3.83203125" style="578" customWidth="1"/>
    <col min="6663" max="6663" width="15" style="578" customWidth="1"/>
    <col min="6664" max="6664" width="3.6640625" style="578" customWidth="1"/>
    <col min="6665" max="6666" width="13" style="578" customWidth="1"/>
    <col min="6667" max="6667" width="0" style="578" hidden="1" customWidth="1"/>
    <col min="6668" max="6669" width="9.33203125" style="578"/>
    <col min="6670" max="6670" width="15.83203125" style="578" customWidth="1"/>
    <col min="6671" max="6909" width="9.33203125" style="578"/>
    <col min="6910" max="6910" width="5" style="578" customWidth="1"/>
    <col min="6911" max="6911" width="9.33203125" style="578"/>
    <col min="6912" max="6912" width="21.6640625" style="578" customWidth="1"/>
    <col min="6913" max="6913" width="13.5" style="578" customWidth="1"/>
    <col min="6914" max="6914" width="10.5" style="578" customWidth="1"/>
    <col min="6915" max="6915" width="15.1640625" style="578" customWidth="1"/>
    <col min="6916" max="6916" width="3.6640625" style="578" customWidth="1"/>
    <col min="6917" max="6917" width="13.1640625" style="578" customWidth="1"/>
    <col min="6918" max="6918" width="3.83203125" style="578" customWidth="1"/>
    <col min="6919" max="6919" width="15" style="578" customWidth="1"/>
    <col min="6920" max="6920" width="3.6640625" style="578" customWidth="1"/>
    <col min="6921" max="6922" width="13" style="578" customWidth="1"/>
    <col min="6923" max="6923" width="0" style="578" hidden="1" customWidth="1"/>
    <col min="6924" max="6925" width="9.33203125" style="578"/>
    <col min="6926" max="6926" width="15.83203125" style="578" customWidth="1"/>
    <col min="6927" max="7165" width="9.33203125" style="578"/>
    <col min="7166" max="7166" width="5" style="578" customWidth="1"/>
    <col min="7167" max="7167" width="9.33203125" style="578"/>
    <col min="7168" max="7168" width="21.6640625" style="578" customWidth="1"/>
    <col min="7169" max="7169" width="13.5" style="578" customWidth="1"/>
    <col min="7170" max="7170" width="10.5" style="578" customWidth="1"/>
    <col min="7171" max="7171" width="15.1640625" style="578" customWidth="1"/>
    <col min="7172" max="7172" width="3.6640625" style="578" customWidth="1"/>
    <col min="7173" max="7173" width="13.1640625" style="578" customWidth="1"/>
    <col min="7174" max="7174" width="3.83203125" style="578" customWidth="1"/>
    <col min="7175" max="7175" width="15" style="578" customWidth="1"/>
    <col min="7176" max="7176" width="3.6640625" style="578" customWidth="1"/>
    <col min="7177" max="7178" width="13" style="578" customWidth="1"/>
    <col min="7179" max="7179" width="0" style="578" hidden="1" customWidth="1"/>
    <col min="7180" max="7181" width="9.33203125" style="578"/>
    <col min="7182" max="7182" width="15.83203125" style="578" customWidth="1"/>
    <col min="7183" max="7421" width="9.33203125" style="578"/>
    <col min="7422" max="7422" width="5" style="578" customWidth="1"/>
    <col min="7423" max="7423" width="9.33203125" style="578"/>
    <col min="7424" max="7424" width="21.6640625" style="578" customWidth="1"/>
    <col min="7425" max="7425" width="13.5" style="578" customWidth="1"/>
    <col min="7426" max="7426" width="10.5" style="578" customWidth="1"/>
    <col min="7427" max="7427" width="15.1640625" style="578" customWidth="1"/>
    <col min="7428" max="7428" width="3.6640625" style="578" customWidth="1"/>
    <col min="7429" max="7429" width="13.1640625" style="578" customWidth="1"/>
    <col min="7430" max="7430" width="3.83203125" style="578" customWidth="1"/>
    <col min="7431" max="7431" width="15" style="578" customWidth="1"/>
    <col min="7432" max="7432" width="3.6640625" style="578" customWidth="1"/>
    <col min="7433" max="7434" width="13" style="578" customWidth="1"/>
    <col min="7435" max="7435" width="0" style="578" hidden="1" customWidth="1"/>
    <col min="7436" max="7437" width="9.33203125" style="578"/>
    <col min="7438" max="7438" width="15.83203125" style="578" customWidth="1"/>
    <col min="7439" max="7677" width="9.33203125" style="578"/>
    <col min="7678" max="7678" width="5" style="578" customWidth="1"/>
    <col min="7679" max="7679" width="9.33203125" style="578"/>
    <col min="7680" max="7680" width="21.6640625" style="578" customWidth="1"/>
    <col min="7681" max="7681" width="13.5" style="578" customWidth="1"/>
    <col min="7682" max="7682" width="10.5" style="578" customWidth="1"/>
    <col min="7683" max="7683" width="15.1640625" style="578" customWidth="1"/>
    <col min="7684" max="7684" width="3.6640625" style="578" customWidth="1"/>
    <col min="7685" max="7685" width="13.1640625" style="578" customWidth="1"/>
    <col min="7686" max="7686" width="3.83203125" style="578" customWidth="1"/>
    <col min="7687" max="7687" width="15" style="578" customWidth="1"/>
    <col min="7688" max="7688" width="3.6640625" style="578" customWidth="1"/>
    <col min="7689" max="7690" width="13" style="578" customWidth="1"/>
    <col min="7691" max="7691" width="0" style="578" hidden="1" customWidth="1"/>
    <col min="7692" max="7693" width="9.33203125" style="578"/>
    <col min="7694" max="7694" width="15.83203125" style="578" customWidth="1"/>
    <col min="7695" max="7933" width="9.33203125" style="578"/>
    <col min="7934" max="7934" width="5" style="578" customWidth="1"/>
    <col min="7935" max="7935" width="9.33203125" style="578"/>
    <col min="7936" max="7936" width="21.6640625" style="578" customWidth="1"/>
    <col min="7937" max="7937" width="13.5" style="578" customWidth="1"/>
    <col min="7938" max="7938" width="10.5" style="578" customWidth="1"/>
    <col min="7939" max="7939" width="15.1640625" style="578" customWidth="1"/>
    <col min="7940" max="7940" width="3.6640625" style="578" customWidth="1"/>
    <col min="7941" max="7941" width="13.1640625" style="578" customWidth="1"/>
    <col min="7942" max="7942" width="3.83203125" style="578" customWidth="1"/>
    <col min="7943" max="7943" width="15" style="578" customWidth="1"/>
    <col min="7944" max="7944" width="3.6640625" style="578" customWidth="1"/>
    <col min="7945" max="7946" width="13" style="578" customWidth="1"/>
    <col min="7947" max="7947" width="0" style="578" hidden="1" customWidth="1"/>
    <col min="7948" max="7949" width="9.33203125" style="578"/>
    <col min="7950" max="7950" width="15.83203125" style="578" customWidth="1"/>
    <col min="7951" max="8189" width="9.33203125" style="578"/>
    <col min="8190" max="8190" width="5" style="578" customWidth="1"/>
    <col min="8191" max="8191" width="9.33203125" style="578"/>
    <col min="8192" max="8192" width="21.6640625" style="578" customWidth="1"/>
    <col min="8193" max="8193" width="13.5" style="578" customWidth="1"/>
    <col min="8194" max="8194" width="10.5" style="578" customWidth="1"/>
    <col min="8195" max="8195" width="15.1640625" style="578" customWidth="1"/>
    <col min="8196" max="8196" width="3.6640625" style="578" customWidth="1"/>
    <col min="8197" max="8197" width="13.1640625" style="578" customWidth="1"/>
    <col min="8198" max="8198" width="3.83203125" style="578" customWidth="1"/>
    <col min="8199" max="8199" width="15" style="578" customWidth="1"/>
    <col min="8200" max="8200" width="3.6640625" style="578" customWidth="1"/>
    <col min="8201" max="8202" width="13" style="578" customWidth="1"/>
    <col min="8203" max="8203" width="0" style="578" hidden="1" customWidth="1"/>
    <col min="8204" max="8205" width="9.33203125" style="578"/>
    <col min="8206" max="8206" width="15.83203125" style="578" customWidth="1"/>
    <col min="8207" max="8445" width="9.33203125" style="578"/>
    <col min="8446" max="8446" width="5" style="578" customWidth="1"/>
    <col min="8447" max="8447" width="9.33203125" style="578"/>
    <col min="8448" max="8448" width="21.6640625" style="578" customWidth="1"/>
    <col min="8449" max="8449" width="13.5" style="578" customWidth="1"/>
    <col min="8450" max="8450" width="10.5" style="578" customWidth="1"/>
    <col min="8451" max="8451" width="15.1640625" style="578" customWidth="1"/>
    <col min="8452" max="8452" width="3.6640625" style="578" customWidth="1"/>
    <col min="8453" max="8453" width="13.1640625" style="578" customWidth="1"/>
    <col min="8454" max="8454" width="3.83203125" style="578" customWidth="1"/>
    <col min="8455" max="8455" width="15" style="578" customWidth="1"/>
    <col min="8456" max="8456" width="3.6640625" style="578" customWidth="1"/>
    <col min="8457" max="8458" width="13" style="578" customWidth="1"/>
    <col min="8459" max="8459" width="0" style="578" hidden="1" customWidth="1"/>
    <col min="8460" max="8461" width="9.33203125" style="578"/>
    <col min="8462" max="8462" width="15.83203125" style="578" customWidth="1"/>
    <col min="8463" max="8701" width="9.33203125" style="578"/>
    <col min="8702" max="8702" width="5" style="578" customWidth="1"/>
    <col min="8703" max="8703" width="9.33203125" style="578"/>
    <col min="8704" max="8704" width="21.6640625" style="578" customWidth="1"/>
    <col min="8705" max="8705" width="13.5" style="578" customWidth="1"/>
    <col min="8706" max="8706" width="10.5" style="578" customWidth="1"/>
    <col min="8707" max="8707" width="15.1640625" style="578" customWidth="1"/>
    <col min="8708" max="8708" width="3.6640625" style="578" customWidth="1"/>
    <col min="8709" max="8709" width="13.1640625" style="578" customWidth="1"/>
    <col min="8710" max="8710" width="3.83203125" style="578" customWidth="1"/>
    <col min="8711" max="8711" width="15" style="578" customWidth="1"/>
    <col min="8712" max="8712" width="3.6640625" style="578" customWidth="1"/>
    <col min="8713" max="8714" width="13" style="578" customWidth="1"/>
    <col min="8715" max="8715" width="0" style="578" hidden="1" customWidth="1"/>
    <col min="8716" max="8717" width="9.33203125" style="578"/>
    <col min="8718" max="8718" width="15.83203125" style="578" customWidth="1"/>
    <col min="8719" max="8957" width="9.33203125" style="578"/>
    <col min="8958" max="8958" width="5" style="578" customWidth="1"/>
    <col min="8959" max="8959" width="9.33203125" style="578"/>
    <col min="8960" max="8960" width="21.6640625" style="578" customWidth="1"/>
    <col min="8961" max="8961" width="13.5" style="578" customWidth="1"/>
    <col min="8962" max="8962" width="10.5" style="578" customWidth="1"/>
    <col min="8963" max="8963" width="15.1640625" style="578" customWidth="1"/>
    <col min="8964" max="8964" width="3.6640625" style="578" customWidth="1"/>
    <col min="8965" max="8965" width="13.1640625" style="578" customWidth="1"/>
    <col min="8966" max="8966" width="3.83203125" style="578" customWidth="1"/>
    <col min="8967" max="8967" width="15" style="578" customWidth="1"/>
    <col min="8968" max="8968" width="3.6640625" style="578" customWidth="1"/>
    <col min="8969" max="8970" width="13" style="578" customWidth="1"/>
    <col min="8971" max="8971" width="0" style="578" hidden="1" customWidth="1"/>
    <col min="8972" max="8973" width="9.33203125" style="578"/>
    <col min="8974" max="8974" width="15.83203125" style="578" customWidth="1"/>
    <col min="8975" max="9213" width="9.33203125" style="578"/>
    <col min="9214" max="9214" width="5" style="578" customWidth="1"/>
    <col min="9215" max="9215" width="9.33203125" style="578"/>
    <col min="9216" max="9216" width="21.6640625" style="578" customWidth="1"/>
    <col min="9217" max="9217" width="13.5" style="578" customWidth="1"/>
    <col min="9218" max="9218" width="10.5" style="578" customWidth="1"/>
    <col min="9219" max="9219" width="15.1640625" style="578" customWidth="1"/>
    <col min="9220" max="9220" width="3.6640625" style="578" customWidth="1"/>
    <col min="9221" max="9221" width="13.1640625" style="578" customWidth="1"/>
    <col min="9222" max="9222" width="3.83203125" style="578" customWidth="1"/>
    <col min="9223" max="9223" width="15" style="578" customWidth="1"/>
    <col min="9224" max="9224" width="3.6640625" style="578" customWidth="1"/>
    <col min="9225" max="9226" width="13" style="578" customWidth="1"/>
    <col min="9227" max="9227" width="0" style="578" hidden="1" customWidth="1"/>
    <col min="9228" max="9229" width="9.33203125" style="578"/>
    <col min="9230" max="9230" width="15.83203125" style="578" customWidth="1"/>
    <col min="9231" max="9469" width="9.33203125" style="578"/>
    <col min="9470" max="9470" width="5" style="578" customWidth="1"/>
    <col min="9471" max="9471" width="9.33203125" style="578"/>
    <col min="9472" max="9472" width="21.6640625" style="578" customWidth="1"/>
    <col min="9473" max="9473" width="13.5" style="578" customWidth="1"/>
    <col min="9474" max="9474" width="10.5" style="578" customWidth="1"/>
    <col min="9475" max="9475" width="15.1640625" style="578" customWidth="1"/>
    <col min="9476" max="9476" width="3.6640625" style="578" customWidth="1"/>
    <col min="9477" max="9477" width="13.1640625" style="578" customWidth="1"/>
    <col min="9478" max="9478" width="3.83203125" style="578" customWidth="1"/>
    <col min="9479" max="9479" width="15" style="578" customWidth="1"/>
    <col min="9480" max="9480" width="3.6640625" style="578" customWidth="1"/>
    <col min="9481" max="9482" width="13" style="578" customWidth="1"/>
    <col min="9483" max="9483" width="0" style="578" hidden="1" customWidth="1"/>
    <col min="9484" max="9485" width="9.33203125" style="578"/>
    <col min="9486" max="9486" width="15.83203125" style="578" customWidth="1"/>
    <col min="9487" max="9725" width="9.33203125" style="578"/>
    <col min="9726" max="9726" width="5" style="578" customWidth="1"/>
    <col min="9727" max="9727" width="9.33203125" style="578"/>
    <col min="9728" max="9728" width="21.6640625" style="578" customWidth="1"/>
    <col min="9729" max="9729" width="13.5" style="578" customWidth="1"/>
    <col min="9730" max="9730" width="10.5" style="578" customWidth="1"/>
    <col min="9731" max="9731" width="15.1640625" style="578" customWidth="1"/>
    <col min="9732" max="9732" width="3.6640625" style="578" customWidth="1"/>
    <col min="9733" max="9733" width="13.1640625" style="578" customWidth="1"/>
    <col min="9734" max="9734" width="3.83203125" style="578" customWidth="1"/>
    <col min="9735" max="9735" width="15" style="578" customWidth="1"/>
    <col min="9736" max="9736" width="3.6640625" style="578" customWidth="1"/>
    <col min="9737" max="9738" width="13" style="578" customWidth="1"/>
    <col min="9739" max="9739" width="0" style="578" hidden="1" customWidth="1"/>
    <col min="9740" max="9741" width="9.33203125" style="578"/>
    <col min="9742" max="9742" width="15.83203125" style="578" customWidth="1"/>
    <col min="9743" max="9981" width="9.33203125" style="578"/>
    <col min="9982" max="9982" width="5" style="578" customWidth="1"/>
    <col min="9983" max="9983" width="9.33203125" style="578"/>
    <col min="9984" max="9984" width="21.6640625" style="578" customWidth="1"/>
    <col min="9985" max="9985" width="13.5" style="578" customWidth="1"/>
    <col min="9986" max="9986" width="10.5" style="578" customWidth="1"/>
    <col min="9987" max="9987" width="15.1640625" style="578" customWidth="1"/>
    <col min="9988" max="9988" width="3.6640625" style="578" customWidth="1"/>
    <col min="9989" max="9989" width="13.1640625" style="578" customWidth="1"/>
    <col min="9990" max="9990" width="3.83203125" style="578" customWidth="1"/>
    <col min="9991" max="9991" width="15" style="578" customWidth="1"/>
    <col min="9992" max="9992" width="3.6640625" style="578" customWidth="1"/>
    <col min="9993" max="9994" width="13" style="578" customWidth="1"/>
    <col min="9995" max="9995" width="0" style="578" hidden="1" customWidth="1"/>
    <col min="9996" max="9997" width="9.33203125" style="578"/>
    <col min="9998" max="9998" width="15.83203125" style="578" customWidth="1"/>
    <col min="9999" max="10237" width="9.33203125" style="578"/>
    <col min="10238" max="10238" width="5" style="578" customWidth="1"/>
    <col min="10239" max="10239" width="9.33203125" style="578"/>
    <col min="10240" max="10240" width="21.6640625" style="578" customWidth="1"/>
    <col min="10241" max="10241" width="13.5" style="578" customWidth="1"/>
    <col min="10242" max="10242" width="10.5" style="578" customWidth="1"/>
    <col min="10243" max="10243" width="15.1640625" style="578" customWidth="1"/>
    <col min="10244" max="10244" width="3.6640625" style="578" customWidth="1"/>
    <col min="10245" max="10245" width="13.1640625" style="578" customWidth="1"/>
    <col min="10246" max="10246" width="3.83203125" style="578" customWidth="1"/>
    <col min="10247" max="10247" width="15" style="578" customWidth="1"/>
    <col min="10248" max="10248" width="3.6640625" style="578" customWidth="1"/>
    <col min="10249" max="10250" width="13" style="578" customWidth="1"/>
    <col min="10251" max="10251" width="0" style="578" hidden="1" customWidth="1"/>
    <col min="10252" max="10253" width="9.33203125" style="578"/>
    <col min="10254" max="10254" width="15.83203125" style="578" customWidth="1"/>
    <col min="10255" max="10493" width="9.33203125" style="578"/>
    <col min="10494" max="10494" width="5" style="578" customWidth="1"/>
    <col min="10495" max="10495" width="9.33203125" style="578"/>
    <col min="10496" max="10496" width="21.6640625" style="578" customWidth="1"/>
    <col min="10497" max="10497" width="13.5" style="578" customWidth="1"/>
    <col min="10498" max="10498" width="10.5" style="578" customWidth="1"/>
    <col min="10499" max="10499" width="15.1640625" style="578" customWidth="1"/>
    <col min="10500" max="10500" width="3.6640625" style="578" customWidth="1"/>
    <col min="10501" max="10501" width="13.1640625" style="578" customWidth="1"/>
    <col min="10502" max="10502" width="3.83203125" style="578" customWidth="1"/>
    <col min="10503" max="10503" width="15" style="578" customWidth="1"/>
    <col min="10504" max="10504" width="3.6640625" style="578" customWidth="1"/>
    <col min="10505" max="10506" width="13" style="578" customWidth="1"/>
    <col min="10507" max="10507" width="0" style="578" hidden="1" customWidth="1"/>
    <col min="10508" max="10509" width="9.33203125" style="578"/>
    <col min="10510" max="10510" width="15.83203125" style="578" customWidth="1"/>
    <col min="10511" max="10749" width="9.33203125" style="578"/>
    <col min="10750" max="10750" width="5" style="578" customWidth="1"/>
    <col min="10751" max="10751" width="9.33203125" style="578"/>
    <col min="10752" max="10752" width="21.6640625" style="578" customWidth="1"/>
    <col min="10753" max="10753" width="13.5" style="578" customWidth="1"/>
    <col min="10754" max="10754" width="10.5" style="578" customWidth="1"/>
    <col min="10755" max="10755" width="15.1640625" style="578" customWidth="1"/>
    <col min="10756" max="10756" width="3.6640625" style="578" customWidth="1"/>
    <col min="10757" max="10757" width="13.1640625" style="578" customWidth="1"/>
    <col min="10758" max="10758" width="3.83203125" style="578" customWidth="1"/>
    <col min="10759" max="10759" width="15" style="578" customWidth="1"/>
    <col min="10760" max="10760" width="3.6640625" style="578" customWidth="1"/>
    <col min="10761" max="10762" width="13" style="578" customWidth="1"/>
    <col min="10763" max="10763" width="0" style="578" hidden="1" customWidth="1"/>
    <col min="10764" max="10765" width="9.33203125" style="578"/>
    <col min="10766" max="10766" width="15.83203125" style="578" customWidth="1"/>
    <col min="10767" max="11005" width="9.33203125" style="578"/>
    <col min="11006" max="11006" width="5" style="578" customWidth="1"/>
    <col min="11007" max="11007" width="9.33203125" style="578"/>
    <col min="11008" max="11008" width="21.6640625" style="578" customWidth="1"/>
    <col min="11009" max="11009" width="13.5" style="578" customWidth="1"/>
    <col min="11010" max="11010" width="10.5" style="578" customWidth="1"/>
    <col min="11011" max="11011" width="15.1640625" style="578" customWidth="1"/>
    <col min="11012" max="11012" width="3.6640625" style="578" customWidth="1"/>
    <col min="11013" max="11013" width="13.1640625" style="578" customWidth="1"/>
    <col min="11014" max="11014" width="3.83203125" style="578" customWidth="1"/>
    <col min="11015" max="11015" width="15" style="578" customWidth="1"/>
    <col min="11016" max="11016" width="3.6640625" style="578" customWidth="1"/>
    <col min="11017" max="11018" width="13" style="578" customWidth="1"/>
    <col min="11019" max="11019" width="0" style="578" hidden="1" customWidth="1"/>
    <col min="11020" max="11021" width="9.33203125" style="578"/>
    <col min="11022" max="11022" width="15.83203125" style="578" customWidth="1"/>
    <col min="11023" max="11261" width="9.33203125" style="578"/>
    <col min="11262" max="11262" width="5" style="578" customWidth="1"/>
    <col min="11263" max="11263" width="9.33203125" style="578"/>
    <col min="11264" max="11264" width="21.6640625" style="578" customWidth="1"/>
    <col min="11265" max="11265" width="13.5" style="578" customWidth="1"/>
    <col min="11266" max="11266" width="10.5" style="578" customWidth="1"/>
    <col min="11267" max="11267" width="15.1640625" style="578" customWidth="1"/>
    <col min="11268" max="11268" width="3.6640625" style="578" customWidth="1"/>
    <col min="11269" max="11269" width="13.1640625" style="578" customWidth="1"/>
    <col min="11270" max="11270" width="3.83203125" style="578" customWidth="1"/>
    <col min="11271" max="11271" width="15" style="578" customWidth="1"/>
    <col min="11272" max="11272" width="3.6640625" style="578" customWidth="1"/>
    <col min="11273" max="11274" width="13" style="578" customWidth="1"/>
    <col min="11275" max="11275" width="0" style="578" hidden="1" customWidth="1"/>
    <col min="11276" max="11277" width="9.33203125" style="578"/>
    <col min="11278" max="11278" width="15.83203125" style="578" customWidth="1"/>
    <col min="11279" max="11517" width="9.33203125" style="578"/>
    <col min="11518" max="11518" width="5" style="578" customWidth="1"/>
    <col min="11519" max="11519" width="9.33203125" style="578"/>
    <col min="11520" max="11520" width="21.6640625" style="578" customWidth="1"/>
    <col min="11521" max="11521" width="13.5" style="578" customWidth="1"/>
    <col min="11522" max="11522" width="10.5" style="578" customWidth="1"/>
    <col min="11523" max="11523" width="15.1640625" style="578" customWidth="1"/>
    <col min="11524" max="11524" width="3.6640625" style="578" customWidth="1"/>
    <col min="11525" max="11525" width="13.1640625" style="578" customWidth="1"/>
    <col min="11526" max="11526" width="3.83203125" style="578" customWidth="1"/>
    <col min="11527" max="11527" width="15" style="578" customWidth="1"/>
    <col min="11528" max="11528" width="3.6640625" style="578" customWidth="1"/>
    <col min="11529" max="11530" width="13" style="578" customWidth="1"/>
    <col min="11531" max="11531" width="0" style="578" hidden="1" customWidth="1"/>
    <col min="11532" max="11533" width="9.33203125" style="578"/>
    <col min="11534" max="11534" width="15.83203125" style="578" customWidth="1"/>
    <col min="11535" max="11773" width="9.33203125" style="578"/>
    <col min="11774" max="11774" width="5" style="578" customWidth="1"/>
    <col min="11775" max="11775" width="9.33203125" style="578"/>
    <col min="11776" max="11776" width="21.6640625" style="578" customWidth="1"/>
    <col min="11777" max="11777" width="13.5" style="578" customWidth="1"/>
    <col min="11778" max="11778" width="10.5" style="578" customWidth="1"/>
    <col min="11779" max="11779" width="15.1640625" style="578" customWidth="1"/>
    <col min="11780" max="11780" width="3.6640625" style="578" customWidth="1"/>
    <col min="11781" max="11781" width="13.1640625" style="578" customWidth="1"/>
    <col min="11782" max="11782" width="3.83203125" style="578" customWidth="1"/>
    <col min="11783" max="11783" width="15" style="578" customWidth="1"/>
    <col min="11784" max="11784" width="3.6640625" style="578" customWidth="1"/>
    <col min="11785" max="11786" width="13" style="578" customWidth="1"/>
    <col min="11787" max="11787" width="0" style="578" hidden="1" customWidth="1"/>
    <col min="11788" max="11789" width="9.33203125" style="578"/>
    <col min="11790" max="11790" width="15.83203125" style="578" customWidth="1"/>
    <col min="11791" max="12029" width="9.33203125" style="578"/>
    <col min="12030" max="12030" width="5" style="578" customWidth="1"/>
    <col min="12031" max="12031" width="9.33203125" style="578"/>
    <col min="12032" max="12032" width="21.6640625" style="578" customWidth="1"/>
    <col min="12033" max="12033" width="13.5" style="578" customWidth="1"/>
    <col min="12034" max="12034" width="10.5" style="578" customWidth="1"/>
    <col min="12035" max="12035" width="15.1640625" style="578" customWidth="1"/>
    <col min="12036" max="12036" width="3.6640625" style="578" customWidth="1"/>
    <col min="12037" max="12037" width="13.1640625" style="578" customWidth="1"/>
    <col min="12038" max="12038" width="3.83203125" style="578" customWidth="1"/>
    <col min="12039" max="12039" width="15" style="578" customWidth="1"/>
    <col min="12040" max="12040" width="3.6640625" style="578" customWidth="1"/>
    <col min="12041" max="12042" width="13" style="578" customWidth="1"/>
    <col min="12043" max="12043" width="0" style="578" hidden="1" customWidth="1"/>
    <col min="12044" max="12045" width="9.33203125" style="578"/>
    <col min="12046" max="12046" width="15.83203125" style="578" customWidth="1"/>
    <col min="12047" max="12285" width="9.33203125" style="578"/>
    <col min="12286" max="12286" width="5" style="578" customWidth="1"/>
    <col min="12287" max="12287" width="9.33203125" style="578"/>
    <col min="12288" max="12288" width="21.6640625" style="578" customWidth="1"/>
    <col min="12289" max="12289" width="13.5" style="578" customWidth="1"/>
    <col min="12290" max="12290" width="10.5" style="578" customWidth="1"/>
    <col min="12291" max="12291" width="15.1640625" style="578" customWidth="1"/>
    <col min="12292" max="12292" width="3.6640625" style="578" customWidth="1"/>
    <col min="12293" max="12293" width="13.1640625" style="578" customWidth="1"/>
    <col min="12294" max="12294" width="3.83203125" style="578" customWidth="1"/>
    <col min="12295" max="12295" width="15" style="578" customWidth="1"/>
    <col min="12296" max="12296" width="3.6640625" style="578" customWidth="1"/>
    <col min="12297" max="12298" width="13" style="578" customWidth="1"/>
    <col min="12299" max="12299" width="0" style="578" hidden="1" customWidth="1"/>
    <col min="12300" max="12301" width="9.33203125" style="578"/>
    <col min="12302" max="12302" width="15.83203125" style="578" customWidth="1"/>
    <col min="12303" max="12541" width="9.33203125" style="578"/>
    <col min="12542" max="12542" width="5" style="578" customWidth="1"/>
    <col min="12543" max="12543" width="9.33203125" style="578"/>
    <col min="12544" max="12544" width="21.6640625" style="578" customWidth="1"/>
    <col min="12545" max="12545" width="13.5" style="578" customWidth="1"/>
    <col min="12546" max="12546" width="10.5" style="578" customWidth="1"/>
    <col min="12547" max="12547" width="15.1640625" style="578" customWidth="1"/>
    <col min="12548" max="12548" width="3.6640625" style="578" customWidth="1"/>
    <col min="12549" max="12549" width="13.1640625" style="578" customWidth="1"/>
    <col min="12550" max="12550" width="3.83203125" style="578" customWidth="1"/>
    <col min="12551" max="12551" width="15" style="578" customWidth="1"/>
    <col min="12552" max="12552" width="3.6640625" style="578" customWidth="1"/>
    <col min="12553" max="12554" width="13" style="578" customWidth="1"/>
    <col min="12555" max="12555" width="0" style="578" hidden="1" customWidth="1"/>
    <col min="12556" max="12557" width="9.33203125" style="578"/>
    <col min="12558" max="12558" width="15.83203125" style="578" customWidth="1"/>
    <col min="12559" max="12797" width="9.33203125" style="578"/>
    <col min="12798" max="12798" width="5" style="578" customWidth="1"/>
    <col min="12799" max="12799" width="9.33203125" style="578"/>
    <col min="12800" max="12800" width="21.6640625" style="578" customWidth="1"/>
    <col min="12801" max="12801" width="13.5" style="578" customWidth="1"/>
    <col min="12802" max="12802" width="10.5" style="578" customWidth="1"/>
    <col min="12803" max="12803" width="15.1640625" style="578" customWidth="1"/>
    <col min="12804" max="12804" width="3.6640625" style="578" customWidth="1"/>
    <col min="12805" max="12805" width="13.1640625" style="578" customWidth="1"/>
    <col min="12806" max="12806" width="3.83203125" style="578" customWidth="1"/>
    <col min="12807" max="12807" width="15" style="578" customWidth="1"/>
    <col min="12808" max="12808" width="3.6640625" style="578" customWidth="1"/>
    <col min="12809" max="12810" width="13" style="578" customWidth="1"/>
    <col min="12811" max="12811" width="0" style="578" hidden="1" customWidth="1"/>
    <col min="12812" max="12813" width="9.33203125" style="578"/>
    <col min="12814" max="12814" width="15.83203125" style="578" customWidth="1"/>
    <col min="12815" max="13053" width="9.33203125" style="578"/>
    <col min="13054" max="13054" width="5" style="578" customWidth="1"/>
    <col min="13055" max="13055" width="9.33203125" style="578"/>
    <col min="13056" max="13056" width="21.6640625" style="578" customWidth="1"/>
    <col min="13057" max="13057" width="13.5" style="578" customWidth="1"/>
    <col min="13058" max="13058" width="10.5" style="578" customWidth="1"/>
    <col min="13059" max="13059" width="15.1640625" style="578" customWidth="1"/>
    <col min="13060" max="13060" width="3.6640625" style="578" customWidth="1"/>
    <col min="13061" max="13061" width="13.1640625" style="578" customWidth="1"/>
    <col min="13062" max="13062" width="3.83203125" style="578" customWidth="1"/>
    <col min="13063" max="13063" width="15" style="578" customWidth="1"/>
    <col min="13064" max="13064" width="3.6640625" style="578" customWidth="1"/>
    <col min="13065" max="13066" width="13" style="578" customWidth="1"/>
    <col min="13067" max="13067" width="0" style="578" hidden="1" customWidth="1"/>
    <col min="13068" max="13069" width="9.33203125" style="578"/>
    <col min="13070" max="13070" width="15.83203125" style="578" customWidth="1"/>
    <col min="13071" max="13309" width="9.33203125" style="578"/>
    <col min="13310" max="13310" width="5" style="578" customWidth="1"/>
    <col min="13311" max="13311" width="9.33203125" style="578"/>
    <col min="13312" max="13312" width="21.6640625" style="578" customWidth="1"/>
    <col min="13313" max="13313" width="13.5" style="578" customWidth="1"/>
    <col min="13314" max="13314" width="10.5" style="578" customWidth="1"/>
    <col min="13315" max="13315" width="15.1640625" style="578" customWidth="1"/>
    <col min="13316" max="13316" width="3.6640625" style="578" customWidth="1"/>
    <col min="13317" max="13317" width="13.1640625" style="578" customWidth="1"/>
    <col min="13318" max="13318" width="3.83203125" style="578" customWidth="1"/>
    <col min="13319" max="13319" width="15" style="578" customWidth="1"/>
    <col min="13320" max="13320" width="3.6640625" style="578" customWidth="1"/>
    <col min="13321" max="13322" width="13" style="578" customWidth="1"/>
    <col min="13323" max="13323" width="0" style="578" hidden="1" customWidth="1"/>
    <col min="13324" max="13325" width="9.33203125" style="578"/>
    <col min="13326" max="13326" width="15.83203125" style="578" customWidth="1"/>
    <col min="13327" max="13565" width="9.33203125" style="578"/>
    <col min="13566" max="13566" width="5" style="578" customWidth="1"/>
    <col min="13567" max="13567" width="9.33203125" style="578"/>
    <col min="13568" max="13568" width="21.6640625" style="578" customWidth="1"/>
    <col min="13569" max="13569" width="13.5" style="578" customWidth="1"/>
    <col min="13570" max="13570" width="10.5" style="578" customWidth="1"/>
    <col min="13571" max="13571" width="15.1640625" style="578" customWidth="1"/>
    <col min="13572" max="13572" width="3.6640625" style="578" customWidth="1"/>
    <col min="13573" max="13573" width="13.1640625" style="578" customWidth="1"/>
    <col min="13574" max="13574" width="3.83203125" style="578" customWidth="1"/>
    <col min="13575" max="13575" width="15" style="578" customWidth="1"/>
    <col min="13576" max="13576" width="3.6640625" style="578" customWidth="1"/>
    <col min="13577" max="13578" width="13" style="578" customWidth="1"/>
    <col min="13579" max="13579" width="0" style="578" hidden="1" customWidth="1"/>
    <col min="13580" max="13581" width="9.33203125" style="578"/>
    <col min="13582" max="13582" width="15.83203125" style="578" customWidth="1"/>
    <col min="13583" max="13821" width="9.33203125" style="578"/>
    <col min="13822" max="13822" width="5" style="578" customWidth="1"/>
    <col min="13823" max="13823" width="9.33203125" style="578"/>
    <col min="13824" max="13824" width="21.6640625" style="578" customWidth="1"/>
    <col min="13825" max="13825" width="13.5" style="578" customWidth="1"/>
    <col min="13826" max="13826" width="10.5" style="578" customWidth="1"/>
    <col min="13827" max="13827" width="15.1640625" style="578" customWidth="1"/>
    <col min="13828" max="13828" width="3.6640625" style="578" customWidth="1"/>
    <col min="13829" max="13829" width="13.1640625" style="578" customWidth="1"/>
    <col min="13830" max="13830" width="3.83203125" style="578" customWidth="1"/>
    <col min="13831" max="13831" width="15" style="578" customWidth="1"/>
    <col min="13832" max="13832" width="3.6640625" style="578" customWidth="1"/>
    <col min="13833" max="13834" width="13" style="578" customWidth="1"/>
    <col min="13835" max="13835" width="0" style="578" hidden="1" customWidth="1"/>
    <col min="13836" max="13837" width="9.33203125" style="578"/>
    <col min="13838" max="13838" width="15.83203125" style="578" customWidth="1"/>
    <col min="13839" max="14077" width="9.33203125" style="578"/>
    <col min="14078" max="14078" width="5" style="578" customWidth="1"/>
    <col min="14079" max="14079" width="9.33203125" style="578"/>
    <col min="14080" max="14080" width="21.6640625" style="578" customWidth="1"/>
    <col min="14081" max="14081" width="13.5" style="578" customWidth="1"/>
    <col min="14082" max="14082" width="10.5" style="578" customWidth="1"/>
    <col min="14083" max="14083" width="15.1640625" style="578" customWidth="1"/>
    <col min="14084" max="14084" width="3.6640625" style="578" customWidth="1"/>
    <col min="14085" max="14085" width="13.1640625" style="578" customWidth="1"/>
    <col min="14086" max="14086" width="3.83203125" style="578" customWidth="1"/>
    <col min="14087" max="14087" width="15" style="578" customWidth="1"/>
    <col min="14088" max="14088" width="3.6640625" style="578" customWidth="1"/>
    <col min="14089" max="14090" width="13" style="578" customWidth="1"/>
    <col min="14091" max="14091" width="0" style="578" hidden="1" customWidth="1"/>
    <col min="14092" max="14093" width="9.33203125" style="578"/>
    <col min="14094" max="14094" width="15.83203125" style="578" customWidth="1"/>
    <col min="14095" max="14333" width="9.33203125" style="578"/>
    <col min="14334" max="14334" width="5" style="578" customWidth="1"/>
    <col min="14335" max="14335" width="9.33203125" style="578"/>
    <col min="14336" max="14336" width="21.6640625" style="578" customWidth="1"/>
    <col min="14337" max="14337" width="13.5" style="578" customWidth="1"/>
    <col min="14338" max="14338" width="10.5" style="578" customWidth="1"/>
    <col min="14339" max="14339" width="15.1640625" style="578" customWidth="1"/>
    <col min="14340" max="14340" width="3.6640625" style="578" customWidth="1"/>
    <col min="14341" max="14341" width="13.1640625" style="578" customWidth="1"/>
    <col min="14342" max="14342" width="3.83203125" style="578" customWidth="1"/>
    <col min="14343" max="14343" width="15" style="578" customWidth="1"/>
    <col min="14344" max="14344" width="3.6640625" style="578" customWidth="1"/>
    <col min="14345" max="14346" width="13" style="578" customWidth="1"/>
    <col min="14347" max="14347" width="0" style="578" hidden="1" customWidth="1"/>
    <col min="14348" max="14349" width="9.33203125" style="578"/>
    <col min="14350" max="14350" width="15.83203125" style="578" customWidth="1"/>
    <col min="14351" max="14589" width="9.33203125" style="578"/>
    <col min="14590" max="14590" width="5" style="578" customWidth="1"/>
    <col min="14591" max="14591" width="9.33203125" style="578"/>
    <col min="14592" max="14592" width="21.6640625" style="578" customWidth="1"/>
    <col min="14593" max="14593" width="13.5" style="578" customWidth="1"/>
    <col min="14594" max="14594" width="10.5" style="578" customWidth="1"/>
    <col min="14595" max="14595" width="15.1640625" style="578" customWidth="1"/>
    <col min="14596" max="14596" width="3.6640625" style="578" customWidth="1"/>
    <col min="14597" max="14597" width="13.1640625" style="578" customWidth="1"/>
    <col min="14598" max="14598" width="3.83203125" style="578" customWidth="1"/>
    <col min="14599" max="14599" width="15" style="578" customWidth="1"/>
    <col min="14600" max="14600" width="3.6640625" style="578" customWidth="1"/>
    <col min="14601" max="14602" width="13" style="578" customWidth="1"/>
    <col min="14603" max="14603" width="0" style="578" hidden="1" customWidth="1"/>
    <col min="14604" max="14605" width="9.33203125" style="578"/>
    <col min="14606" max="14606" width="15.83203125" style="578" customWidth="1"/>
    <col min="14607" max="14845" width="9.33203125" style="578"/>
    <col min="14846" max="14846" width="5" style="578" customWidth="1"/>
    <col min="14847" max="14847" width="9.33203125" style="578"/>
    <col min="14848" max="14848" width="21.6640625" style="578" customWidth="1"/>
    <col min="14849" max="14849" width="13.5" style="578" customWidth="1"/>
    <col min="14850" max="14850" width="10.5" style="578" customWidth="1"/>
    <col min="14851" max="14851" width="15.1640625" style="578" customWidth="1"/>
    <col min="14852" max="14852" width="3.6640625" style="578" customWidth="1"/>
    <col min="14853" max="14853" width="13.1640625" style="578" customWidth="1"/>
    <col min="14854" max="14854" width="3.83203125" style="578" customWidth="1"/>
    <col min="14855" max="14855" width="15" style="578" customWidth="1"/>
    <col min="14856" max="14856" width="3.6640625" style="578" customWidth="1"/>
    <col min="14857" max="14858" width="13" style="578" customWidth="1"/>
    <col min="14859" max="14859" width="0" style="578" hidden="1" customWidth="1"/>
    <col min="14860" max="14861" width="9.33203125" style="578"/>
    <col min="14862" max="14862" width="15.83203125" style="578" customWidth="1"/>
    <col min="14863" max="15101" width="9.33203125" style="578"/>
    <col min="15102" max="15102" width="5" style="578" customWidth="1"/>
    <col min="15103" max="15103" width="9.33203125" style="578"/>
    <col min="15104" max="15104" width="21.6640625" style="578" customWidth="1"/>
    <col min="15105" max="15105" width="13.5" style="578" customWidth="1"/>
    <col min="15106" max="15106" width="10.5" style="578" customWidth="1"/>
    <col min="15107" max="15107" width="15.1640625" style="578" customWidth="1"/>
    <col min="15108" max="15108" width="3.6640625" style="578" customWidth="1"/>
    <col min="15109" max="15109" width="13.1640625" style="578" customWidth="1"/>
    <col min="15110" max="15110" width="3.83203125" style="578" customWidth="1"/>
    <col min="15111" max="15111" width="15" style="578" customWidth="1"/>
    <col min="15112" max="15112" width="3.6640625" style="578" customWidth="1"/>
    <col min="15113" max="15114" width="13" style="578" customWidth="1"/>
    <col min="15115" max="15115" width="0" style="578" hidden="1" customWidth="1"/>
    <col min="15116" max="15117" width="9.33203125" style="578"/>
    <col min="15118" max="15118" width="15.83203125" style="578" customWidth="1"/>
    <col min="15119" max="15357" width="9.33203125" style="578"/>
    <col min="15358" max="15358" width="5" style="578" customWidth="1"/>
    <col min="15359" max="15359" width="9.33203125" style="578"/>
    <col min="15360" max="15360" width="21.6640625" style="578" customWidth="1"/>
    <col min="15361" max="15361" width="13.5" style="578" customWidth="1"/>
    <col min="15362" max="15362" width="10.5" style="578" customWidth="1"/>
    <col min="15363" max="15363" width="15.1640625" style="578" customWidth="1"/>
    <col min="15364" max="15364" width="3.6640625" style="578" customWidth="1"/>
    <col min="15365" max="15365" width="13.1640625" style="578" customWidth="1"/>
    <col min="15366" max="15366" width="3.83203125" style="578" customWidth="1"/>
    <col min="15367" max="15367" width="15" style="578" customWidth="1"/>
    <col min="15368" max="15368" width="3.6640625" style="578" customWidth="1"/>
    <col min="15369" max="15370" width="13" style="578" customWidth="1"/>
    <col min="15371" max="15371" width="0" style="578" hidden="1" customWidth="1"/>
    <col min="15372" max="15373" width="9.33203125" style="578"/>
    <col min="15374" max="15374" width="15.83203125" style="578" customWidth="1"/>
    <col min="15375" max="15613" width="9.33203125" style="578"/>
    <col min="15614" max="15614" width="5" style="578" customWidth="1"/>
    <col min="15615" max="15615" width="9.33203125" style="578"/>
    <col min="15616" max="15616" width="21.6640625" style="578" customWidth="1"/>
    <col min="15617" max="15617" width="13.5" style="578" customWidth="1"/>
    <col min="15618" max="15618" width="10.5" style="578" customWidth="1"/>
    <col min="15619" max="15619" width="15.1640625" style="578" customWidth="1"/>
    <col min="15620" max="15620" width="3.6640625" style="578" customWidth="1"/>
    <col min="15621" max="15621" width="13.1640625" style="578" customWidth="1"/>
    <col min="15622" max="15622" width="3.83203125" style="578" customWidth="1"/>
    <col min="15623" max="15623" width="15" style="578" customWidth="1"/>
    <col min="15624" max="15624" width="3.6640625" style="578" customWidth="1"/>
    <col min="15625" max="15626" width="13" style="578" customWidth="1"/>
    <col min="15627" max="15627" width="0" style="578" hidden="1" customWidth="1"/>
    <col min="15628" max="15629" width="9.33203125" style="578"/>
    <col min="15630" max="15630" width="15.83203125" style="578" customWidth="1"/>
    <col min="15631" max="15869" width="9.33203125" style="578"/>
    <col min="15870" max="15870" width="5" style="578" customWidth="1"/>
    <col min="15871" max="15871" width="9.33203125" style="578"/>
    <col min="15872" max="15872" width="21.6640625" style="578" customWidth="1"/>
    <col min="15873" max="15873" width="13.5" style="578" customWidth="1"/>
    <col min="15874" max="15874" width="10.5" style="578" customWidth="1"/>
    <col min="15875" max="15875" width="15.1640625" style="578" customWidth="1"/>
    <col min="15876" max="15876" width="3.6640625" style="578" customWidth="1"/>
    <col min="15877" max="15877" width="13.1640625" style="578" customWidth="1"/>
    <col min="15878" max="15878" width="3.83203125" style="578" customWidth="1"/>
    <col min="15879" max="15879" width="15" style="578" customWidth="1"/>
    <col min="15880" max="15880" width="3.6640625" style="578" customWidth="1"/>
    <col min="15881" max="15882" width="13" style="578" customWidth="1"/>
    <col min="15883" max="15883" width="0" style="578" hidden="1" customWidth="1"/>
    <col min="15884" max="15885" width="9.33203125" style="578"/>
    <col min="15886" max="15886" width="15.83203125" style="578" customWidth="1"/>
    <col min="15887" max="16125" width="9.33203125" style="578"/>
    <col min="16126" max="16126" width="5" style="578" customWidth="1"/>
    <col min="16127" max="16127" width="9.33203125" style="578"/>
    <col min="16128" max="16128" width="21.6640625" style="578" customWidth="1"/>
    <col min="16129" max="16129" width="13.5" style="578" customWidth="1"/>
    <col min="16130" max="16130" width="10.5" style="578" customWidth="1"/>
    <col min="16131" max="16131" width="15.1640625" style="578" customWidth="1"/>
    <col min="16132" max="16132" width="3.6640625" style="578" customWidth="1"/>
    <col min="16133" max="16133" width="13.1640625" style="578" customWidth="1"/>
    <col min="16134" max="16134" width="3.83203125" style="578" customWidth="1"/>
    <col min="16135" max="16135" width="15" style="578" customWidth="1"/>
    <col min="16136" max="16136" width="3.6640625" style="578" customWidth="1"/>
    <col min="16137" max="16138" width="13" style="578" customWidth="1"/>
    <col min="16139" max="16139" width="0" style="578" hidden="1" customWidth="1"/>
    <col min="16140" max="16141" width="9.33203125" style="578"/>
    <col min="16142" max="16142" width="15.83203125" style="578" customWidth="1"/>
    <col min="16143" max="16384" width="9.33203125" style="578"/>
  </cols>
  <sheetData>
    <row r="1" spans="1:12">
      <c r="B1" s="647"/>
      <c r="H1" s="579"/>
      <c r="J1" s="578" t="str">
        <f>+'Unprotected Cost Allocation'!K2</f>
        <v>W22-09-04</v>
      </c>
    </row>
    <row r="2" spans="1:12">
      <c r="A2" s="647"/>
      <c r="H2" s="579"/>
      <c r="J2" s="579" t="s">
        <v>298</v>
      </c>
    </row>
    <row r="3" spans="1:12">
      <c r="A3" s="647"/>
      <c r="H3" s="579"/>
      <c r="J3" s="579" t="s">
        <v>384</v>
      </c>
    </row>
    <row r="4" spans="1:12">
      <c r="C4" s="648" t="s">
        <v>47</v>
      </c>
      <c r="D4" s="649"/>
      <c r="E4" s="649"/>
      <c r="F4" s="649"/>
      <c r="G4" s="649"/>
      <c r="H4" s="649"/>
      <c r="I4" s="649"/>
      <c r="J4" s="650"/>
      <c r="K4" s="649"/>
    </row>
    <row r="5" spans="1:12">
      <c r="C5" s="651" t="s">
        <v>303</v>
      </c>
      <c r="D5" s="649"/>
      <c r="E5" s="649"/>
      <c r="F5" s="649"/>
      <c r="G5" s="649"/>
      <c r="H5" s="649"/>
      <c r="I5" s="649"/>
      <c r="J5" s="650"/>
      <c r="K5" s="649"/>
    </row>
    <row r="6" spans="1:12" s="198" customFormat="1">
      <c r="C6" s="1041" t="s">
        <v>395</v>
      </c>
      <c r="D6" s="1042"/>
      <c r="E6" s="1042"/>
      <c r="F6" s="1042"/>
      <c r="G6" s="1042"/>
      <c r="H6" s="1042"/>
      <c r="I6" s="1042"/>
      <c r="J6" s="1042"/>
      <c r="K6" s="1042"/>
    </row>
    <row r="7" spans="1:12">
      <c r="C7" s="648" t="s">
        <v>48</v>
      </c>
      <c r="D7" s="649"/>
      <c r="E7" s="649"/>
      <c r="F7" s="649"/>
      <c r="G7" s="649"/>
      <c r="H7" s="649"/>
      <c r="I7" s="649"/>
      <c r="J7" s="650"/>
      <c r="K7" s="649"/>
    </row>
    <row r="9" spans="1:12">
      <c r="A9" s="619"/>
      <c r="B9" s="620"/>
      <c r="C9" s="618"/>
      <c r="D9" s="618"/>
      <c r="E9" s="653"/>
      <c r="F9" s="653"/>
      <c r="G9" s="619"/>
      <c r="H9" s="654"/>
      <c r="I9" s="618"/>
      <c r="J9" s="655" t="s">
        <v>50</v>
      </c>
      <c r="K9" s="618"/>
      <c r="L9" s="656"/>
    </row>
    <row r="10" spans="1:12">
      <c r="A10" s="657" t="s">
        <v>7</v>
      </c>
      <c r="B10" s="925"/>
      <c r="C10" s="658"/>
      <c r="D10" s="659" t="s">
        <v>46</v>
      </c>
      <c r="E10" s="659" t="s">
        <v>51</v>
      </c>
      <c r="F10" s="659" t="s">
        <v>211</v>
      </c>
      <c r="G10" s="634"/>
      <c r="H10" s="660" t="s">
        <v>53</v>
      </c>
      <c r="I10" s="621"/>
      <c r="J10" s="662" t="s">
        <v>304</v>
      </c>
      <c r="K10" s="663" t="s">
        <v>54</v>
      </c>
      <c r="L10" s="551" t="s">
        <v>150</v>
      </c>
    </row>
    <row r="11" spans="1:12">
      <c r="A11" s="657" t="s">
        <v>9</v>
      </c>
      <c r="B11" s="926" t="s">
        <v>0</v>
      </c>
      <c r="C11" s="663"/>
      <c r="D11" s="659" t="s">
        <v>56</v>
      </c>
      <c r="E11" s="659" t="s">
        <v>57</v>
      </c>
      <c r="F11" s="659" t="s">
        <v>58</v>
      </c>
      <c r="G11" s="634"/>
      <c r="H11" s="660" t="s">
        <v>59</v>
      </c>
      <c r="I11" s="621"/>
      <c r="J11" s="662" t="s">
        <v>60</v>
      </c>
      <c r="K11" s="663" t="s">
        <v>60</v>
      </c>
      <c r="L11" s="551" t="s">
        <v>60</v>
      </c>
    </row>
    <row r="12" spans="1:12">
      <c r="A12" s="634"/>
      <c r="B12" s="926" t="s">
        <v>14</v>
      </c>
      <c r="C12" s="663"/>
      <c r="D12" s="659" t="s">
        <v>15</v>
      </c>
      <c r="E12" s="659" t="s">
        <v>16</v>
      </c>
      <c r="F12" s="659" t="s">
        <v>17</v>
      </c>
      <c r="G12" s="634"/>
      <c r="H12" s="660" t="s">
        <v>61</v>
      </c>
      <c r="I12" s="621"/>
      <c r="J12" s="664" t="s">
        <v>81</v>
      </c>
      <c r="K12" s="659" t="s">
        <v>62</v>
      </c>
      <c r="L12" s="557" t="s">
        <v>63</v>
      </c>
    </row>
    <row r="13" spans="1:12">
      <c r="A13" s="628"/>
      <c r="B13" s="665" t="s">
        <v>65</v>
      </c>
      <c r="C13" s="617"/>
      <c r="D13" s="617"/>
      <c r="E13" s="617"/>
      <c r="F13" s="629"/>
      <c r="G13" s="666"/>
      <c r="H13" s="667"/>
      <c r="I13" s="617"/>
      <c r="J13" s="677"/>
      <c r="K13" s="666"/>
      <c r="L13" s="666"/>
    </row>
    <row r="14" spans="1:12">
      <c r="A14" s="634"/>
      <c r="B14" s="927"/>
      <c r="C14" s="621"/>
      <c r="D14" s="621"/>
      <c r="E14" s="621"/>
      <c r="F14" s="621"/>
      <c r="G14" s="634"/>
      <c r="H14" s="634"/>
      <c r="I14" s="621"/>
      <c r="J14" s="668"/>
      <c r="K14" s="621"/>
      <c r="L14" s="619"/>
    </row>
    <row r="15" spans="1:12">
      <c r="A15" s="634"/>
      <c r="B15" s="927"/>
      <c r="C15" s="669"/>
      <c r="D15" s="659"/>
      <c r="E15" s="670"/>
      <c r="F15" s="670"/>
      <c r="G15" s="671"/>
      <c r="H15" s="226"/>
      <c r="I15" s="621"/>
      <c r="J15" s="279"/>
      <c r="K15" s="670"/>
      <c r="L15" s="634"/>
    </row>
    <row r="16" spans="1:12">
      <c r="A16" s="660">
        <v>1</v>
      </c>
      <c r="B16" s="927" t="s">
        <v>98</v>
      </c>
      <c r="C16" s="669"/>
      <c r="D16" s="659" t="s">
        <v>67</v>
      </c>
      <c r="E16" s="670">
        <f>+'Bills-Therms-Revs'!F12</f>
        <v>200356</v>
      </c>
      <c r="F16" s="670">
        <f>+'Test Period Volumes'!C34</f>
        <v>131993811.11343679</v>
      </c>
      <c r="G16" s="671"/>
      <c r="H16" s="226">
        <f>+'Bills-Therms-Revs'!I16</f>
        <v>160697460.31999999</v>
      </c>
      <c r="I16" s="621"/>
      <c r="J16" s="279">
        <f>+'Unprotected Cost Allocation'!D24</f>
        <v>-3.1885175399433478E-4</v>
      </c>
      <c r="K16" s="672">
        <f>F16*J16</f>
        <v>-42086.458189916237</v>
      </c>
      <c r="L16" s="673">
        <f t="shared" ref="L16:L21" si="0">+K16/H16</f>
        <v>-2.6189871393181107E-4</v>
      </c>
    </row>
    <row r="17" spans="1:15">
      <c r="A17" s="660">
        <v>2</v>
      </c>
      <c r="B17" s="927" t="s">
        <v>99</v>
      </c>
      <c r="C17" s="621"/>
      <c r="D17" s="659" t="s">
        <v>69</v>
      </c>
      <c r="E17" s="670">
        <f>+'Bills-Therms-Revs'!F18</f>
        <v>27210</v>
      </c>
      <c r="F17" s="670">
        <f>+'Test Period Volumes'!D34</f>
        <v>93567596.866792873</v>
      </c>
      <c r="G17" s="634"/>
      <c r="H17" s="226">
        <f>+'Bills-Therms-Revs'!I18+'Bills-Therms-Revs'!I21+'Bills-Therms-Revs'!I22</f>
        <v>103915277.34</v>
      </c>
      <c r="I17" s="621"/>
      <c r="J17" s="279">
        <f>+'Unprotected Cost Allocation'!F24</f>
        <v>-2.4321173936064222E-4</v>
      </c>
      <c r="K17" s="672">
        <f>ROUND(F17*J17,0)</f>
        <v>-22757</v>
      </c>
      <c r="L17" s="673">
        <f t="shared" si="0"/>
        <v>-2.1899571056853805E-4</v>
      </c>
    </row>
    <row r="18" spans="1:15">
      <c r="A18" s="660">
        <v>3</v>
      </c>
      <c r="B18" s="927" t="s">
        <v>100</v>
      </c>
      <c r="C18" s="669"/>
      <c r="D18" s="659" t="s">
        <v>73</v>
      </c>
      <c r="E18" s="670">
        <f>+'Bills-Therms-Revs'!F28</f>
        <v>487</v>
      </c>
      <c r="F18" s="670">
        <f>+'Test Period Volumes'!E34</f>
        <v>12906567.97753373</v>
      </c>
      <c r="G18" s="634"/>
      <c r="H18" s="226">
        <f>+'Bills-Therms-Revs'!I28</f>
        <v>11638459.84</v>
      </c>
      <c r="I18" s="621"/>
      <c r="J18" s="279">
        <f>+'Unprotected Cost Allocation'!H24</f>
        <v>-1.5477110686586324E-4</v>
      </c>
      <c r="K18" s="672">
        <f>F18*J18</f>
        <v>-1997.5638117224014</v>
      </c>
      <c r="L18" s="673">
        <f t="shared" si="0"/>
        <v>-1.716347213621009E-4</v>
      </c>
    </row>
    <row r="19" spans="1:15">
      <c r="A19" s="660">
        <v>4</v>
      </c>
      <c r="B19" s="927" t="s">
        <v>70</v>
      </c>
      <c r="C19" s="621"/>
      <c r="D19" s="659" t="s">
        <v>71</v>
      </c>
      <c r="E19" s="670">
        <f>+'Bills-Therms-Revs'!F19+'Bills-Therms-Revs'!F29</f>
        <v>99</v>
      </c>
      <c r="F19" s="670">
        <f>+'Test Period Volumes'!F34</f>
        <v>15549500.235253498</v>
      </c>
      <c r="G19" s="671"/>
      <c r="H19" s="226">
        <f>+'Bills-Therms-Revs'!I19+'Bills-Therms-Revs'!I23+'Bills-Therms-Revs'!I24+'Bills-Therms-Revs'!I29</f>
        <v>12937586.609999999</v>
      </c>
      <c r="I19" s="670"/>
      <c r="J19" s="279">
        <f>+'Unprotected Cost Allocation'!I24</f>
        <v>-1.2684248607803831E-4</v>
      </c>
      <c r="K19" s="672">
        <f>F19*J19</f>
        <v>-1972.3372671105953</v>
      </c>
      <c r="L19" s="673">
        <f t="shared" si="0"/>
        <v>-1.5245016915180253E-4</v>
      </c>
    </row>
    <row r="20" spans="1:15">
      <c r="A20" s="660">
        <v>5</v>
      </c>
      <c r="B20" s="927" t="s">
        <v>101</v>
      </c>
      <c r="C20" s="621"/>
      <c r="D20" s="659" t="s">
        <v>74</v>
      </c>
      <c r="E20" s="670">
        <f>+'Bills-Therms-Revs'!F34</f>
        <v>7</v>
      </c>
      <c r="F20" s="670">
        <f>+'Test Period Volumes'!G34</f>
        <v>2331720.8069831203</v>
      </c>
      <c r="G20" s="671"/>
      <c r="H20" s="226">
        <f>+'Bills-Therms-Revs'!I34+'Bills-Therms-Revs'!I35+'Bills-Therms-Revs'!I36</f>
        <v>1682021.53</v>
      </c>
      <c r="I20" s="621"/>
      <c r="J20" s="279">
        <f>+'Unprotected Cost Allocation'!J24</f>
        <v>-4.6547701313041582E-5</v>
      </c>
      <c r="K20" s="672">
        <f>F20*J20</f>
        <v>-108.53624366885457</v>
      </c>
      <c r="L20" s="673">
        <f t="shared" si="0"/>
        <v>-6.4527261829314727E-5</v>
      </c>
    </row>
    <row r="21" spans="1:15">
      <c r="A21" s="686">
        <v>6</v>
      </c>
      <c r="B21" s="674" t="s">
        <v>75</v>
      </c>
      <c r="C21" s="629"/>
      <c r="D21" s="629"/>
      <c r="E21" s="675">
        <f>SUM(E16:E20)</f>
        <v>228159</v>
      </c>
      <c r="F21" s="676">
        <f>SUM(F16:F20)</f>
        <v>256349197</v>
      </c>
      <c r="G21" s="667"/>
      <c r="H21" s="676">
        <f>SUM(H16:H20)</f>
        <v>290870805.63999999</v>
      </c>
      <c r="I21" s="675"/>
      <c r="J21" s="677"/>
      <c r="K21" s="667">
        <f>SUM(K16:K20)</f>
        <v>-68921.895512418094</v>
      </c>
      <c r="L21" s="678">
        <f t="shared" si="0"/>
        <v>-2.3695019980011391E-4</v>
      </c>
    </row>
    <row r="22" spans="1:15">
      <c r="A22" s="928"/>
      <c r="B22" s="679" t="s">
        <v>76</v>
      </c>
      <c r="C22" s="627"/>
      <c r="D22" s="627"/>
      <c r="E22" s="284"/>
      <c r="F22" s="284"/>
      <c r="G22" s="929"/>
      <c r="H22" s="285"/>
      <c r="I22" s="925"/>
      <c r="J22" s="721"/>
      <c r="K22" s="286"/>
      <c r="L22" s="930"/>
    </row>
    <row r="23" spans="1:15">
      <c r="A23" s="680">
        <v>7</v>
      </c>
      <c r="B23" s="681" t="s">
        <v>139</v>
      </c>
      <c r="C23" s="620"/>
      <c r="D23" s="654">
        <v>663</v>
      </c>
      <c r="E23" s="682">
        <f>+'Bills-Therms-Revs'!F44</f>
        <v>198</v>
      </c>
      <c r="F23" s="683">
        <f>+'Test Period Volumes'!H34</f>
        <v>623152191</v>
      </c>
      <c r="G23" s="619"/>
      <c r="H23" s="684">
        <f>+'Bills-Therms-Revs'!I44</f>
        <v>22879391.52</v>
      </c>
      <c r="I23" s="925"/>
      <c r="J23" s="722">
        <f>+'Unprotected Cost Allocation'!K24</f>
        <v>-2.6764928254998908E-5</v>
      </c>
      <c r="K23" s="685">
        <f>+F23*J23</f>
        <v>-16678.623684060378</v>
      </c>
      <c r="L23" s="678">
        <f>+K23/H23</f>
        <v>-7.2898021214772143E-4</v>
      </c>
    </row>
    <row r="24" spans="1:15">
      <c r="A24" s="632">
        <v>8</v>
      </c>
      <c r="B24" s="687" t="s">
        <v>140</v>
      </c>
      <c r="C24" s="688"/>
      <c r="D24" s="924"/>
      <c r="E24" s="689">
        <f>SUM(E23:E23)</f>
        <v>198</v>
      </c>
      <c r="F24" s="690">
        <f>SUM(F23:F23)</f>
        <v>623152191</v>
      </c>
      <c r="G24" s="691"/>
      <c r="H24" s="692">
        <f>SUM(H23:H23)</f>
        <v>22879391.52</v>
      </c>
      <c r="I24" s="931"/>
      <c r="J24" s="693"/>
      <c r="K24" s="694">
        <f>+K23</f>
        <v>-16678.623684060378</v>
      </c>
      <c r="L24" s="678"/>
    </row>
    <row r="25" spans="1:15">
      <c r="A25" s="680"/>
      <c r="B25" s="932"/>
      <c r="C25" s="931"/>
      <c r="D25" s="931"/>
      <c r="E25" s="923"/>
      <c r="F25" s="287"/>
      <c r="G25" s="691"/>
      <c r="H25" s="923"/>
      <c r="I25" s="931"/>
      <c r="J25" s="288"/>
      <c r="K25" s="289"/>
      <c r="L25" s="930"/>
    </row>
    <row r="26" spans="1:15">
      <c r="A26" s="696">
        <v>9</v>
      </c>
      <c r="B26" s="687" t="s">
        <v>141</v>
      </c>
      <c r="C26" s="688"/>
      <c r="D26" s="688"/>
      <c r="E26" s="697">
        <f>+E24+E21</f>
        <v>228357</v>
      </c>
      <c r="F26" s="698">
        <f>+F24+F21</f>
        <v>879501388</v>
      </c>
      <c r="G26" s="697"/>
      <c r="H26" s="699">
        <f>+H24+H21</f>
        <v>313750197.15999997</v>
      </c>
      <c r="I26" s="695"/>
      <c r="J26" s="693"/>
      <c r="K26" s="700">
        <f>+K24+K21</f>
        <v>-85600.519196478475</v>
      </c>
      <c r="L26" s="678">
        <f>+K26/H26</f>
        <v>-2.7283016862241416E-4</v>
      </c>
    </row>
    <row r="28" spans="1:15">
      <c r="N28" s="723"/>
      <c r="O28" s="724"/>
    </row>
  </sheetData>
  <mergeCells count="1">
    <mergeCell ref="C6:K6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workbookViewId="0">
      <selection activeCell="F21" sqref="F21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011" t="s">
        <v>153</v>
      </c>
      <c r="C2" s="1011"/>
      <c r="D2" s="1011"/>
      <c r="E2" s="1011"/>
      <c r="F2" s="1011"/>
      <c r="G2" s="418"/>
      <c r="H2" s="418"/>
      <c r="I2" s="418"/>
      <c r="J2" s="418"/>
    </row>
    <row r="4" spans="2:10" ht="15.75">
      <c r="B4" s="1010" t="s">
        <v>194</v>
      </c>
      <c r="C4" s="1010"/>
      <c r="D4" s="1010"/>
      <c r="E4" s="1010"/>
      <c r="F4" s="1010"/>
      <c r="G4" s="419"/>
      <c r="H4" s="419"/>
      <c r="I4" s="419"/>
      <c r="J4" s="419"/>
    </row>
    <row r="7" spans="2:10" ht="15.75">
      <c r="B7" s="1010" t="s">
        <v>209</v>
      </c>
      <c r="C7" s="1010"/>
      <c r="D7" s="1010"/>
      <c r="E7" s="1010"/>
      <c r="F7" s="1010"/>
    </row>
    <row r="10" spans="2:10" ht="15.75">
      <c r="B10" s="415" t="s">
        <v>0</v>
      </c>
      <c r="C10" s="414"/>
      <c r="D10" s="414"/>
      <c r="E10" s="414"/>
      <c r="F10" s="415" t="s">
        <v>195</v>
      </c>
      <c r="G10" s="414"/>
    </row>
    <row r="11" spans="2:10" ht="15.75">
      <c r="B11" s="414"/>
      <c r="C11" s="414"/>
      <c r="D11" s="414"/>
      <c r="E11" s="414"/>
      <c r="F11" s="414"/>
      <c r="G11" s="414"/>
    </row>
    <row r="12" spans="2:10" ht="15.75">
      <c r="B12" s="414" t="s">
        <v>399</v>
      </c>
      <c r="C12" s="414"/>
      <c r="D12" s="414"/>
      <c r="E12" s="414"/>
      <c r="F12" s="417" t="s">
        <v>208</v>
      </c>
      <c r="G12" s="414"/>
    </row>
    <row r="13" spans="2:10" ht="15.75">
      <c r="B13" s="414" t="s">
        <v>365</v>
      </c>
      <c r="C13" s="414"/>
      <c r="D13" s="414"/>
      <c r="E13" s="414"/>
      <c r="F13" s="416">
        <v>3</v>
      </c>
      <c r="G13" s="414"/>
    </row>
    <row r="14" spans="2:10" ht="15.75">
      <c r="B14" s="414" t="s">
        <v>196</v>
      </c>
      <c r="C14" s="414"/>
      <c r="D14" s="414"/>
      <c r="E14" s="414"/>
      <c r="F14" s="416">
        <v>4</v>
      </c>
      <c r="G14" s="414"/>
    </row>
    <row r="15" spans="2:10" ht="15.75">
      <c r="B15" s="414" t="s">
        <v>197</v>
      </c>
      <c r="C15" s="414"/>
      <c r="D15" s="414"/>
      <c r="E15" s="414"/>
      <c r="F15" s="416">
        <v>5</v>
      </c>
      <c r="G15" s="414"/>
    </row>
    <row r="16" spans="2:10" ht="15.75">
      <c r="B16" s="414" t="s">
        <v>198</v>
      </c>
      <c r="C16" s="414"/>
      <c r="D16" s="414"/>
      <c r="E16" s="414"/>
      <c r="F16" s="416">
        <v>6</v>
      </c>
      <c r="G16" s="414"/>
    </row>
    <row r="17" spans="2:7" ht="15.75">
      <c r="B17" s="414" t="s">
        <v>212</v>
      </c>
      <c r="C17" s="414"/>
      <c r="D17" s="414"/>
      <c r="E17" s="414"/>
      <c r="F17" s="416">
        <v>7</v>
      </c>
      <c r="G17" s="414"/>
    </row>
    <row r="18" spans="2:7" ht="15.75">
      <c r="B18" s="414" t="s">
        <v>199</v>
      </c>
      <c r="C18" s="414"/>
      <c r="D18" s="414"/>
      <c r="E18" s="414"/>
      <c r="F18" s="416">
        <v>8</v>
      </c>
      <c r="G18" s="414"/>
    </row>
    <row r="19" spans="2:7" ht="15.75">
      <c r="B19" s="414" t="s">
        <v>200</v>
      </c>
      <c r="C19" s="414"/>
      <c r="D19" s="414"/>
      <c r="E19" s="414"/>
      <c r="F19" s="416">
        <v>9</v>
      </c>
      <c r="G19" s="414"/>
    </row>
    <row r="20" spans="2:7" ht="15.75">
      <c r="B20" s="414" t="s">
        <v>210</v>
      </c>
      <c r="C20" s="414"/>
      <c r="D20" s="414"/>
      <c r="E20" s="414"/>
      <c r="F20" s="416">
        <v>10</v>
      </c>
      <c r="G20" s="414"/>
    </row>
    <row r="21" spans="2:7" ht="15.75">
      <c r="C21" s="414"/>
      <c r="D21" s="414"/>
      <c r="E21" s="414"/>
      <c r="F21" s="416"/>
      <c r="G21" s="414"/>
    </row>
    <row r="22" spans="2:7" ht="15.75">
      <c r="B22" s="414"/>
      <c r="C22" s="414"/>
      <c r="D22" s="414"/>
      <c r="E22" s="414"/>
      <c r="F22" s="414"/>
      <c r="G22" s="414"/>
    </row>
    <row r="23" spans="2:7" ht="15.75">
      <c r="B23" s="414"/>
      <c r="C23" s="414"/>
      <c r="D23" s="414"/>
      <c r="E23" s="414"/>
      <c r="F23" s="414"/>
      <c r="G23" s="414"/>
    </row>
    <row r="24" spans="2:7" ht="15.75">
      <c r="B24" s="414"/>
      <c r="C24" s="414"/>
      <c r="D24" s="414"/>
      <c r="E24" s="414"/>
      <c r="F24" s="414"/>
      <c r="G24" s="414"/>
    </row>
    <row r="25" spans="2:7" ht="15.75">
      <c r="B25" s="414"/>
      <c r="C25" s="414"/>
      <c r="D25" s="414"/>
      <c r="E25" s="414"/>
      <c r="F25" s="414"/>
      <c r="G25" s="414"/>
    </row>
    <row r="26" spans="2:7" ht="15.75">
      <c r="B26" s="414"/>
      <c r="C26" s="414"/>
      <c r="D26" s="414"/>
      <c r="E26" s="414"/>
      <c r="F26" s="414"/>
      <c r="G26" s="414"/>
    </row>
    <row r="27" spans="2:7" ht="15.75">
      <c r="B27" s="414"/>
      <c r="C27" s="414"/>
      <c r="D27" s="414"/>
      <c r="E27" s="414"/>
      <c r="F27" s="414"/>
      <c r="G27" s="414"/>
    </row>
    <row r="28" spans="2:7" ht="15.75">
      <c r="B28" s="414"/>
      <c r="C28" s="414"/>
      <c r="D28" s="414"/>
      <c r="E28" s="414"/>
      <c r="F28" s="414"/>
      <c r="G28" s="414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AE28-D1C4-476E-AE22-7F27C1E62A6E}">
  <sheetPr>
    <tabColor rgb="FF7030A0"/>
  </sheetPr>
  <dimension ref="A1:N42"/>
  <sheetViews>
    <sheetView view="pageBreakPreview" zoomScale="60" zoomScaleNormal="100" workbookViewId="0">
      <selection sqref="A1:I1"/>
    </sheetView>
  </sheetViews>
  <sheetFormatPr defaultColWidth="12" defaultRowHeight="15.75"/>
  <cols>
    <col min="1" max="1" width="7" style="577" customWidth="1"/>
    <col min="2" max="2" width="2.33203125" style="577" customWidth="1"/>
    <col min="3" max="3" width="40.33203125" style="577" bestFit="1" customWidth="1"/>
    <col min="4" max="4" width="13.83203125" style="291" bestFit="1" customWidth="1"/>
    <col min="5" max="5" width="16.83203125" style="577" bestFit="1" customWidth="1"/>
    <col min="6" max="6" width="18" style="577" bestFit="1" customWidth="1"/>
    <col min="7" max="7" width="17.33203125" style="577" bestFit="1" customWidth="1"/>
    <col min="8" max="8" width="17.6640625" style="577" bestFit="1" customWidth="1"/>
    <col min="9" max="9" width="17.1640625" style="577" customWidth="1"/>
    <col min="10" max="10" width="15.6640625" style="577" bestFit="1" customWidth="1"/>
    <col min="11" max="11" width="21.5" style="577" bestFit="1" customWidth="1"/>
    <col min="12" max="12" width="17.1640625" style="577" customWidth="1"/>
    <col min="13" max="13" width="4.1640625" style="577" customWidth="1"/>
    <col min="14" max="255" width="12" style="577"/>
    <col min="256" max="256" width="7" style="577" customWidth="1"/>
    <col min="257" max="257" width="2.33203125" style="577" customWidth="1"/>
    <col min="258" max="259" width="12" style="577"/>
    <col min="260" max="260" width="6.5" style="577" customWidth="1"/>
    <col min="261" max="261" width="5.1640625" style="577" customWidth="1"/>
    <col min="262" max="262" width="12" style="577"/>
    <col min="263" max="263" width="5.1640625" style="577" customWidth="1"/>
    <col min="264" max="264" width="17.1640625" style="577" customWidth="1"/>
    <col min="265" max="265" width="4.5" style="577" customWidth="1"/>
    <col min="266" max="266" width="16.1640625" style="577" customWidth="1"/>
    <col min="267" max="267" width="4.83203125" style="577" customWidth="1"/>
    <col min="268" max="268" width="17.1640625" style="577" customWidth="1"/>
    <col min="269" max="269" width="4.1640625" style="577" customWidth="1"/>
    <col min="270" max="511" width="12" style="577"/>
    <col min="512" max="512" width="7" style="577" customWidth="1"/>
    <col min="513" max="513" width="2.33203125" style="577" customWidth="1"/>
    <col min="514" max="515" width="12" style="577"/>
    <col min="516" max="516" width="6.5" style="577" customWidth="1"/>
    <col min="517" max="517" width="5.1640625" style="577" customWidth="1"/>
    <col min="518" max="518" width="12" style="577"/>
    <col min="519" max="519" width="5.1640625" style="577" customWidth="1"/>
    <col min="520" max="520" width="17.1640625" style="577" customWidth="1"/>
    <col min="521" max="521" width="4.5" style="577" customWidth="1"/>
    <col min="522" max="522" width="16.1640625" style="577" customWidth="1"/>
    <col min="523" max="523" width="4.83203125" style="577" customWidth="1"/>
    <col min="524" max="524" width="17.1640625" style="577" customWidth="1"/>
    <col min="525" max="525" width="4.1640625" style="577" customWidth="1"/>
    <col min="526" max="767" width="12" style="577"/>
    <col min="768" max="768" width="7" style="577" customWidth="1"/>
    <col min="769" max="769" width="2.33203125" style="577" customWidth="1"/>
    <col min="770" max="771" width="12" style="577"/>
    <col min="772" max="772" width="6.5" style="577" customWidth="1"/>
    <col min="773" max="773" width="5.1640625" style="577" customWidth="1"/>
    <col min="774" max="774" width="12" style="577"/>
    <col min="775" max="775" width="5.1640625" style="577" customWidth="1"/>
    <col min="776" max="776" width="17.1640625" style="577" customWidth="1"/>
    <col min="777" max="777" width="4.5" style="577" customWidth="1"/>
    <col min="778" max="778" width="16.1640625" style="577" customWidth="1"/>
    <col min="779" max="779" width="4.83203125" style="577" customWidth="1"/>
    <col min="780" max="780" width="17.1640625" style="577" customWidth="1"/>
    <col min="781" max="781" width="4.1640625" style="577" customWidth="1"/>
    <col min="782" max="1023" width="12" style="577"/>
    <col min="1024" max="1024" width="7" style="577" customWidth="1"/>
    <col min="1025" max="1025" width="2.33203125" style="577" customWidth="1"/>
    <col min="1026" max="1027" width="12" style="577"/>
    <col min="1028" max="1028" width="6.5" style="577" customWidth="1"/>
    <col min="1029" max="1029" width="5.1640625" style="577" customWidth="1"/>
    <col min="1030" max="1030" width="12" style="577"/>
    <col min="1031" max="1031" width="5.1640625" style="577" customWidth="1"/>
    <col min="1032" max="1032" width="17.1640625" style="577" customWidth="1"/>
    <col min="1033" max="1033" width="4.5" style="577" customWidth="1"/>
    <col min="1034" max="1034" width="16.1640625" style="577" customWidth="1"/>
    <col min="1035" max="1035" width="4.83203125" style="577" customWidth="1"/>
    <col min="1036" max="1036" width="17.1640625" style="577" customWidth="1"/>
    <col min="1037" max="1037" width="4.1640625" style="577" customWidth="1"/>
    <col min="1038" max="1279" width="12" style="577"/>
    <col min="1280" max="1280" width="7" style="577" customWidth="1"/>
    <col min="1281" max="1281" width="2.33203125" style="577" customWidth="1"/>
    <col min="1282" max="1283" width="12" style="577"/>
    <col min="1284" max="1284" width="6.5" style="577" customWidth="1"/>
    <col min="1285" max="1285" width="5.1640625" style="577" customWidth="1"/>
    <col min="1286" max="1286" width="12" style="577"/>
    <col min="1287" max="1287" width="5.1640625" style="577" customWidth="1"/>
    <col min="1288" max="1288" width="17.1640625" style="577" customWidth="1"/>
    <col min="1289" max="1289" width="4.5" style="577" customWidth="1"/>
    <col min="1290" max="1290" width="16.1640625" style="577" customWidth="1"/>
    <col min="1291" max="1291" width="4.83203125" style="577" customWidth="1"/>
    <col min="1292" max="1292" width="17.1640625" style="577" customWidth="1"/>
    <col min="1293" max="1293" width="4.1640625" style="577" customWidth="1"/>
    <col min="1294" max="1535" width="12" style="577"/>
    <col min="1536" max="1536" width="7" style="577" customWidth="1"/>
    <col min="1537" max="1537" width="2.33203125" style="577" customWidth="1"/>
    <col min="1538" max="1539" width="12" style="577"/>
    <col min="1540" max="1540" width="6.5" style="577" customWidth="1"/>
    <col min="1541" max="1541" width="5.1640625" style="577" customWidth="1"/>
    <col min="1542" max="1542" width="12" style="577"/>
    <col min="1543" max="1543" width="5.1640625" style="577" customWidth="1"/>
    <col min="1544" max="1544" width="17.1640625" style="577" customWidth="1"/>
    <col min="1545" max="1545" width="4.5" style="577" customWidth="1"/>
    <col min="1546" max="1546" width="16.1640625" style="577" customWidth="1"/>
    <col min="1547" max="1547" width="4.83203125" style="577" customWidth="1"/>
    <col min="1548" max="1548" width="17.1640625" style="577" customWidth="1"/>
    <col min="1549" max="1549" width="4.1640625" style="577" customWidth="1"/>
    <col min="1550" max="1791" width="12" style="577"/>
    <col min="1792" max="1792" width="7" style="577" customWidth="1"/>
    <col min="1793" max="1793" width="2.33203125" style="577" customWidth="1"/>
    <col min="1794" max="1795" width="12" style="577"/>
    <col min="1796" max="1796" width="6.5" style="577" customWidth="1"/>
    <col min="1797" max="1797" width="5.1640625" style="577" customWidth="1"/>
    <col min="1798" max="1798" width="12" style="577"/>
    <col min="1799" max="1799" width="5.1640625" style="577" customWidth="1"/>
    <col min="1800" max="1800" width="17.1640625" style="577" customWidth="1"/>
    <col min="1801" max="1801" width="4.5" style="577" customWidth="1"/>
    <col min="1802" max="1802" width="16.1640625" style="577" customWidth="1"/>
    <col min="1803" max="1803" width="4.83203125" style="577" customWidth="1"/>
    <col min="1804" max="1804" width="17.1640625" style="577" customWidth="1"/>
    <col min="1805" max="1805" width="4.1640625" style="577" customWidth="1"/>
    <col min="1806" max="2047" width="12" style="577"/>
    <col min="2048" max="2048" width="7" style="577" customWidth="1"/>
    <col min="2049" max="2049" width="2.33203125" style="577" customWidth="1"/>
    <col min="2050" max="2051" width="12" style="577"/>
    <col min="2052" max="2052" width="6.5" style="577" customWidth="1"/>
    <col min="2053" max="2053" width="5.1640625" style="577" customWidth="1"/>
    <col min="2054" max="2054" width="12" style="577"/>
    <col min="2055" max="2055" width="5.1640625" style="577" customWidth="1"/>
    <col min="2056" max="2056" width="17.1640625" style="577" customWidth="1"/>
    <col min="2057" max="2057" width="4.5" style="577" customWidth="1"/>
    <col min="2058" max="2058" width="16.1640625" style="577" customWidth="1"/>
    <col min="2059" max="2059" width="4.83203125" style="577" customWidth="1"/>
    <col min="2060" max="2060" width="17.1640625" style="577" customWidth="1"/>
    <col min="2061" max="2061" width="4.1640625" style="577" customWidth="1"/>
    <col min="2062" max="2303" width="12" style="577"/>
    <col min="2304" max="2304" width="7" style="577" customWidth="1"/>
    <col min="2305" max="2305" width="2.33203125" style="577" customWidth="1"/>
    <col min="2306" max="2307" width="12" style="577"/>
    <col min="2308" max="2308" width="6.5" style="577" customWidth="1"/>
    <col min="2309" max="2309" width="5.1640625" style="577" customWidth="1"/>
    <col min="2310" max="2310" width="12" style="577"/>
    <col min="2311" max="2311" width="5.1640625" style="577" customWidth="1"/>
    <col min="2312" max="2312" width="17.1640625" style="577" customWidth="1"/>
    <col min="2313" max="2313" width="4.5" style="577" customWidth="1"/>
    <col min="2314" max="2314" width="16.1640625" style="577" customWidth="1"/>
    <col min="2315" max="2315" width="4.83203125" style="577" customWidth="1"/>
    <col min="2316" max="2316" width="17.1640625" style="577" customWidth="1"/>
    <col min="2317" max="2317" width="4.1640625" style="577" customWidth="1"/>
    <col min="2318" max="2559" width="12" style="577"/>
    <col min="2560" max="2560" width="7" style="577" customWidth="1"/>
    <col min="2561" max="2561" width="2.33203125" style="577" customWidth="1"/>
    <col min="2562" max="2563" width="12" style="577"/>
    <col min="2564" max="2564" width="6.5" style="577" customWidth="1"/>
    <col min="2565" max="2565" width="5.1640625" style="577" customWidth="1"/>
    <col min="2566" max="2566" width="12" style="577"/>
    <col min="2567" max="2567" width="5.1640625" style="577" customWidth="1"/>
    <col min="2568" max="2568" width="17.1640625" style="577" customWidth="1"/>
    <col min="2569" max="2569" width="4.5" style="577" customWidth="1"/>
    <col min="2570" max="2570" width="16.1640625" style="577" customWidth="1"/>
    <col min="2571" max="2571" width="4.83203125" style="577" customWidth="1"/>
    <col min="2572" max="2572" width="17.1640625" style="577" customWidth="1"/>
    <col min="2573" max="2573" width="4.1640625" style="577" customWidth="1"/>
    <col min="2574" max="2815" width="12" style="577"/>
    <col min="2816" max="2816" width="7" style="577" customWidth="1"/>
    <col min="2817" max="2817" width="2.33203125" style="577" customWidth="1"/>
    <col min="2818" max="2819" width="12" style="577"/>
    <col min="2820" max="2820" width="6.5" style="577" customWidth="1"/>
    <col min="2821" max="2821" width="5.1640625" style="577" customWidth="1"/>
    <col min="2822" max="2822" width="12" style="577"/>
    <col min="2823" max="2823" width="5.1640625" style="577" customWidth="1"/>
    <col min="2824" max="2824" width="17.1640625" style="577" customWidth="1"/>
    <col min="2825" max="2825" width="4.5" style="577" customWidth="1"/>
    <col min="2826" max="2826" width="16.1640625" style="577" customWidth="1"/>
    <col min="2827" max="2827" width="4.83203125" style="577" customWidth="1"/>
    <col min="2828" max="2828" width="17.1640625" style="577" customWidth="1"/>
    <col min="2829" max="2829" width="4.1640625" style="577" customWidth="1"/>
    <col min="2830" max="3071" width="12" style="577"/>
    <col min="3072" max="3072" width="7" style="577" customWidth="1"/>
    <col min="3073" max="3073" width="2.33203125" style="577" customWidth="1"/>
    <col min="3074" max="3075" width="12" style="577"/>
    <col min="3076" max="3076" width="6.5" style="577" customWidth="1"/>
    <col min="3077" max="3077" width="5.1640625" style="577" customWidth="1"/>
    <col min="3078" max="3078" width="12" style="577"/>
    <col min="3079" max="3079" width="5.1640625" style="577" customWidth="1"/>
    <col min="3080" max="3080" width="17.1640625" style="577" customWidth="1"/>
    <col min="3081" max="3081" width="4.5" style="577" customWidth="1"/>
    <col min="3082" max="3082" width="16.1640625" style="577" customWidth="1"/>
    <col min="3083" max="3083" width="4.83203125" style="577" customWidth="1"/>
    <col min="3084" max="3084" width="17.1640625" style="577" customWidth="1"/>
    <col min="3085" max="3085" width="4.1640625" style="577" customWidth="1"/>
    <col min="3086" max="3327" width="12" style="577"/>
    <col min="3328" max="3328" width="7" style="577" customWidth="1"/>
    <col min="3329" max="3329" width="2.33203125" style="577" customWidth="1"/>
    <col min="3330" max="3331" width="12" style="577"/>
    <col min="3332" max="3332" width="6.5" style="577" customWidth="1"/>
    <col min="3333" max="3333" width="5.1640625" style="577" customWidth="1"/>
    <col min="3334" max="3334" width="12" style="577"/>
    <col min="3335" max="3335" width="5.1640625" style="577" customWidth="1"/>
    <col min="3336" max="3336" width="17.1640625" style="577" customWidth="1"/>
    <col min="3337" max="3337" width="4.5" style="577" customWidth="1"/>
    <col min="3338" max="3338" width="16.1640625" style="577" customWidth="1"/>
    <col min="3339" max="3339" width="4.83203125" style="577" customWidth="1"/>
    <col min="3340" max="3340" width="17.1640625" style="577" customWidth="1"/>
    <col min="3341" max="3341" width="4.1640625" style="577" customWidth="1"/>
    <col min="3342" max="3583" width="12" style="577"/>
    <col min="3584" max="3584" width="7" style="577" customWidth="1"/>
    <col min="3585" max="3585" width="2.33203125" style="577" customWidth="1"/>
    <col min="3586" max="3587" width="12" style="577"/>
    <col min="3588" max="3588" width="6.5" style="577" customWidth="1"/>
    <col min="3589" max="3589" width="5.1640625" style="577" customWidth="1"/>
    <col min="3590" max="3590" width="12" style="577"/>
    <col min="3591" max="3591" width="5.1640625" style="577" customWidth="1"/>
    <col min="3592" max="3592" width="17.1640625" style="577" customWidth="1"/>
    <col min="3593" max="3593" width="4.5" style="577" customWidth="1"/>
    <col min="3594" max="3594" width="16.1640625" style="577" customWidth="1"/>
    <col min="3595" max="3595" width="4.83203125" style="577" customWidth="1"/>
    <col min="3596" max="3596" width="17.1640625" style="577" customWidth="1"/>
    <col min="3597" max="3597" width="4.1640625" style="577" customWidth="1"/>
    <col min="3598" max="3839" width="12" style="577"/>
    <col min="3840" max="3840" width="7" style="577" customWidth="1"/>
    <col min="3841" max="3841" width="2.33203125" style="577" customWidth="1"/>
    <col min="3842" max="3843" width="12" style="577"/>
    <col min="3844" max="3844" width="6.5" style="577" customWidth="1"/>
    <col min="3845" max="3845" width="5.1640625" style="577" customWidth="1"/>
    <col min="3846" max="3846" width="12" style="577"/>
    <col min="3847" max="3847" width="5.1640625" style="577" customWidth="1"/>
    <col min="3848" max="3848" width="17.1640625" style="577" customWidth="1"/>
    <col min="3849" max="3849" width="4.5" style="577" customWidth="1"/>
    <col min="3850" max="3850" width="16.1640625" style="577" customWidth="1"/>
    <col min="3851" max="3851" width="4.83203125" style="577" customWidth="1"/>
    <col min="3852" max="3852" width="17.1640625" style="577" customWidth="1"/>
    <col min="3853" max="3853" width="4.1640625" style="577" customWidth="1"/>
    <col min="3854" max="4095" width="12" style="577"/>
    <col min="4096" max="4096" width="7" style="577" customWidth="1"/>
    <col min="4097" max="4097" width="2.33203125" style="577" customWidth="1"/>
    <col min="4098" max="4099" width="12" style="577"/>
    <col min="4100" max="4100" width="6.5" style="577" customWidth="1"/>
    <col min="4101" max="4101" width="5.1640625" style="577" customWidth="1"/>
    <col min="4102" max="4102" width="12" style="577"/>
    <col min="4103" max="4103" width="5.1640625" style="577" customWidth="1"/>
    <col min="4104" max="4104" width="17.1640625" style="577" customWidth="1"/>
    <col min="4105" max="4105" width="4.5" style="577" customWidth="1"/>
    <col min="4106" max="4106" width="16.1640625" style="577" customWidth="1"/>
    <col min="4107" max="4107" width="4.83203125" style="577" customWidth="1"/>
    <col min="4108" max="4108" width="17.1640625" style="577" customWidth="1"/>
    <col min="4109" max="4109" width="4.1640625" style="577" customWidth="1"/>
    <col min="4110" max="4351" width="12" style="577"/>
    <col min="4352" max="4352" width="7" style="577" customWidth="1"/>
    <col min="4353" max="4353" width="2.33203125" style="577" customWidth="1"/>
    <col min="4354" max="4355" width="12" style="577"/>
    <col min="4356" max="4356" width="6.5" style="577" customWidth="1"/>
    <col min="4357" max="4357" width="5.1640625" style="577" customWidth="1"/>
    <col min="4358" max="4358" width="12" style="577"/>
    <col min="4359" max="4359" width="5.1640625" style="577" customWidth="1"/>
    <col min="4360" max="4360" width="17.1640625" style="577" customWidth="1"/>
    <col min="4361" max="4361" width="4.5" style="577" customWidth="1"/>
    <col min="4362" max="4362" width="16.1640625" style="577" customWidth="1"/>
    <col min="4363" max="4363" width="4.83203125" style="577" customWidth="1"/>
    <col min="4364" max="4364" width="17.1640625" style="577" customWidth="1"/>
    <col min="4365" max="4365" width="4.1640625" style="577" customWidth="1"/>
    <col min="4366" max="4607" width="12" style="577"/>
    <col min="4608" max="4608" width="7" style="577" customWidth="1"/>
    <col min="4609" max="4609" width="2.33203125" style="577" customWidth="1"/>
    <col min="4610" max="4611" width="12" style="577"/>
    <col min="4612" max="4612" width="6.5" style="577" customWidth="1"/>
    <col min="4613" max="4613" width="5.1640625" style="577" customWidth="1"/>
    <col min="4614" max="4614" width="12" style="577"/>
    <col min="4615" max="4615" width="5.1640625" style="577" customWidth="1"/>
    <col min="4616" max="4616" width="17.1640625" style="577" customWidth="1"/>
    <col min="4617" max="4617" width="4.5" style="577" customWidth="1"/>
    <col min="4618" max="4618" width="16.1640625" style="577" customWidth="1"/>
    <col min="4619" max="4619" width="4.83203125" style="577" customWidth="1"/>
    <col min="4620" max="4620" width="17.1640625" style="577" customWidth="1"/>
    <col min="4621" max="4621" width="4.1640625" style="577" customWidth="1"/>
    <col min="4622" max="4863" width="12" style="577"/>
    <col min="4864" max="4864" width="7" style="577" customWidth="1"/>
    <col min="4865" max="4865" width="2.33203125" style="577" customWidth="1"/>
    <col min="4866" max="4867" width="12" style="577"/>
    <col min="4868" max="4868" width="6.5" style="577" customWidth="1"/>
    <col min="4869" max="4869" width="5.1640625" style="577" customWidth="1"/>
    <col min="4870" max="4870" width="12" style="577"/>
    <col min="4871" max="4871" width="5.1640625" style="577" customWidth="1"/>
    <col min="4872" max="4872" width="17.1640625" style="577" customWidth="1"/>
    <col min="4873" max="4873" width="4.5" style="577" customWidth="1"/>
    <col min="4874" max="4874" width="16.1640625" style="577" customWidth="1"/>
    <col min="4875" max="4875" width="4.83203125" style="577" customWidth="1"/>
    <col min="4876" max="4876" width="17.1640625" style="577" customWidth="1"/>
    <col min="4877" max="4877" width="4.1640625" style="577" customWidth="1"/>
    <col min="4878" max="5119" width="12" style="577"/>
    <col min="5120" max="5120" width="7" style="577" customWidth="1"/>
    <col min="5121" max="5121" width="2.33203125" style="577" customWidth="1"/>
    <col min="5122" max="5123" width="12" style="577"/>
    <col min="5124" max="5124" width="6.5" style="577" customWidth="1"/>
    <col min="5125" max="5125" width="5.1640625" style="577" customWidth="1"/>
    <col min="5126" max="5126" width="12" style="577"/>
    <col min="5127" max="5127" width="5.1640625" style="577" customWidth="1"/>
    <col min="5128" max="5128" width="17.1640625" style="577" customWidth="1"/>
    <col min="5129" max="5129" width="4.5" style="577" customWidth="1"/>
    <col min="5130" max="5130" width="16.1640625" style="577" customWidth="1"/>
    <col min="5131" max="5131" width="4.83203125" style="577" customWidth="1"/>
    <col min="5132" max="5132" width="17.1640625" style="577" customWidth="1"/>
    <col min="5133" max="5133" width="4.1640625" style="577" customWidth="1"/>
    <col min="5134" max="5375" width="12" style="577"/>
    <col min="5376" max="5376" width="7" style="577" customWidth="1"/>
    <col min="5377" max="5377" width="2.33203125" style="577" customWidth="1"/>
    <col min="5378" max="5379" width="12" style="577"/>
    <col min="5380" max="5380" width="6.5" style="577" customWidth="1"/>
    <col min="5381" max="5381" width="5.1640625" style="577" customWidth="1"/>
    <col min="5382" max="5382" width="12" style="577"/>
    <col min="5383" max="5383" width="5.1640625" style="577" customWidth="1"/>
    <col min="5384" max="5384" width="17.1640625" style="577" customWidth="1"/>
    <col min="5385" max="5385" width="4.5" style="577" customWidth="1"/>
    <col min="5386" max="5386" width="16.1640625" style="577" customWidth="1"/>
    <col min="5387" max="5387" width="4.83203125" style="577" customWidth="1"/>
    <col min="5388" max="5388" width="17.1640625" style="577" customWidth="1"/>
    <col min="5389" max="5389" width="4.1640625" style="577" customWidth="1"/>
    <col min="5390" max="5631" width="12" style="577"/>
    <col min="5632" max="5632" width="7" style="577" customWidth="1"/>
    <col min="5633" max="5633" width="2.33203125" style="577" customWidth="1"/>
    <col min="5634" max="5635" width="12" style="577"/>
    <col min="5636" max="5636" width="6.5" style="577" customWidth="1"/>
    <col min="5637" max="5637" width="5.1640625" style="577" customWidth="1"/>
    <col min="5638" max="5638" width="12" style="577"/>
    <col min="5639" max="5639" width="5.1640625" style="577" customWidth="1"/>
    <col min="5640" max="5640" width="17.1640625" style="577" customWidth="1"/>
    <col min="5641" max="5641" width="4.5" style="577" customWidth="1"/>
    <col min="5642" max="5642" width="16.1640625" style="577" customWidth="1"/>
    <col min="5643" max="5643" width="4.83203125" style="577" customWidth="1"/>
    <col min="5644" max="5644" width="17.1640625" style="577" customWidth="1"/>
    <col min="5645" max="5645" width="4.1640625" style="577" customWidth="1"/>
    <col min="5646" max="5887" width="12" style="577"/>
    <col min="5888" max="5888" width="7" style="577" customWidth="1"/>
    <col min="5889" max="5889" width="2.33203125" style="577" customWidth="1"/>
    <col min="5890" max="5891" width="12" style="577"/>
    <col min="5892" max="5892" width="6.5" style="577" customWidth="1"/>
    <col min="5893" max="5893" width="5.1640625" style="577" customWidth="1"/>
    <col min="5894" max="5894" width="12" style="577"/>
    <col min="5895" max="5895" width="5.1640625" style="577" customWidth="1"/>
    <col min="5896" max="5896" width="17.1640625" style="577" customWidth="1"/>
    <col min="5897" max="5897" width="4.5" style="577" customWidth="1"/>
    <col min="5898" max="5898" width="16.1640625" style="577" customWidth="1"/>
    <col min="5899" max="5899" width="4.83203125" style="577" customWidth="1"/>
    <col min="5900" max="5900" width="17.1640625" style="577" customWidth="1"/>
    <col min="5901" max="5901" width="4.1640625" style="577" customWidth="1"/>
    <col min="5902" max="6143" width="12" style="577"/>
    <col min="6144" max="6144" width="7" style="577" customWidth="1"/>
    <col min="6145" max="6145" width="2.33203125" style="577" customWidth="1"/>
    <col min="6146" max="6147" width="12" style="577"/>
    <col min="6148" max="6148" width="6.5" style="577" customWidth="1"/>
    <col min="6149" max="6149" width="5.1640625" style="577" customWidth="1"/>
    <col min="6150" max="6150" width="12" style="577"/>
    <col min="6151" max="6151" width="5.1640625" style="577" customWidth="1"/>
    <col min="6152" max="6152" width="17.1640625" style="577" customWidth="1"/>
    <col min="6153" max="6153" width="4.5" style="577" customWidth="1"/>
    <col min="6154" max="6154" width="16.1640625" style="577" customWidth="1"/>
    <col min="6155" max="6155" width="4.83203125" style="577" customWidth="1"/>
    <col min="6156" max="6156" width="17.1640625" style="577" customWidth="1"/>
    <col min="6157" max="6157" width="4.1640625" style="577" customWidth="1"/>
    <col min="6158" max="6399" width="12" style="577"/>
    <col min="6400" max="6400" width="7" style="577" customWidth="1"/>
    <col min="6401" max="6401" width="2.33203125" style="577" customWidth="1"/>
    <col min="6402" max="6403" width="12" style="577"/>
    <col min="6404" max="6404" width="6.5" style="577" customWidth="1"/>
    <col min="6405" max="6405" width="5.1640625" style="577" customWidth="1"/>
    <col min="6406" max="6406" width="12" style="577"/>
    <col min="6407" max="6407" width="5.1640625" style="577" customWidth="1"/>
    <col min="6408" max="6408" width="17.1640625" style="577" customWidth="1"/>
    <col min="6409" max="6409" width="4.5" style="577" customWidth="1"/>
    <col min="6410" max="6410" width="16.1640625" style="577" customWidth="1"/>
    <col min="6411" max="6411" width="4.83203125" style="577" customWidth="1"/>
    <col min="6412" max="6412" width="17.1640625" style="577" customWidth="1"/>
    <col min="6413" max="6413" width="4.1640625" style="577" customWidth="1"/>
    <col min="6414" max="6655" width="12" style="577"/>
    <col min="6656" max="6656" width="7" style="577" customWidth="1"/>
    <col min="6657" max="6657" width="2.33203125" style="577" customWidth="1"/>
    <col min="6658" max="6659" width="12" style="577"/>
    <col min="6660" max="6660" width="6.5" style="577" customWidth="1"/>
    <col min="6661" max="6661" width="5.1640625" style="577" customWidth="1"/>
    <col min="6662" max="6662" width="12" style="577"/>
    <col min="6663" max="6663" width="5.1640625" style="577" customWidth="1"/>
    <col min="6664" max="6664" width="17.1640625" style="577" customWidth="1"/>
    <col min="6665" max="6665" width="4.5" style="577" customWidth="1"/>
    <col min="6666" max="6666" width="16.1640625" style="577" customWidth="1"/>
    <col min="6667" max="6667" width="4.83203125" style="577" customWidth="1"/>
    <col min="6668" max="6668" width="17.1640625" style="577" customWidth="1"/>
    <col min="6669" max="6669" width="4.1640625" style="577" customWidth="1"/>
    <col min="6670" max="6911" width="12" style="577"/>
    <col min="6912" max="6912" width="7" style="577" customWidth="1"/>
    <col min="6913" max="6913" width="2.33203125" style="577" customWidth="1"/>
    <col min="6914" max="6915" width="12" style="577"/>
    <col min="6916" max="6916" width="6.5" style="577" customWidth="1"/>
    <col min="6917" max="6917" width="5.1640625" style="577" customWidth="1"/>
    <col min="6918" max="6918" width="12" style="577"/>
    <col min="6919" max="6919" width="5.1640625" style="577" customWidth="1"/>
    <col min="6920" max="6920" width="17.1640625" style="577" customWidth="1"/>
    <col min="6921" max="6921" width="4.5" style="577" customWidth="1"/>
    <col min="6922" max="6922" width="16.1640625" style="577" customWidth="1"/>
    <col min="6923" max="6923" width="4.83203125" style="577" customWidth="1"/>
    <col min="6924" max="6924" width="17.1640625" style="577" customWidth="1"/>
    <col min="6925" max="6925" width="4.1640625" style="577" customWidth="1"/>
    <col min="6926" max="7167" width="12" style="577"/>
    <col min="7168" max="7168" width="7" style="577" customWidth="1"/>
    <col min="7169" max="7169" width="2.33203125" style="577" customWidth="1"/>
    <col min="7170" max="7171" width="12" style="577"/>
    <col min="7172" max="7172" width="6.5" style="577" customWidth="1"/>
    <col min="7173" max="7173" width="5.1640625" style="577" customWidth="1"/>
    <col min="7174" max="7174" width="12" style="577"/>
    <col min="7175" max="7175" width="5.1640625" style="577" customWidth="1"/>
    <col min="7176" max="7176" width="17.1640625" style="577" customWidth="1"/>
    <col min="7177" max="7177" width="4.5" style="577" customWidth="1"/>
    <col min="7178" max="7178" width="16.1640625" style="577" customWidth="1"/>
    <col min="7179" max="7179" width="4.83203125" style="577" customWidth="1"/>
    <col min="7180" max="7180" width="17.1640625" style="577" customWidth="1"/>
    <col min="7181" max="7181" width="4.1640625" style="577" customWidth="1"/>
    <col min="7182" max="7423" width="12" style="577"/>
    <col min="7424" max="7424" width="7" style="577" customWidth="1"/>
    <col min="7425" max="7425" width="2.33203125" style="577" customWidth="1"/>
    <col min="7426" max="7427" width="12" style="577"/>
    <col min="7428" max="7428" width="6.5" style="577" customWidth="1"/>
    <col min="7429" max="7429" width="5.1640625" style="577" customWidth="1"/>
    <col min="7430" max="7430" width="12" style="577"/>
    <col min="7431" max="7431" width="5.1640625" style="577" customWidth="1"/>
    <col min="7432" max="7432" width="17.1640625" style="577" customWidth="1"/>
    <col min="7433" max="7433" width="4.5" style="577" customWidth="1"/>
    <col min="7434" max="7434" width="16.1640625" style="577" customWidth="1"/>
    <col min="7435" max="7435" width="4.83203125" style="577" customWidth="1"/>
    <col min="7436" max="7436" width="17.1640625" style="577" customWidth="1"/>
    <col min="7437" max="7437" width="4.1640625" style="577" customWidth="1"/>
    <col min="7438" max="7679" width="12" style="577"/>
    <col min="7680" max="7680" width="7" style="577" customWidth="1"/>
    <col min="7681" max="7681" width="2.33203125" style="577" customWidth="1"/>
    <col min="7682" max="7683" width="12" style="577"/>
    <col min="7684" max="7684" width="6.5" style="577" customWidth="1"/>
    <col min="7685" max="7685" width="5.1640625" style="577" customWidth="1"/>
    <col min="7686" max="7686" width="12" style="577"/>
    <col min="7687" max="7687" width="5.1640625" style="577" customWidth="1"/>
    <col min="7688" max="7688" width="17.1640625" style="577" customWidth="1"/>
    <col min="7689" max="7689" width="4.5" style="577" customWidth="1"/>
    <col min="7690" max="7690" width="16.1640625" style="577" customWidth="1"/>
    <col min="7691" max="7691" width="4.83203125" style="577" customWidth="1"/>
    <col min="7692" max="7692" width="17.1640625" style="577" customWidth="1"/>
    <col min="7693" max="7693" width="4.1640625" style="577" customWidth="1"/>
    <col min="7694" max="7935" width="12" style="577"/>
    <col min="7936" max="7936" width="7" style="577" customWidth="1"/>
    <col min="7937" max="7937" width="2.33203125" style="577" customWidth="1"/>
    <col min="7938" max="7939" width="12" style="577"/>
    <col min="7940" max="7940" width="6.5" style="577" customWidth="1"/>
    <col min="7941" max="7941" width="5.1640625" style="577" customWidth="1"/>
    <col min="7942" max="7942" width="12" style="577"/>
    <col min="7943" max="7943" width="5.1640625" style="577" customWidth="1"/>
    <col min="7944" max="7944" width="17.1640625" style="577" customWidth="1"/>
    <col min="7945" max="7945" width="4.5" style="577" customWidth="1"/>
    <col min="7946" max="7946" width="16.1640625" style="577" customWidth="1"/>
    <col min="7947" max="7947" width="4.83203125" style="577" customWidth="1"/>
    <col min="7948" max="7948" width="17.1640625" style="577" customWidth="1"/>
    <col min="7949" max="7949" width="4.1640625" style="577" customWidth="1"/>
    <col min="7950" max="8191" width="12" style="577"/>
    <col min="8192" max="8192" width="7" style="577" customWidth="1"/>
    <col min="8193" max="8193" width="2.33203125" style="577" customWidth="1"/>
    <col min="8194" max="8195" width="12" style="577"/>
    <col min="8196" max="8196" width="6.5" style="577" customWidth="1"/>
    <col min="8197" max="8197" width="5.1640625" style="577" customWidth="1"/>
    <col min="8198" max="8198" width="12" style="577"/>
    <col min="8199" max="8199" width="5.1640625" style="577" customWidth="1"/>
    <col min="8200" max="8200" width="17.1640625" style="577" customWidth="1"/>
    <col min="8201" max="8201" width="4.5" style="577" customWidth="1"/>
    <col min="8202" max="8202" width="16.1640625" style="577" customWidth="1"/>
    <col min="8203" max="8203" width="4.83203125" style="577" customWidth="1"/>
    <col min="8204" max="8204" width="17.1640625" style="577" customWidth="1"/>
    <col min="8205" max="8205" width="4.1640625" style="577" customWidth="1"/>
    <col min="8206" max="8447" width="12" style="577"/>
    <col min="8448" max="8448" width="7" style="577" customWidth="1"/>
    <col min="8449" max="8449" width="2.33203125" style="577" customWidth="1"/>
    <col min="8450" max="8451" width="12" style="577"/>
    <col min="8452" max="8452" width="6.5" style="577" customWidth="1"/>
    <col min="8453" max="8453" width="5.1640625" style="577" customWidth="1"/>
    <col min="8454" max="8454" width="12" style="577"/>
    <col min="8455" max="8455" width="5.1640625" style="577" customWidth="1"/>
    <col min="8456" max="8456" width="17.1640625" style="577" customWidth="1"/>
    <col min="8457" max="8457" width="4.5" style="577" customWidth="1"/>
    <col min="8458" max="8458" width="16.1640625" style="577" customWidth="1"/>
    <col min="8459" max="8459" width="4.83203125" style="577" customWidth="1"/>
    <col min="8460" max="8460" width="17.1640625" style="577" customWidth="1"/>
    <col min="8461" max="8461" width="4.1640625" style="577" customWidth="1"/>
    <col min="8462" max="8703" width="12" style="577"/>
    <col min="8704" max="8704" width="7" style="577" customWidth="1"/>
    <col min="8705" max="8705" width="2.33203125" style="577" customWidth="1"/>
    <col min="8706" max="8707" width="12" style="577"/>
    <col min="8708" max="8708" width="6.5" style="577" customWidth="1"/>
    <col min="8709" max="8709" width="5.1640625" style="577" customWidth="1"/>
    <col min="8710" max="8710" width="12" style="577"/>
    <col min="8711" max="8711" width="5.1640625" style="577" customWidth="1"/>
    <col min="8712" max="8712" width="17.1640625" style="577" customWidth="1"/>
    <col min="8713" max="8713" width="4.5" style="577" customWidth="1"/>
    <col min="8714" max="8714" width="16.1640625" style="577" customWidth="1"/>
    <col min="8715" max="8715" width="4.83203125" style="577" customWidth="1"/>
    <col min="8716" max="8716" width="17.1640625" style="577" customWidth="1"/>
    <col min="8717" max="8717" width="4.1640625" style="577" customWidth="1"/>
    <col min="8718" max="8959" width="12" style="577"/>
    <col min="8960" max="8960" width="7" style="577" customWidth="1"/>
    <col min="8961" max="8961" width="2.33203125" style="577" customWidth="1"/>
    <col min="8962" max="8963" width="12" style="577"/>
    <col min="8964" max="8964" width="6.5" style="577" customWidth="1"/>
    <col min="8965" max="8965" width="5.1640625" style="577" customWidth="1"/>
    <col min="8966" max="8966" width="12" style="577"/>
    <col min="8967" max="8967" width="5.1640625" style="577" customWidth="1"/>
    <col min="8968" max="8968" width="17.1640625" style="577" customWidth="1"/>
    <col min="8969" max="8969" width="4.5" style="577" customWidth="1"/>
    <col min="8970" max="8970" width="16.1640625" style="577" customWidth="1"/>
    <col min="8971" max="8971" width="4.83203125" style="577" customWidth="1"/>
    <col min="8972" max="8972" width="17.1640625" style="577" customWidth="1"/>
    <col min="8973" max="8973" width="4.1640625" style="577" customWidth="1"/>
    <col min="8974" max="9215" width="12" style="577"/>
    <col min="9216" max="9216" width="7" style="577" customWidth="1"/>
    <col min="9217" max="9217" width="2.33203125" style="577" customWidth="1"/>
    <col min="9218" max="9219" width="12" style="577"/>
    <col min="9220" max="9220" width="6.5" style="577" customWidth="1"/>
    <col min="9221" max="9221" width="5.1640625" style="577" customWidth="1"/>
    <col min="9222" max="9222" width="12" style="577"/>
    <col min="9223" max="9223" width="5.1640625" style="577" customWidth="1"/>
    <col min="9224" max="9224" width="17.1640625" style="577" customWidth="1"/>
    <col min="9225" max="9225" width="4.5" style="577" customWidth="1"/>
    <col min="9226" max="9226" width="16.1640625" style="577" customWidth="1"/>
    <col min="9227" max="9227" width="4.83203125" style="577" customWidth="1"/>
    <col min="9228" max="9228" width="17.1640625" style="577" customWidth="1"/>
    <col min="9229" max="9229" width="4.1640625" style="577" customWidth="1"/>
    <col min="9230" max="9471" width="12" style="577"/>
    <col min="9472" max="9472" width="7" style="577" customWidth="1"/>
    <col min="9473" max="9473" width="2.33203125" style="577" customWidth="1"/>
    <col min="9474" max="9475" width="12" style="577"/>
    <col min="9476" max="9476" width="6.5" style="577" customWidth="1"/>
    <col min="9477" max="9477" width="5.1640625" style="577" customWidth="1"/>
    <col min="9478" max="9478" width="12" style="577"/>
    <col min="9479" max="9479" width="5.1640625" style="577" customWidth="1"/>
    <col min="9480" max="9480" width="17.1640625" style="577" customWidth="1"/>
    <col min="9481" max="9481" width="4.5" style="577" customWidth="1"/>
    <col min="9482" max="9482" width="16.1640625" style="577" customWidth="1"/>
    <col min="9483" max="9483" width="4.83203125" style="577" customWidth="1"/>
    <col min="9484" max="9484" width="17.1640625" style="577" customWidth="1"/>
    <col min="9485" max="9485" width="4.1640625" style="577" customWidth="1"/>
    <col min="9486" max="9727" width="12" style="577"/>
    <col min="9728" max="9728" width="7" style="577" customWidth="1"/>
    <col min="9729" max="9729" width="2.33203125" style="577" customWidth="1"/>
    <col min="9730" max="9731" width="12" style="577"/>
    <col min="9732" max="9732" width="6.5" style="577" customWidth="1"/>
    <col min="9733" max="9733" width="5.1640625" style="577" customWidth="1"/>
    <col min="9734" max="9734" width="12" style="577"/>
    <col min="9735" max="9735" width="5.1640625" style="577" customWidth="1"/>
    <col min="9736" max="9736" width="17.1640625" style="577" customWidth="1"/>
    <col min="9737" max="9737" width="4.5" style="577" customWidth="1"/>
    <col min="9738" max="9738" width="16.1640625" style="577" customWidth="1"/>
    <col min="9739" max="9739" width="4.83203125" style="577" customWidth="1"/>
    <col min="9740" max="9740" width="17.1640625" style="577" customWidth="1"/>
    <col min="9741" max="9741" width="4.1640625" style="577" customWidth="1"/>
    <col min="9742" max="9983" width="12" style="577"/>
    <col min="9984" max="9984" width="7" style="577" customWidth="1"/>
    <col min="9985" max="9985" width="2.33203125" style="577" customWidth="1"/>
    <col min="9986" max="9987" width="12" style="577"/>
    <col min="9988" max="9988" width="6.5" style="577" customWidth="1"/>
    <col min="9989" max="9989" width="5.1640625" style="577" customWidth="1"/>
    <col min="9990" max="9990" width="12" style="577"/>
    <col min="9991" max="9991" width="5.1640625" style="577" customWidth="1"/>
    <col min="9992" max="9992" width="17.1640625" style="577" customWidth="1"/>
    <col min="9993" max="9993" width="4.5" style="577" customWidth="1"/>
    <col min="9994" max="9994" width="16.1640625" style="577" customWidth="1"/>
    <col min="9995" max="9995" width="4.83203125" style="577" customWidth="1"/>
    <col min="9996" max="9996" width="17.1640625" style="577" customWidth="1"/>
    <col min="9997" max="9997" width="4.1640625" style="577" customWidth="1"/>
    <col min="9998" max="10239" width="12" style="577"/>
    <col min="10240" max="10240" width="7" style="577" customWidth="1"/>
    <col min="10241" max="10241" width="2.33203125" style="577" customWidth="1"/>
    <col min="10242" max="10243" width="12" style="577"/>
    <col min="10244" max="10244" width="6.5" style="577" customWidth="1"/>
    <col min="10245" max="10245" width="5.1640625" style="577" customWidth="1"/>
    <col min="10246" max="10246" width="12" style="577"/>
    <col min="10247" max="10247" width="5.1640625" style="577" customWidth="1"/>
    <col min="10248" max="10248" width="17.1640625" style="577" customWidth="1"/>
    <col min="10249" max="10249" width="4.5" style="577" customWidth="1"/>
    <col min="10250" max="10250" width="16.1640625" style="577" customWidth="1"/>
    <col min="10251" max="10251" width="4.83203125" style="577" customWidth="1"/>
    <col min="10252" max="10252" width="17.1640625" style="577" customWidth="1"/>
    <col min="10253" max="10253" width="4.1640625" style="577" customWidth="1"/>
    <col min="10254" max="10495" width="12" style="577"/>
    <col min="10496" max="10496" width="7" style="577" customWidth="1"/>
    <col min="10497" max="10497" width="2.33203125" style="577" customWidth="1"/>
    <col min="10498" max="10499" width="12" style="577"/>
    <col min="10500" max="10500" width="6.5" style="577" customWidth="1"/>
    <col min="10501" max="10501" width="5.1640625" style="577" customWidth="1"/>
    <col min="10502" max="10502" width="12" style="577"/>
    <col min="10503" max="10503" width="5.1640625" style="577" customWidth="1"/>
    <col min="10504" max="10504" width="17.1640625" style="577" customWidth="1"/>
    <col min="10505" max="10505" width="4.5" style="577" customWidth="1"/>
    <col min="10506" max="10506" width="16.1640625" style="577" customWidth="1"/>
    <col min="10507" max="10507" width="4.83203125" style="577" customWidth="1"/>
    <col min="10508" max="10508" width="17.1640625" style="577" customWidth="1"/>
    <col min="10509" max="10509" width="4.1640625" style="577" customWidth="1"/>
    <col min="10510" max="10751" width="12" style="577"/>
    <col min="10752" max="10752" width="7" style="577" customWidth="1"/>
    <col min="10753" max="10753" width="2.33203125" style="577" customWidth="1"/>
    <col min="10754" max="10755" width="12" style="577"/>
    <col min="10756" max="10756" width="6.5" style="577" customWidth="1"/>
    <col min="10757" max="10757" width="5.1640625" style="577" customWidth="1"/>
    <col min="10758" max="10758" width="12" style="577"/>
    <col min="10759" max="10759" width="5.1640625" style="577" customWidth="1"/>
    <col min="10760" max="10760" width="17.1640625" style="577" customWidth="1"/>
    <col min="10761" max="10761" width="4.5" style="577" customWidth="1"/>
    <col min="10762" max="10762" width="16.1640625" style="577" customWidth="1"/>
    <col min="10763" max="10763" width="4.83203125" style="577" customWidth="1"/>
    <col min="10764" max="10764" width="17.1640625" style="577" customWidth="1"/>
    <col min="10765" max="10765" width="4.1640625" style="577" customWidth="1"/>
    <col min="10766" max="11007" width="12" style="577"/>
    <col min="11008" max="11008" width="7" style="577" customWidth="1"/>
    <col min="11009" max="11009" width="2.33203125" style="577" customWidth="1"/>
    <col min="11010" max="11011" width="12" style="577"/>
    <col min="11012" max="11012" width="6.5" style="577" customWidth="1"/>
    <col min="11013" max="11013" width="5.1640625" style="577" customWidth="1"/>
    <col min="11014" max="11014" width="12" style="577"/>
    <col min="11015" max="11015" width="5.1640625" style="577" customWidth="1"/>
    <col min="11016" max="11016" width="17.1640625" style="577" customWidth="1"/>
    <col min="11017" max="11017" width="4.5" style="577" customWidth="1"/>
    <col min="11018" max="11018" width="16.1640625" style="577" customWidth="1"/>
    <col min="11019" max="11019" width="4.83203125" style="577" customWidth="1"/>
    <col min="11020" max="11020" width="17.1640625" style="577" customWidth="1"/>
    <col min="11021" max="11021" width="4.1640625" style="577" customWidth="1"/>
    <col min="11022" max="11263" width="12" style="577"/>
    <col min="11264" max="11264" width="7" style="577" customWidth="1"/>
    <col min="11265" max="11265" width="2.33203125" style="577" customWidth="1"/>
    <col min="11266" max="11267" width="12" style="577"/>
    <col min="11268" max="11268" width="6.5" style="577" customWidth="1"/>
    <col min="11269" max="11269" width="5.1640625" style="577" customWidth="1"/>
    <col min="11270" max="11270" width="12" style="577"/>
    <col min="11271" max="11271" width="5.1640625" style="577" customWidth="1"/>
    <col min="11272" max="11272" width="17.1640625" style="577" customWidth="1"/>
    <col min="11273" max="11273" width="4.5" style="577" customWidth="1"/>
    <col min="11274" max="11274" width="16.1640625" style="577" customWidth="1"/>
    <col min="11275" max="11275" width="4.83203125" style="577" customWidth="1"/>
    <col min="11276" max="11276" width="17.1640625" style="577" customWidth="1"/>
    <col min="11277" max="11277" width="4.1640625" style="577" customWidth="1"/>
    <col min="11278" max="11519" width="12" style="577"/>
    <col min="11520" max="11520" width="7" style="577" customWidth="1"/>
    <col min="11521" max="11521" width="2.33203125" style="577" customWidth="1"/>
    <col min="11522" max="11523" width="12" style="577"/>
    <col min="11524" max="11524" width="6.5" style="577" customWidth="1"/>
    <col min="11525" max="11525" width="5.1640625" style="577" customWidth="1"/>
    <col min="11526" max="11526" width="12" style="577"/>
    <col min="11527" max="11527" width="5.1640625" style="577" customWidth="1"/>
    <col min="11528" max="11528" width="17.1640625" style="577" customWidth="1"/>
    <col min="11529" max="11529" width="4.5" style="577" customWidth="1"/>
    <col min="11530" max="11530" width="16.1640625" style="577" customWidth="1"/>
    <col min="11531" max="11531" width="4.83203125" style="577" customWidth="1"/>
    <col min="11532" max="11532" width="17.1640625" style="577" customWidth="1"/>
    <col min="11533" max="11533" width="4.1640625" style="577" customWidth="1"/>
    <col min="11534" max="11775" width="12" style="577"/>
    <col min="11776" max="11776" width="7" style="577" customWidth="1"/>
    <col min="11777" max="11777" width="2.33203125" style="577" customWidth="1"/>
    <col min="11778" max="11779" width="12" style="577"/>
    <col min="11780" max="11780" width="6.5" style="577" customWidth="1"/>
    <col min="11781" max="11781" width="5.1640625" style="577" customWidth="1"/>
    <col min="11782" max="11782" width="12" style="577"/>
    <col min="11783" max="11783" width="5.1640625" style="577" customWidth="1"/>
    <col min="11784" max="11784" width="17.1640625" style="577" customWidth="1"/>
    <col min="11785" max="11785" width="4.5" style="577" customWidth="1"/>
    <col min="11786" max="11786" width="16.1640625" style="577" customWidth="1"/>
    <col min="11787" max="11787" width="4.83203125" style="577" customWidth="1"/>
    <col min="11788" max="11788" width="17.1640625" style="577" customWidth="1"/>
    <col min="11789" max="11789" width="4.1640625" style="577" customWidth="1"/>
    <col min="11790" max="12031" width="12" style="577"/>
    <col min="12032" max="12032" width="7" style="577" customWidth="1"/>
    <col min="12033" max="12033" width="2.33203125" style="577" customWidth="1"/>
    <col min="12034" max="12035" width="12" style="577"/>
    <col min="12036" max="12036" width="6.5" style="577" customWidth="1"/>
    <col min="12037" max="12037" width="5.1640625" style="577" customWidth="1"/>
    <col min="12038" max="12038" width="12" style="577"/>
    <col min="12039" max="12039" width="5.1640625" style="577" customWidth="1"/>
    <col min="12040" max="12040" width="17.1640625" style="577" customWidth="1"/>
    <col min="12041" max="12041" width="4.5" style="577" customWidth="1"/>
    <col min="12042" max="12042" width="16.1640625" style="577" customWidth="1"/>
    <col min="12043" max="12043" width="4.83203125" style="577" customWidth="1"/>
    <col min="12044" max="12044" width="17.1640625" style="577" customWidth="1"/>
    <col min="12045" max="12045" width="4.1640625" style="577" customWidth="1"/>
    <col min="12046" max="12287" width="12" style="577"/>
    <col min="12288" max="12288" width="7" style="577" customWidth="1"/>
    <col min="12289" max="12289" width="2.33203125" style="577" customWidth="1"/>
    <col min="12290" max="12291" width="12" style="577"/>
    <col min="12292" max="12292" width="6.5" style="577" customWidth="1"/>
    <col min="12293" max="12293" width="5.1640625" style="577" customWidth="1"/>
    <col min="12294" max="12294" width="12" style="577"/>
    <col min="12295" max="12295" width="5.1640625" style="577" customWidth="1"/>
    <col min="12296" max="12296" width="17.1640625" style="577" customWidth="1"/>
    <col min="12297" max="12297" width="4.5" style="577" customWidth="1"/>
    <col min="12298" max="12298" width="16.1640625" style="577" customWidth="1"/>
    <col min="12299" max="12299" width="4.83203125" style="577" customWidth="1"/>
    <col min="12300" max="12300" width="17.1640625" style="577" customWidth="1"/>
    <col min="12301" max="12301" width="4.1640625" style="577" customWidth="1"/>
    <col min="12302" max="12543" width="12" style="577"/>
    <col min="12544" max="12544" width="7" style="577" customWidth="1"/>
    <col min="12545" max="12545" width="2.33203125" style="577" customWidth="1"/>
    <col min="12546" max="12547" width="12" style="577"/>
    <col min="12548" max="12548" width="6.5" style="577" customWidth="1"/>
    <col min="12549" max="12549" width="5.1640625" style="577" customWidth="1"/>
    <col min="12550" max="12550" width="12" style="577"/>
    <col min="12551" max="12551" width="5.1640625" style="577" customWidth="1"/>
    <col min="12552" max="12552" width="17.1640625" style="577" customWidth="1"/>
    <col min="12553" max="12553" width="4.5" style="577" customWidth="1"/>
    <col min="12554" max="12554" width="16.1640625" style="577" customWidth="1"/>
    <col min="12555" max="12555" width="4.83203125" style="577" customWidth="1"/>
    <col min="12556" max="12556" width="17.1640625" style="577" customWidth="1"/>
    <col min="12557" max="12557" width="4.1640625" style="577" customWidth="1"/>
    <col min="12558" max="12799" width="12" style="577"/>
    <col min="12800" max="12800" width="7" style="577" customWidth="1"/>
    <col min="12801" max="12801" width="2.33203125" style="577" customWidth="1"/>
    <col min="12802" max="12803" width="12" style="577"/>
    <col min="12804" max="12804" width="6.5" style="577" customWidth="1"/>
    <col min="12805" max="12805" width="5.1640625" style="577" customWidth="1"/>
    <col min="12806" max="12806" width="12" style="577"/>
    <col min="12807" max="12807" width="5.1640625" style="577" customWidth="1"/>
    <col min="12808" max="12808" width="17.1640625" style="577" customWidth="1"/>
    <col min="12809" max="12809" width="4.5" style="577" customWidth="1"/>
    <col min="12810" max="12810" width="16.1640625" style="577" customWidth="1"/>
    <col min="12811" max="12811" width="4.83203125" style="577" customWidth="1"/>
    <col min="12812" max="12812" width="17.1640625" style="577" customWidth="1"/>
    <col min="12813" max="12813" width="4.1640625" style="577" customWidth="1"/>
    <col min="12814" max="13055" width="12" style="577"/>
    <col min="13056" max="13056" width="7" style="577" customWidth="1"/>
    <col min="13057" max="13057" width="2.33203125" style="577" customWidth="1"/>
    <col min="13058" max="13059" width="12" style="577"/>
    <col min="13060" max="13060" width="6.5" style="577" customWidth="1"/>
    <col min="13061" max="13061" width="5.1640625" style="577" customWidth="1"/>
    <col min="13062" max="13062" width="12" style="577"/>
    <col min="13063" max="13063" width="5.1640625" style="577" customWidth="1"/>
    <col min="13064" max="13064" width="17.1640625" style="577" customWidth="1"/>
    <col min="13065" max="13065" width="4.5" style="577" customWidth="1"/>
    <col min="13066" max="13066" width="16.1640625" style="577" customWidth="1"/>
    <col min="13067" max="13067" width="4.83203125" style="577" customWidth="1"/>
    <col min="13068" max="13068" width="17.1640625" style="577" customWidth="1"/>
    <col min="13069" max="13069" width="4.1640625" style="577" customWidth="1"/>
    <col min="13070" max="13311" width="12" style="577"/>
    <col min="13312" max="13312" width="7" style="577" customWidth="1"/>
    <col min="13313" max="13313" width="2.33203125" style="577" customWidth="1"/>
    <col min="13314" max="13315" width="12" style="577"/>
    <col min="13316" max="13316" width="6.5" style="577" customWidth="1"/>
    <col min="13317" max="13317" width="5.1640625" style="577" customWidth="1"/>
    <col min="13318" max="13318" width="12" style="577"/>
    <col min="13319" max="13319" width="5.1640625" style="577" customWidth="1"/>
    <col min="13320" max="13320" width="17.1640625" style="577" customWidth="1"/>
    <col min="13321" max="13321" width="4.5" style="577" customWidth="1"/>
    <col min="13322" max="13322" width="16.1640625" style="577" customWidth="1"/>
    <col min="13323" max="13323" width="4.83203125" style="577" customWidth="1"/>
    <col min="13324" max="13324" width="17.1640625" style="577" customWidth="1"/>
    <col min="13325" max="13325" width="4.1640625" style="577" customWidth="1"/>
    <col min="13326" max="13567" width="12" style="577"/>
    <col min="13568" max="13568" width="7" style="577" customWidth="1"/>
    <col min="13569" max="13569" width="2.33203125" style="577" customWidth="1"/>
    <col min="13570" max="13571" width="12" style="577"/>
    <col min="13572" max="13572" width="6.5" style="577" customWidth="1"/>
    <col min="13573" max="13573" width="5.1640625" style="577" customWidth="1"/>
    <col min="13574" max="13574" width="12" style="577"/>
    <col min="13575" max="13575" width="5.1640625" style="577" customWidth="1"/>
    <col min="13576" max="13576" width="17.1640625" style="577" customWidth="1"/>
    <col min="13577" max="13577" width="4.5" style="577" customWidth="1"/>
    <col min="13578" max="13578" width="16.1640625" style="577" customWidth="1"/>
    <col min="13579" max="13579" width="4.83203125" style="577" customWidth="1"/>
    <col min="13580" max="13580" width="17.1640625" style="577" customWidth="1"/>
    <col min="13581" max="13581" width="4.1640625" style="577" customWidth="1"/>
    <col min="13582" max="13823" width="12" style="577"/>
    <col min="13824" max="13824" width="7" style="577" customWidth="1"/>
    <col min="13825" max="13825" width="2.33203125" style="577" customWidth="1"/>
    <col min="13826" max="13827" width="12" style="577"/>
    <col min="13828" max="13828" width="6.5" style="577" customWidth="1"/>
    <col min="13829" max="13829" width="5.1640625" style="577" customWidth="1"/>
    <col min="13830" max="13830" width="12" style="577"/>
    <col min="13831" max="13831" width="5.1640625" style="577" customWidth="1"/>
    <col min="13832" max="13832" width="17.1640625" style="577" customWidth="1"/>
    <col min="13833" max="13833" width="4.5" style="577" customWidth="1"/>
    <col min="13834" max="13834" width="16.1640625" style="577" customWidth="1"/>
    <col min="13835" max="13835" width="4.83203125" style="577" customWidth="1"/>
    <col min="13836" max="13836" width="17.1640625" style="577" customWidth="1"/>
    <col min="13837" max="13837" width="4.1640625" style="577" customWidth="1"/>
    <col min="13838" max="14079" width="12" style="577"/>
    <col min="14080" max="14080" width="7" style="577" customWidth="1"/>
    <col min="14081" max="14081" width="2.33203125" style="577" customWidth="1"/>
    <col min="14082" max="14083" width="12" style="577"/>
    <col min="14084" max="14084" width="6.5" style="577" customWidth="1"/>
    <col min="14085" max="14085" width="5.1640625" style="577" customWidth="1"/>
    <col min="14086" max="14086" width="12" style="577"/>
    <col min="14087" max="14087" width="5.1640625" style="577" customWidth="1"/>
    <col min="14088" max="14088" width="17.1640625" style="577" customWidth="1"/>
    <col min="14089" max="14089" width="4.5" style="577" customWidth="1"/>
    <col min="14090" max="14090" width="16.1640625" style="577" customWidth="1"/>
    <col min="14091" max="14091" width="4.83203125" style="577" customWidth="1"/>
    <col min="14092" max="14092" width="17.1640625" style="577" customWidth="1"/>
    <col min="14093" max="14093" width="4.1640625" style="577" customWidth="1"/>
    <col min="14094" max="14335" width="12" style="577"/>
    <col min="14336" max="14336" width="7" style="577" customWidth="1"/>
    <col min="14337" max="14337" width="2.33203125" style="577" customWidth="1"/>
    <col min="14338" max="14339" width="12" style="577"/>
    <col min="14340" max="14340" width="6.5" style="577" customWidth="1"/>
    <col min="14341" max="14341" width="5.1640625" style="577" customWidth="1"/>
    <col min="14342" max="14342" width="12" style="577"/>
    <col min="14343" max="14343" width="5.1640625" style="577" customWidth="1"/>
    <col min="14344" max="14344" width="17.1640625" style="577" customWidth="1"/>
    <col min="14345" max="14345" width="4.5" style="577" customWidth="1"/>
    <col min="14346" max="14346" width="16.1640625" style="577" customWidth="1"/>
    <col min="14347" max="14347" width="4.83203125" style="577" customWidth="1"/>
    <col min="14348" max="14348" width="17.1640625" style="577" customWidth="1"/>
    <col min="14349" max="14349" width="4.1640625" style="577" customWidth="1"/>
    <col min="14350" max="14591" width="12" style="577"/>
    <col min="14592" max="14592" width="7" style="577" customWidth="1"/>
    <col min="14593" max="14593" width="2.33203125" style="577" customWidth="1"/>
    <col min="14594" max="14595" width="12" style="577"/>
    <col min="14596" max="14596" width="6.5" style="577" customWidth="1"/>
    <col min="14597" max="14597" width="5.1640625" style="577" customWidth="1"/>
    <col min="14598" max="14598" width="12" style="577"/>
    <col min="14599" max="14599" width="5.1640625" style="577" customWidth="1"/>
    <col min="14600" max="14600" width="17.1640625" style="577" customWidth="1"/>
    <col min="14601" max="14601" width="4.5" style="577" customWidth="1"/>
    <col min="14602" max="14602" width="16.1640625" style="577" customWidth="1"/>
    <col min="14603" max="14603" width="4.83203125" style="577" customWidth="1"/>
    <col min="14604" max="14604" width="17.1640625" style="577" customWidth="1"/>
    <col min="14605" max="14605" width="4.1640625" style="577" customWidth="1"/>
    <col min="14606" max="14847" width="12" style="577"/>
    <col min="14848" max="14848" width="7" style="577" customWidth="1"/>
    <col min="14849" max="14849" width="2.33203125" style="577" customWidth="1"/>
    <col min="14850" max="14851" width="12" style="577"/>
    <col min="14852" max="14852" width="6.5" style="577" customWidth="1"/>
    <col min="14853" max="14853" width="5.1640625" style="577" customWidth="1"/>
    <col min="14854" max="14854" width="12" style="577"/>
    <col min="14855" max="14855" width="5.1640625" style="577" customWidth="1"/>
    <col min="14856" max="14856" width="17.1640625" style="577" customWidth="1"/>
    <col min="14857" max="14857" width="4.5" style="577" customWidth="1"/>
    <col min="14858" max="14858" width="16.1640625" style="577" customWidth="1"/>
    <col min="14859" max="14859" width="4.83203125" style="577" customWidth="1"/>
    <col min="14860" max="14860" width="17.1640625" style="577" customWidth="1"/>
    <col min="14861" max="14861" width="4.1640625" style="577" customWidth="1"/>
    <col min="14862" max="15103" width="12" style="577"/>
    <col min="15104" max="15104" width="7" style="577" customWidth="1"/>
    <col min="15105" max="15105" width="2.33203125" style="577" customWidth="1"/>
    <col min="15106" max="15107" width="12" style="577"/>
    <col min="15108" max="15108" width="6.5" style="577" customWidth="1"/>
    <col min="15109" max="15109" width="5.1640625" style="577" customWidth="1"/>
    <col min="15110" max="15110" width="12" style="577"/>
    <col min="15111" max="15111" width="5.1640625" style="577" customWidth="1"/>
    <col min="15112" max="15112" width="17.1640625" style="577" customWidth="1"/>
    <col min="15113" max="15113" width="4.5" style="577" customWidth="1"/>
    <col min="15114" max="15114" width="16.1640625" style="577" customWidth="1"/>
    <col min="15115" max="15115" width="4.83203125" style="577" customWidth="1"/>
    <col min="15116" max="15116" width="17.1640625" style="577" customWidth="1"/>
    <col min="15117" max="15117" width="4.1640625" style="577" customWidth="1"/>
    <col min="15118" max="15359" width="12" style="577"/>
    <col min="15360" max="15360" width="7" style="577" customWidth="1"/>
    <col min="15361" max="15361" width="2.33203125" style="577" customWidth="1"/>
    <col min="15362" max="15363" width="12" style="577"/>
    <col min="15364" max="15364" width="6.5" style="577" customWidth="1"/>
    <col min="15365" max="15365" width="5.1640625" style="577" customWidth="1"/>
    <col min="15366" max="15366" width="12" style="577"/>
    <col min="15367" max="15367" width="5.1640625" style="577" customWidth="1"/>
    <col min="15368" max="15368" width="17.1640625" style="577" customWidth="1"/>
    <col min="15369" max="15369" width="4.5" style="577" customWidth="1"/>
    <col min="15370" max="15370" width="16.1640625" style="577" customWidth="1"/>
    <col min="15371" max="15371" width="4.83203125" style="577" customWidth="1"/>
    <col min="15372" max="15372" width="17.1640625" style="577" customWidth="1"/>
    <col min="15373" max="15373" width="4.1640625" style="577" customWidth="1"/>
    <col min="15374" max="15615" width="12" style="577"/>
    <col min="15616" max="15616" width="7" style="577" customWidth="1"/>
    <col min="15617" max="15617" width="2.33203125" style="577" customWidth="1"/>
    <col min="15618" max="15619" width="12" style="577"/>
    <col min="15620" max="15620" width="6.5" style="577" customWidth="1"/>
    <col min="15621" max="15621" width="5.1640625" style="577" customWidth="1"/>
    <col min="15622" max="15622" width="12" style="577"/>
    <col min="15623" max="15623" width="5.1640625" style="577" customWidth="1"/>
    <col min="15624" max="15624" width="17.1640625" style="577" customWidth="1"/>
    <col min="15625" max="15625" width="4.5" style="577" customWidth="1"/>
    <col min="15626" max="15626" width="16.1640625" style="577" customWidth="1"/>
    <col min="15627" max="15627" width="4.83203125" style="577" customWidth="1"/>
    <col min="15628" max="15628" width="17.1640625" style="577" customWidth="1"/>
    <col min="15629" max="15629" width="4.1640625" style="577" customWidth="1"/>
    <col min="15630" max="15871" width="12" style="577"/>
    <col min="15872" max="15872" width="7" style="577" customWidth="1"/>
    <col min="15873" max="15873" width="2.33203125" style="577" customWidth="1"/>
    <col min="15874" max="15875" width="12" style="577"/>
    <col min="15876" max="15876" width="6.5" style="577" customWidth="1"/>
    <col min="15877" max="15877" width="5.1640625" style="577" customWidth="1"/>
    <col min="15878" max="15878" width="12" style="577"/>
    <col min="15879" max="15879" width="5.1640625" style="577" customWidth="1"/>
    <col min="15880" max="15880" width="17.1640625" style="577" customWidth="1"/>
    <col min="15881" max="15881" width="4.5" style="577" customWidth="1"/>
    <col min="15882" max="15882" width="16.1640625" style="577" customWidth="1"/>
    <col min="15883" max="15883" width="4.83203125" style="577" customWidth="1"/>
    <col min="15884" max="15884" width="17.1640625" style="577" customWidth="1"/>
    <col min="15885" max="15885" width="4.1640625" style="577" customWidth="1"/>
    <col min="15886" max="16127" width="12" style="577"/>
    <col min="16128" max="16128" width="7" style="577" customWidth="1"/>
    <col min="16129" max="16129" width="2.33203125" style="577" customWidth="1"/>
    <col min="16130" max="16131" width="12" style="577"/>
    <col min="16132" max="16132" width="6.5" style="577" customWidth="1"/>
    <col min="16133" max="16133" width="5.1640625" style="577" customWidth="1"/>
    <col min="16134" max="16134" width="12" style="577"/>
    <col min="16135" max="16135" width="5.1640625" style="577" customWidth="1"/>
    <col min="16136" max="16136" width="17.1640625" style="577" customWidth="1"/>
    <col min="16137" max="16137" width="4.5" style="577" customWidth="1"/>
    <col min="16138" max="16138" width="16.1640625" style="577" customWidth="1"/>
    <col min="16139" max="16139" width="4.83203125" style="577" customWidth="1"/>
    <col min="16140" max="16140" width="17.1640625" style="577" customWidth="1"/>
    <col min="16141" max="16141" width="4.1640625" style="577" customWidth="1"/>
    <col min="16142" max="16384" width="12" style="577"/>
  </cols>
  <sheetData>
    <row r="1" spans="1:14">
      <c r="J1" s="578" t="str">
        <f>+'Unpro. Amount Change'!J1</f>
        <v>W22-09-04</v>
      </c>
    </row>
    <row r="2" spans="1:14">
      <c r="J2" s="579" t="str">
        <f>+'Unpro. Amount Change'!J2</f>
        <v>UPT Exhibit A</v>
      </c>
    </row>
    <row r="3" spans="1:14">
      <c r="J3" s="579" t="s">
        <v>385</v>
      </c>
    </row>
    <row r="4" spans="1:14">
      <c r="M4" s="580"/>
    </row>
    <row r="5" spans="1:14">
      <c r="C5" s="581" t="s">
        <v>47</v>
      </c>
      <c r="D5" s="860"/>
      <c r="E5" s="582"/>
      <c r="F5" s="582"/>
      <c r="G5" s="582"/>
      <c r="H5" s="582"/>
      <c r="I5" s="582"/>
      <c r="J5" s="582"/>
      <c r="K5" s="582"/>
      <c r="L5" s="582"/>
      <c r="M5" s="580"/>
    </row>
    <row r="6" spans="1:14">
      <c r="C6" s="1035" t="s">
        <v>305</v>
      </c>
      <c r="D6" s="1035"/>
      <c r="E6" s="1035"/>
      <c r="F6" s="1035"/>
      <c r="G6" s="1035"/>
      <c r="H6" s="1035"/>
      <c r="I6" s="1035"/>
      <c r="J6" s="1035"/>
      <c r="K6" s="1035"/>
      <c r="L6" s="1035"/>
      <c r="M6" s="583"/>
    </row>
    <row r="7" spans="1:14" hidden="1">
      <c r="C7" s="581" t="s">
        <v>174</v>
      </c>
      <c r="D7" s="860"/>
      <c r="E7" s="582"/>
      <c r="F7" s="582"/>
      <c r="G7" s="582"/>
      <c r="H7" s="582"/>
      <c r="I7" s="582"/>
      <c r="J7" s="582"/>
      <c r="K7" s="582"/>
      <c r="L7" s="582"/>
      <c r="M7" s="580"/>
    </row>
    <row r="8" spans="1:14" ht="16.5" thickBot="1">
      <c r="C8" s="581" t="s">
        <v>48</v>
      </c>
      <c r="D8" s="860"/>
      <c r="E8" s="582"/>
      <c r="F8" s="582"/>
      <c r="G8" s="582"/>
      <c r="H8" s="582"/>
      <c r="I8" s="582"/>
      <c r="J8" s="582"/>
      <c r="K8" s="582"/>
      <c r="L8" s="582"/>
    </row>
    <row r="9" spans="1:14">
      <c r="D9" s="291" t="str">
        <f>+'Effects of CPA Avg. Bill'!D9</f>
        <v>UG-210755</v>
      </c>
      <c r="F9" s="291"/>
      <c r="G9" s="291"/>
      <c r="H9" s="291"/>
      <c r="I9" s="469" t="s">
        <v>6</v>
      </c>
      <c r="J9" s="291"/>
      <c r="K9" s="836" t="s">
        <v>6</v>
      </c>
    </row>
    <row r="10" spans="1:14">
      <c r="D10" s="469" t="s">
        <v>79</v>
      </c>
      <c r="F10" s="469" t="s">
        <v>154</v>
      </c>
      <c r="G10" s="469" t="s">
        <v>154</v>
      </c>
      <c r="H10" s="469" t="s">
        <v>6</v>
      </c>
      <c r="I10" s="471">
        <v>44866</v>
      </c>
      <c r="J10" s="291"/>
      <c r="K10" s="837">
        <v>44866</v>
      </c>
    </row>
    <row r="11" spans="1:14">
      <c r="A11" s="585" t="s">
        <v>7</v>
      </c>
      <c r="D11" s="469" t="s">
        <v>80</v>
      </c>
      <c r="E11" s="584" t="s">
        <v>229</v>
      </c>
      <c r="F11" s="471">
        <f>+'Effects of CPA Avg. Bill'!F11</f>
        <v>44835</v>
      </c>
      <c r="G11" s="471">
        <f>+F11</f>
        <v>44835</v>
      </c>
      <c r="H11" s="471">
        <v>44866</v>
      </c>
      <c r="I11" s="469" t="s">
        <v>306</v>
      </c>
      <c r="J11" s="469" t="s">
        <v>241</v>
      </c>
      <c r="K11" s="838" t="s">
        <v>307</v>
      </c>
      <c r="L11" s="584"/>
      <c r="N11" s="582"/>
    </row>
    <row r="12" spans="1:14">
      <c r="A12" s="585" t="s">
        <v>9</v>
      </c>
      <c r="C12" s="586" t="s">
        <v>228</v>
      </c>
      <c r="D12" s="479" t="s">
        <v>236</v>
      </c>
      <c r="E12" s="586" t="s">
        <v>230</v>
      </c>
      <c r="F12" s="479" t="s">
        <v>231</v>
      </c>
      <c r="G12" s="479" t="s">
        <v>235</v>
      </c>
      <c r="H12" s="479" t="s">
        <v>307</v>
      </c>
      <c r="I12" s="479" t="s">
        <v>235</v>
      </c>
      <c r="J12" s="479" t="s">
        <v>242</v>
      </c>
      <c r="K12" s="839" t="s">
        <v>243</v>
      </c>
      <c r="L12" s="584"/>
      <c r="N12" s="582"/>
    </row>
    <row r="13" spans="1:14">
      <c r="A13" s="585"/>
      <c r="C13" s="584"/>
      <c r="D13" s="469"/>
      <c r="E13" s="584"/>
      <c r="F13" s="584"/>
      <c r="G13" s="584" t="s">
        <v>237</v>
      </c>
      <c r="H13" s="584"/>
      <c r="I13" s="584" t="s">
        <v>240</v>
      </c>
      <c r="K13" s="701"/>
      <c r="L13" s="584"/>
      <c r="N13" s="582"/>
    </row>
    <row r="14" spans="1:14">
      <c r="C14" s="584" t="s">
        <v>14</v>
      </c>
      <c r="D14" s="469" t="s">
        <v>15</v>
      </c>
      <c r="E14" s="584" t="s">
        <v>16</v>
      </c>
      <c r="F14" s="584" t="s">
        <v>17</v>
      </c>
      <c r="G14" s="584" t="s">
        <v>18</v>
      </c>
      <c r="H14" s="584" t="s">
        <v>81</v>
      </c>
      <c r="I14" s="584" t="s">
        <v>62</v>
      </c>
      <c r="J14" s="584" t="s">
        <v>63</v>
      </c>
      <c r="K14" s="702" t="s">
        <v>64</v>
      </c>
    </row>
    <row r="15" spans="1:14">
      <c r="K15" s="702"/>
    </row>
    <row r="16" spans="1:14">
      <c r="A16" s="577">
        <v>1</v>
      </c>
      <c r="C16" s="577" t="s">
        <v>218</v>
      </c>
      <c r="D16" s="476">
        <f>+'Effects of CPA Avg. Bill'!D16</f>
        <v>54</v>
      </c>
      <c r="E16" s="590">
        <f>+'Effects of CPA Avg. Bill'!E16</f>
        <v>5</v>
      </c>
      <c r="F16" s="591">
        <f>+'Effects of CPA Avg. Bill'!F16</f>
        <v>1.03712</v>
      </c>
      <c r="G16" s="592">
        <f>+E16+(D16*F16)</f>
        <v>61.004480000000001</v>
      </c>
      <c r="H16" s="591">
        <f>+F16+'Unpro. Amount Change'!J16</f>
        <v>1.0368011482460058</v>
      </c>
      <c r="I16" s="918">
        <f>E16+(D16*H16)</f>
        <v>60.987262005284315</v>
      </c>
      <c r="J16" s="594">
        <f>+I16-G16</f>
        <v>-1.7217994715686302E-2</v>
      </c>
      <c r="K16" s="703">
        <f>+J16/G16</f>
        <v>-2.8224147989928445E-4</v>
      </c>
      <c r="L16" s="592"/>
      <c r="N16" s="595"/>
    </row>
    <row r="17" spans="1:14">
      <c r="D17" s="476"/>
      <c r="E17" s="590"/>
      <c r="F17" s="591"/>
      <c r="G17" s="592"/>
      <c r="H17" s="591"/>
      <c r="I17" s="918"/>
      <c r="J17" s="594"/>
      <c r="K17" s="703"/>
    </row>
    <row r="18" spans="1:14">
      <c r="A18" s="577">
        <v>2</v>
      </c>
      <c r="C18" s="577" t="s">
        <v>219</v>
      </c>
      <c r="D18" s="476">
        <f>+'Effects of CPA Avg. Bill'!D18</f>
        <v>271</v>
      </c>
      <c r="E18" s="590">
        <f>+'Effects of CPA Avg. Bill'!E18</f>
        <v>13</v>
      </c>
      <c r="F18" s="591">
        <f>+'Effects of CPA Avg. Bill'!F18</f>
        <v>0.97065999999999997</v>
      </c>
      <c r="G18" s="592">
        <f>+E18+(D18*F18)</f>
        <v>276.04885999999999</v>
      </c>
      <c r="H18" s="591">
        <f>+F18+'Unpro. Amount Change'!J17</f>
        <v>0.97041678826063937</v>
      </c>
      <c r="I18" s="918">
        <f>E18+(D18*H18)</f>
        <v>275.98294961863326</v>
      </c>
      <c r="J18" s="594">
        <f t="shared" ref="J18:J30" si="0">+I18-G18</f>
        <v>-6.5910381366734327E-2</v>
      </c>
      <c r="K18" s="703">
        <f t="shared" ref="K18:K42" si="1">+J18/G18</f>
        <v>-2.3876346153624517E-4</v>
      </c>
      <c r="L18" s="592"/>
      <c r="N18" s="595"/>
    </row>
    <row r="19" spans="1:14">
      <c r="D19" s="476"/>
      <c r="E19" s="590"/>
      <c r="F19" s="591"/>
      <c r="G19" s="592"/>
      <c r="H19" s="591"/>
      <c r="I19" s="919"/>
      <c r="J19" s="594"/>
      <c r="K19" s="703"/>
    </row>
    <row r="20" spans="1:14">
      <c r="A20" s="577">
        <v>3</v>
      </c>
      <c r="C20" s="577" t="s">
        <v>220</v>
      </c>
      <c r="D20" s="476"/>
      <c r="E20" s="590">
        <f>+'Effects of CPA Avg. Bill'!E20</f>
        <v>60</v>
      </c>
      <c r="F20" s="591"/>
      <c r="G20" s="592"/>
      <c r="H20" s="591"/>
      <c r="I20" s="919"/>
      <c r="J20" s="594"/>
      <c r="K20" s="703"/>
      <c r="L20" s="596"/>
      <c r="N20" s="595"/>
    </row>
    <row r="21" spans="1:14">
      <c r="A21" s="577">
        <v>4</v>
      </c>
      <c r="C21" s="577" t="s">
        <v>221</v>
      </c>
      <c r="D21" s="476"/>
      <c r="E21" s="590"/>
      <c r="F21" s="591">
        <f>+'Effects of CPA Avg. Bill'!F21</f>
        <v>0.89552000000000009</v>
      </c>
      <c r="G21" s="292">
        <f>+E20+(500*F21)</f>
        <v>507.76000000000005</v>
      </c>
      <c r="H21" s="591">
        <f>+F21+'Unpro. Amount Change'!J18</f>
        <v>0.89536522889313419</v>
      </c>
      <c r="I21" s="920">
        <f>+E20+(500*H21)</f>
        <v>507.68261444656707</v>
      </c>
      <c r="J21" s="594"/>
      <c r="K21" s="703"/>
      <c r="L21" s="596"/>
      <c r="N21" s="595"/>
    </row>
    <row r="22" spans="1:14">
      <c r="A22" s="577">
        <v>5</v>
      </c>
      <c r="C22" s="577" t="s">
        <v>222</v>
      </c>
      <c r="D22" s="476"/>
      <c r="E22" s="590"/>
      <c r="F22" s="591">
        <f>+'Effects of CPA Avg. Bill'!F22</f>
        <v>0.85544000000000009</v>
      </c>
      <c r="G22" s="292">
        <f>+(D24-500)*F22</f>
        <v>1276.3164800000002</v>
      </c>
      <c r="H22" s="591">
        <f>+F22+'Unpro. Amount Change'!J18</f>
        <v>0.85528522889313419</v>
      </c>
      <c r="I22" s="920">
        <f>+(D24-500)*H22</f>
        <v>1276.0855615085561</v>
      </c>
      <c r="J22" s="594"/>
      <c r="K22" s="703"/>
      <c r="L22" s="596"/>
      <c r="N22" s="595"/>
    </row>
    <row r="23" spans="1:14">
      <c r="A23" s="577">
        <v>6</v>
      </c>
      <c r="C23" s="577" t="s">
        <v>223</v>
      </c>
      <c r="D23" s="476"/>
      <c r="E23" s="590"/>
      <c r="F23" s="591">
        <f>+'Effects of CPA Avg. Bill'!F23</f>
        <v>0.84938000000000002</v>
      </c>
      <c r="G23" s="292"/>
      <c r="H23" s="591">
        <f>+F23+'Unpro. Amount Change'!J18</f>
        <v>0.84922522889313412</v>
      </c>
      <c r="I23" s="921"/>
      <c r="J23" s="594"/>
      <c r="K23" s="703"/>
      <c r="L23" s="596"/>
    </row>
    <row r="24" spans="1:14">
      <c r="A24" s="577">
        <v>7</v>
      </c>
      <c r="C24" s="585" t="s">
        <v>232</v>
      </c>
      <c r="D24" s="476">
        <f>+'Effects of CPA Avg. Bill'!D24</f>
        <v>1992</v>
      </c>
      <c r="E24" s="590"/>
      <c r="F24" s="591"/>
      <c r="G24" s="292">
        <f>+SUM((G21:G23))</f>
        <v>1784.0764800000002</v>
      </c>
      <c r="H24" s="592"/>
      <c r="I24" s="920">
        <f>+SUM(I21:I23)</f>
        <v>1783.7681759551233</v>
      </c>
      <c r="J24" s="594">
        <f t="shared" si="0"/>
        <v>-0.30830404487687701</v>
      </c>
      <c r="K24" s="703">
        <f t="shared" si="1"/>
        <v>-1.7280876034915106E-4</v>
      </c>
      <c r="L24" s="596"/>
      <c r="N24" s="595"/>
    </row>
    <row r="25" spans="1:14">
      <c r="C25" s="580"/>
      <c r="D25" s="476"/>
      <c r="E25" s="590"/>
      <c r="F25" s="591"/>
      <c r="G25" s="292"/>
      <c r="H25" s="591"/>
      <c r="I25" s="921"/>
      <c r="J25" s="594"/>
      <c r="K25" s="703"/>
      <c r="L25" s="596"/>
      <c r="N25" s="595"/>
    </row>
    <row r="26" spans="1:14">
      <c r="A26" s="577">
        <v>8</v>
      </c>
      <c r="C26" s="577" t="s">
        <v>224</v>
      </c>
      <c r="D26" s="476"/>
      <c r="E26" s="590">
        <f>+'Effects of CPA Avg. Bill'!E26</f>
        <v>125</v>
      </c>
      <c r="F26" s="591"/>
      <c r="G26" s="292"/>
      <c r="H26" s="591"/>
      <c r="I26" s="921"/>
      <c r="J26" s="594"/>
      <c r="K26" s="703"/>
      <c r="L26" s="596"/>
      <c r="N26" s="595"/>
    </row>
    <row r="27" spans="1:14">
      <c r="A27" s="577">
        <v>9</v>
      </c>
      <c r="C27" s="577" t="s">
        <v>221</v>
      </c>
      <c r="D27" s="476"/>
      <c r="E27" s="590"/>
      <c r="F27" s="591">
        <f>+'Effects of CPA Avg. Bill'!F27</f>
        <v>0.78754000000000002</v>
      </c>
      <c r="G27" s="292">
        <f>+E26+(+F27*500)</f>
        <v>518.77</v>
      </c>
      <c r="H27" s="591">
        <f>+F27+'Unpro. Amount Change'!J19</f>
        <v>0.78741315751392194</v>
      </c>
      <c r="I27" s="920">
        <f>+E26+(+H27*500)</f>
        <v>518.70657875696099</v>
      </c>
      <c r="J27" s="594"/>
      <c r="K27" s="703"/>
    </row>
    <row r="28" spans="1:14">
      <c r="A28" s="577">
        <v>10</v>
      </c>
      <c r="B28" s="580"/>
      <c r="C28" s="577" t="s">
        <v>222</v>
      </c>
      <c r="D28" s="476"/>
      <c r="E28" s="590"/>
      <c r="F28" s="591">
        <f>+'Effects of CPA Avg. Bill'!F28</f>
        <v>0.74803999999999993</v>
      </c>
      <c r="G28" s="292">
        <f>+F28*3500</f>
        <v>2618.14</v>
      </c>
      <c r="H28" s="591">
        <f>+F28+'Unpro. Amount Change'!J19</f>
        <v>0.74791315751392184</v>
      </c>
      <c r="I28" s="920">
        <f>+H28*3500</f>
        <v>2617.6960512987266</v>
      </c>
      <c r="J28" s="594"/>
      <c r="K28" s="703"/>
    </row>
    <row r="29" spans="1:14">
      <c r="A29" s="577">
        <v>11</v>
      </c>
      <c r="B29" s="580"/>
      <c r="C29" s="577" t="s">
        <v>223</v>
      </c>
      <c r="D29" s="476"/>
      <c r="E29" s="590"/>
      <c r="F29" s="591">
        <f>+'Effects of CPA Avg. Bill'!F29</f>
        <v>0.65034000000000003</v>
      </c>
      <c r="G29" s="292">
        <f>+(+D30-(4000))*F29</f>
        <v>8219.6472599999997</v>
      </c>
      <c r="H29" s="591">
        <f>+F29+'Unpro. Amount Change'!J19</f>
        <v>0.65021315751392195</v>
      </c>
      <c r="I29" s="920">
        <f>+(+D30-(4000))*H29</f>
        <v>8218.0440978184597</v>
      </c>
      <c r="J29" s="594"/>
      <c r="K29" s="703"/>
    </row>
    <row r="30" spans="1:14">
      <c r="A30" s="577">
        <v>12</v>
      </c>
      <c r="B30" s="580"/>
      <c r="C30" s="585" t="s">
        <v>233</v>
      </c>
      <c r="D30" s="470">
        <f>+'Effects of CPA Avg. Bill'!D30</f>
        <v>16639</v>
      </c>
      <c r="E30" s="590"/>
      <c r="F30" s="591"/>
      <c r="G30" s="292">
        <f>+SUM(G27:G29)</f>
        <v>11356.55726</v>
      </c>
      <c r="H30" s="592"/>
      <c r="I30" s="920">
        <f>+SUM(I27:I29)</f>
        <v>11354.446727874147</v>
      </c>
      <c r="J30" s="594">
        <f t="shared" si="0"/>
        <v>-2.110532125852842</v>
      </c>
      <c r="K30" s="703">
        <f t="shared" si="1"/>
        <v>-1.8584259978915847E-4</v>
      </c>
    </row>
    <row r="31" spans="1:14">
      <c r="D31" s="470"/>
      <c r="E31" s="590"/>
      <c r="F31" s="591"/>
      <c r="G31" s="292"/>
      <c r="H31" s="591"/>
      <c r="I31" s="921"/>
      <c r="J31" s="594"/>
      <c r="K31" s="703"/>
    </row>
    <row r="32" spans="1:14">
      <c r="A32" s="577">
        <v>13</v>
      </c>
      <c r="C32" s="577" t="s">
        <v>225</v>
      </c>
      <c r="D32" s="470"/>
      <c r="E32" s="590">
        <f>+'Effects of CPA Avg. Bill'!E32</f>
        <v>163</v>
      </c>
      <c r="F32" s="591"/>
      <c r="G32" s="292"/>
      <c r="H32" s="591"/>
      <c r="I32" s="921"/>
      <c r="J32" s="594"/>
      <c r="K32" s="703"/>
    </row>
    <row r="33" spans="1:14">
      <c r="A33" s="577">
        <v>14</v>
      </c>
      <c r="C33" s="577" t="s">
        <v>226</v>
      </c>
      <c r="D33" s="470"/>
      <c r="E33" s="590"/>
      <c r="F33" s="591">
        <f>+'Effects of CPA Avg. Bill'!F33</f>
        <v>0.75481999999999994</v>
      </c>
      <c r="G33" s="292">
        <f>+E32+(D35*F33)</f>
        <v>17699.733059999999</v>
      </c>
      <c r="H33" s="591">
        <f>+F33+'Unpro. Amount Change'!J20</f>
        <v>0.75477345229868686</v>
      </c>
      <c r="I33" s="920">
        <f>+E32+(D35*H33)</f>
        <v>17698.651617255393</v>
      </c>
      <c r="J33" s="594"/>
      <c r="K33" s="703"/>
    </row>
    <row r="34" spans="1:14">
      <c r="A34" s="577">
        <v>15</v>
      </c>
      <c r="C34" s="577" t="s">
        <v>227</v>
      </c>
      <c r="D34" s="470"/>
      <c r="E34" s="590"/>
      <c r="F34" s="591">
        <f>+'Effects of CPA Avg. Bill'!F34</f>
        <v>0.68815000000000004</v>
      </c>
      <c r="G34" s="292"/>
      <c r="H34" s="591">
        <f>+F34+'Unpro. Amount Change'!J20</f>
        <v>0.68810345229868697</v>
      </c>
      <c r="I34" s="921"/>
      <c r="J34" s="594"/>
      <c r="K34" s="703"/>
    </row>
    <row r="35" spans="1:14">
      <c r="A35" s="577">
        <v>16</v>
      </c>
      <c r="C35" s="585" t="s">
        <v>234</v>
      </c>
      <c r="D35" s="470">
        <f>+'Effects of CPA Avg. Bill'!D35</f>
        <v>23233</v>
      </c>
      <c r="E35" s="590"/>
      <c r="F35" s="591"/>
      <c r="G35" s="859">
        <f>+G33+G34</f>
        <v>17699.733059999999</v>
      </c>
      <c r="H35" s="592"/>
      <c r="I35" s="920">
        <f>+I33+I34</f>
        <v>17698.651617255393</v>
      </c>
      <c r="J35" s="594">
        <f>+I35-G35</f>
        <v>-1.081442744605738</v>
      </c>
      <c r="K35" s="703">
        <f t="shared" si="1"/>
        <v>-6.1099381608738118E-5</v>
      </c>
    </row>
    <row r="36" spans="1:14">
      <c r="E36" s="590"/>
      <c r="F36" s="591"/>
      <c r="I36" s="919"/>
      <c r="K36" s="703"/>
    </row>
    <row r="37" spans="1:14">
      <c r="A37" s="577">
        <v>17</v>
      </c>
      <c r="C37" s="577" t="s">
        <v>293</v>
      </c>
      <c r="E37" s="590">
        <v>625</v>
      </c>
      <c r="F37" s="591"/>
      <c r="I37" s="919"/>
      <c r="J37" s="594"/>
      <c r="K37" s="703"/>
      <c r="N37" s="595"/>
    </row>
    <row r="38" spans="1:14">
      <c r="A38" s="577">
        <v>18</v>
      </c>
      <c r="C38" s="577" t="s">
        <v>294</v>
      </c>
      <c r="E38" s="704"/>
      <c r="F38" s="591">
        <v>6.583E-2</v>
      </c>
      <c r="G38" s="292">
        <f>+E37+(F38*100000)</f>
        <v>7208</v>
      </c>
      <c r="H38" s="591">
        <f>+F38+'Unpro. Amount Change'!J23</f>
        <v>6.5803235071745E-2</v>
      </c>
      <c r="I38" s="920">
        <f>+E37+(H38*100000)</f>
        <v>7205.3235071745003</v>
      </c>
      <c r="J38" s="594"/>
      <c r="K38" s="703"/>
    </row>
    <row r="39" spans="1:14">
      <c r="A39" s="577">
        <v>19</v>
      </c>
      <c r="C39" s="577" t="s">
        <v>295</v>
      </c>
      <c r="F39" s="591">
        <v>2.5839999999999998E-2</v>
      </c>
      <c r="G39" s="292">
        <f>+(+D42-(100000))*F39</f>
        <v>4803.1650399999999</v>
      </c>
      <c r="H39" s="591">
        <f>+F39+'Unpro. Amount Change'!J23</f>
        <v>2.5813235071744999E-2</v>
      </c>
      <c r="I39" s="920">
        <f>+(+D42-(100000))*H39</f>
        <v>4798.1899483710322</v>
      </c>
      <c r="J39" s="594"/>
      <c r="K39" s="703"/>
    </row>
    <row r="40" spans="1:14">
      <c r="A40" s="577">
        <v>20</v>
      </c>
      <c r="C40" s="577" t="s">
        <v>295</v>
      </c>
      <c r="F40" s="591">
        <v>1.6840000000000001E-2</v>
      </c>
      <c r="H40" s="591">
        <f>+F40+'Unpro. Amount Change'!J23</f>
        <v>1.6813235071745002E-2</v>
      </c>
      <c r="I40" s="919"/>
      <c r="J40" s="594"/>
      <c r="K40" s="703"/>
    </row>
    <row r="41" spans="1:14">
      <c r="A41" s="577">
        <v>21</v>
      </c>
      <c r="C41" s="577" t="s">
        <v>296</v>
      </c>
      <c r="F41" s="591">
        <v>9.5199999999999989E-3</v>
      </c>
      <c r="H41" s="591">
        <f>+F41+'Unpro. Amount Change'!J23</f>
        <v>9.4932350717449997E-3</v>
      </c>
      <c r="I41" s="919"/>
      <c r="J41" s="594"/>
      <c r="K41" s="703"/>
    </row>
    <row r="42" spans="1:14" ht="16.5" thickBot="1">
      <c r="A42" s="577">
        <v>22</v>
      </c>
      <c r="C42" s="585" t="s">
        <v>297</v>
      </c>
      <c r="D42" s="470">
        <v>285881</v>
      </c>
      <c r="G42" s="705">
        <f>+SUM(G38:G41)</f>
        <v>12011.16504</v>
      </c>
      <c r="H42" s="705"/>
      <c r="I42" s="922">
        <f>+SUM(I38:I41)</f>
        <v>12003.513455545533</v>
      </c>
      <c r="J42" s="594">
        <f t="shared" ref="J42" si="2">+I42-G42</f>
        <v>-7.6515844544665015</v>
      </c>
      <c r="K42" s="706">
        <f t="shared" si="1"/>
        <v>-6.3703932374461006E-4</v>
      </c>
    </row>
  </sheetData>
  <mergeCells count="1">
    <mergeCell ref="C6:L6"/>
  </mergeCells>
  <printOptions horizontalCentered="1"/>
  <pageMargins left="0.5" right="0.5" top="1" bottom="1" header="0.5" footer="0.5"/>
  <pageSetup scale="64" orientation="portrait" r:id="rId1"/>
  <headerFooter scaleWithDoc="0" alignWithMargins="0">
    <oddFooter>&amp;LTab Name: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229C-22BD-42FA-8271-66042176E428}">
  <sheetPr>
    <tabColor rgb="FF7030A0"/>
  </sheetPr>
  <dimension ref="A1:Q39"/>
  <sheetViews>
    <sheetView workbookViewId="0">
      <selection sqref="A1:I1"/>
    </sheetView>
  </sheetViews>
  <sheetFormatPr defaultRowHeight="10.5"/>
  <cols>
    <col min="1" max="1" width="7.1640625" style="707" customWidth="1"/>
    <col min="2" max="2" width="4.1640625" style="616" customWidth="1"/>
    <col min="3" max="5" width="9.33203125" style="616"/>
    <col min="6" max="6" width="27.6640625" style="616" customWidth="1"/>
    <col min="7" max="7" width="16.5" style="616" bestFit="1" customWidth="1"/>
    <col min="8" max="8" width="16" style="616" customWidth="1"/>
    <col min="9" max="9" width="15.83203125" style="616" customWidth="1"/>
    <col min="10" max="10" width="14.33203125" style="616" bestFit="1" customWidth="1"/>
    <col min="11" max="11" width="15.5" style="616" customWidth="1"/>
    <col min="12" max="12" width="14.33203125" style="616" bestFit="1" customWidth="1"/>
    <col min="13" max="13" width="14.5" style="616" customWidth="1"/>
    <col min="14" max="16" width="9.33203125" style="616"/>
    <col min="17" max="17" width="16.6640625" style="616" customWidth="1"/>
    <col min="18" max="254" width="9.33203125" style="616"/>
    <col min="255" max="255" width="7.1640625" style="616" customWidth="1"/>
    <col min="256" max="256" width="4.1640625" style="616" customWidth="1"/>
    <col min="257" max="260" width="9.33203125" style="616"/>
    <col min="261" max="261" width="14.5" style="616" customWidth="1"/>
    <col min="262" max="262" width="16" style="616" customWidth="1"/>
    <col min="263" max="263" width="15.83203125" style="616" customWidth="1"/>
    <col min="264" max="264" width="4.83203125" style="616" customWidth="1"/>
    <col min="265" max="265" width="18.5" style="616" customWidth="1"/>
    <col min="266" max="266" width="4.83203125" style="616" customWidth="1"/>
    <col min="267" max="267" width="0" style="616" hidden="1" customWidth="1"/>
    <col min="268" max="268" width="6" style="616" customWidth="1"/>
    <col min="269" max="269" width="14.5" style="616" customWidth="1"/>
    <col min="270" max="272" width="9.33203125" style="616"/>
    <col min="273" max="273" width="16.6640625" style="616" customWidth="1"/>
    <col min="274" max="510" width="9.33203125" style="616"/>
    <col min="511" max="511" width="7.1640625" style="616" customWidth="1"/>
    <col min="512" max="512" width="4.1640625" style="616" customWidth="1"/>
    <col min="513" max="516" width="9.33203125" style="616"/>
    <col min="517" max="517" width="14.5" style="616" customWidth="1"/>
    <col min="518" max="518" width="16" style="616" customWidth="1"/>
    <col min="519" max="519" width="15.83203125" style="616" customWidth="1"/>
    <col min="520" max="520" width="4.83203125" style="616" customWidth="1"/>
    <col min="521" max="521" width="18.5" style="616" customWidth="1"/>
    <col min="522" max="522" width="4.83203125" style="616" customWidth="1"/>
    <col min="523" max="523" width="0" style="616" hidden="1" customWidth="1"/>
    <col min="524" max="524" width="6" style="616" customWidth="1"/>
    <col min="525" max="525" width="14.5" style="616" customWidth="1"/>
    <col min="526" max="528" width="9.33203125" style="616"/>
    <col min="529" max="529" width="16.6640625" style="616" customWidth="1"/>
    <col min="530" max="766" width="9.33203125" style="616"/>
    <col min="767" max="767" width="7.1640625" style="616" customWidth="1"/>
    <col min="768" max="768" width="4.1640625" style="616" customWidth="1"/>
    <col min="769" max="772" width="9.33203125" style="616"/>
    <col min="773" max="773" width="14.5" style="616" customWidth="1"/>
    <col min="774" max="774" width="16" style="616" customWidth="1"/>
    <col min="775" max="775" width="15.83203125" style="616" customWidth="1"/>
    <col min="776" max="776" width="4.83203125" style="616" customWidth="1"/>
    <col min="777" max="777" width="18.5" style="616" customWidth="1"/>
    <col min="778" max="778" width="4.83203125" style="616" customWidth="1"/>
    <col min="779" max="779" width="0" style="616" hidden="1" customWidth="1"/>
    <col min="780" max="780" width="6" style="616" customWidth="1"/>
    <col min="781" max="781" width="14.5" style="616" customWidth="1"/>
    <col min="782" max="784" width="9.33203125" style="616"/>
    <col min="785" max="785" width="16.6640625" style="616" customWidth="1"/>
    <col min="786" max="1022" width="9.33203125" style="616"/>
    <col min="1023" max="1023" width="7.1640625" style="616" customWidth="1"/>
    <col min="1024" max="1024" width="4.1640625" style="616" customWidth="1"/>
    <col min="1025" max="1028" width="9.33203125" style="616"/>
    <col min="1029" max="1029" width="14.5" style="616" customWidth="1"/>
    <col min="1030" max="1030" width="16" style="616" customWidth="1"/>
    <col min="1031" max="1031" width="15.83203125" style="616" customWidth="1"/>
    <col min="1032" max="1032" width="4.83203125" style="616" customWidth="1"/>
    <col min="1033" max="1033" width="18.5" style="616" customWidth="1"/>
    <col min="1034" max="1034" width="4.83203125" style="616" customWidth="1"/>
    <col min="1035" max="1035" width="0" style="616" hidden="1" customWidth="1"/>
    <col min="1036" max="1036" width="6" style="616" customWidth="1"/>
    <col min="1037" max="1037" width="14.5" style="616" customWidth="1"/>
    <col min="1038" max="1040" width="9.33203125" style="616"/>
    <col min="1041" max="1041" width="16.6640625" style="616" customWidth="1"/>
    <col min="1042" max="1278" width="9.33203125" style="616"/>
    <col min="1279" max="1279" width="7.1640625" style="616" customWidth="1"/>
    <col min="1280" max="1280" width="4.1640625" style="616" customWidth="1"/>
    <col min="1281" max="1284" width="9.33203125" style="616"/>
    <col min="1285" max="1285" width="14.5" style="616" customWidth="1"/>
    <col min="1286" max="1286" width="16" style="616" customWidth="1"/>
    <col min="1287" max="1287" width="15.83203125" style="616" customWidth="1"/>
    <col min="1288" max="1288" width="4.83203125" style="616" customWidth="1"/>
    <col min="1289" max="1289" width="18.5" style="616" customWidth="1"/>
    <col min="1290" max="1290" width="4.83203125" style="616" customWidth="1"/>
    <col min="1291" max="1291" width="0" style="616" hidden="1" customWidth="1"/>
    <col min="1292" max="1292" width="6" style="616" customWidth="1"/>
    <col min="1293" max="1293" width="14.5" style="616" customWidth="1"/>
    <col min="1294" max="1296" width="9.33203125" style="616"/>
    <col min="1297" max="1297" width="16.6640625" style="616" customWidth="1"/>
    <col min="1298" max="1534" width="9.33203125" style="616"/>
    <col min="1535" max="1535" width="7.1640625" style="616" customWidth="1"/>
    <col min="1536" max="1536" width="4.1640625" style="616" customWidth="1"/>
    <col min="1537" max="1540" width="9.33203125" style="616"/>
    <col min="1541" max="1541" width="14.5" style="616" customWidth="1"/>
    <col min="1542" max="1542" width="16" style="616" customWidth="1"/>
    <col min="1543" max="1543" width="15.83203125" style="616" customWidth="1"/>
    <col min="1544" max="1544" width="4.83203125" style="616" customWidth="1"/>
    <col min="1545" max="1545" width="18.5" style="616" customWidth="1"/>
    <col min="1546" max="1546" width="4.83203125" style="616" customWidth="1"/>
    <col min="1547" max="1547" width="0" style="616" hidden="1" customWidth="1"/>
    <col min="1548" max="1548" width="6" style="616" customWidth="1"/>
    <col min="1549" max="1549" width="14.5" style="616" customWidth="1"/>
    <col min="1550" max="1552" width="9.33203125" style="616"/>
    <col min="1553" max="1553" width="16.6640625" style="616" customWidth="1"/>
    <col min="1554" max="1790" width="9.33203125" style="616"/>
    <col min="1791" max="1791" width="7.1640625" style="616" customWidth="1"/>
    <col min="1792" max="1792" width="4.1640625" style="616" customWidth="1"/>
    <col min="1793" max="1796" width="9.33203125" style="616"/>
    <col min="1797" max="1797" width="14.5" style="616" customWidth="1"/>
    <col min="1798" max="1798" width="16" style="616" customWidth="1"/>
    <col min="1799" max="1799" width="15.83203125" style="616" customWidth="1"/>
    <col min="1800" max="1800" width="4.83203125" style="616" customWidth="1"/>
    <col min="1801" max="1801" width="18.5" style="616" customWidth="1"/>
    <col min="1802" max="1802" width="4.83203125" style="616" customWidth="1"/>
    <col min="1803" max="1803" width="0" style="616" hidden="1" customWidth="1"/>
    <col min="1804" max="1804" width="6" style="616" customWidth="1"/>
    <col min="1805" max="1805" width="14.5" style="616" customWidth="1"/>
    <col min="1806" max="1808" width="9.33203125" style="616"/>
    <col min="1809" max="1809" width="16.6640625" style="616" customWidth="1"/>
    <col min="1810" max="2046" width="9.33203125" style="616"/>
    <col min="2047" max="2047" width="7.1640625" style="616" customWidth="1"/>
    <col min="2048" max="2048" width="4.1640625" style="616" customWidth="1"/>
    <col min="2049" max="2052" width="9.33203125" style="616"/>
    <col min="2053" max="2053" width="14.5" style="616" customWidth="1"/>
    <col min="2054" max="2054" width="16" style="616" customWidth="1"/>
    <col min="2055" max="2055" width="15.83203125" style="616" customWidth="1"/>
    <col min="2056" max="2056" width="4.83203125" style="616" customWidth="1"/>
    <col min="2057" max="2057" width="18.5" style="616" customWidth="1"/>
    <col min="2058" max="2058" width="4.83203125" style="616" customWidth="1"/>
    <col min="2059" max="2059" width="0" style="616" hidden="1" customWidth="1"/>
    <col min="2060" max="2060" width="6" style="616" customWidth="1"/>
    <col min="2061" max="2061" width="14.5" style="616" customWidth="1"/>
    <col min="2062" max="2064" width="9.33203125" style="616"/>
    <col min="2065" max="2065" width="16.6640625" style="616" customWidth="1"/>
    <col min="2066" max="2302" width="9.33203125" style="616"/>
    <col min="2303" max="2303" width="7.1640625" style="616" customWidth="1"/>
    <col min="2304" max="2304" width="4.1640625" style="616" customWidth="1"/>
    <col min="2305" max="2308" width="9.33203125" style="616"/>
    <col min="2309" max="2309" width="14.5" style="616" customWidth="1"/>
    <col min="2310" max="2310" width="16" style="616" customWidth="1"/>
    <col min="2311" max="2311" width="15.83203125" style="616" customWidth="1"/>
    <col min="2312" max="2312" width="4.83203125" style="616" customWidth="1"/>
    <col min="2313" max="2313" width="18.5" style="616" customWidth="1"/>
    <col min="2314" max="2314" width="4.83203125" style="616" customWidth="1"/>
    <col min="2315" max="2315" width="0" style="616" hidden="1" customWidth="1"/>
    <col min="2316" max="2316" width="6" style="616" customWidth="1"/>
    <col min="2317" max="2317" width="14.5" style="616" customWidth="1"/>
    <col min="2318" max="2320" width="9.33203125" style="616"/>
    <col min="2321" max="2321" width="16.6640625" style="616" customWidth="1"/>
    <col min="2322" max="2558" width="9.33203125" style="616"/>
    <col min="2559" max="2559" width="7.1640625" style="616" customWidth="1"/>
    <col min="2560" max="2560" width="4.1640625" style="616" customWidth="1"/>
    <col min="2561" max="2564" width="9.33203125" style="616"/>
    <col min="2565" max="2565" width="14.5" style="616" customWidth="1"/>
    <col min="2566" max="2566" width="16" style="616" customWidth="1"/>
    <col min="2567" max="2567" width="15.83203125" style="616" customWidth="1"/>
    <col min="2568" max="2568" width="4.83203125" style="616" customWidth="1"/>
    <col min="2569" max="2569" width="18.5" style="616" customWidth="1"/>
    <col min="2570" max="2570" width="4.83203125" style="616" customWidth="1"/>
    <col min="2571" max="2571" width="0" style="616" hidden="1" customWidth="1"/>
    <col min="2572" max="2572" width="6" style="616" customWidth="1"/>
    <col min="2573" max="2573" width="14.5" style="616" customWidth="1"/>
    <col min="2574" max="2576" width="9.33203125" style="616"/>
    <col min="2577" max="2577" width="16.6640625" style="616" customWidth="1"/>
    <col min="2578" max="2814" width="9.33203125" style="616"/>
    <col min="2815" max="2815" width="7.1640625" style="616" customWidth="1"/>
    <col min="2816" max="2816" width="4.1640625" style="616" customWidth="1"/>
    <col min="2817" max="2820" width="9.33203125" style="616"/>
    <col min="2821" max="2821" width="14.5" style="616" customWidth="1"/>
    <col min="2822" max="2822" width="16" style="616" customWidth="1"/>
    <col min="2823" max="2823" width="15.83203125" style="616" customWidth="1"/>
    <col min="2824" max="2824" width="4.83203125" style="616" customWidth="1"/>
    <col min="2825" max="2825" width="18.5" style="616" customWidth="1"/>
    <col min="2826" max="2826" width="4.83203125" style="616" customWidth="1"/>
    <col min="2827" max="2827" width="0" style="616" hidden="1" customWidth="1"/>
    <col min="2828" max="2828" width="6" style="616" customWidth="1"/>
    <col min="2829" max="2829" width="14.5" style="616" customWidth="1"/>
    <col min="2830" max="2832" width="9.33203125" style="616"/>
    <col min="2833" max="2833" width="16.6640625" style="616" customWidth="1"/>
    <col min="2834" max="3070" width="9.33203125" style="616"/>
    <col min="3071" max="3071" width="7.1640625" style="616" customWidth="1"/>
    <col min="3072" max="3072" width="4.1640625" style="616" customWidth="1"/>
    <col min="3073" max="3076" width="9.33203125" style="616"/>
    <col min="3077" max="3077" width="14.5" style="616" customWidth="1"/>
    <col min="3078" max="3078" width="16" style="616" customWidth="1"/>
    <col min="3079" max="3079" width="15.83203125" style="616" customWidth="1"/>
    <col min="3080" max="3080" width="4.83203125" style="616" customWidth="1"/>
    <col min="3081" max="3081" width="18.5" style="616" customWidth="1"/>
    <col min="3082" max="3082" width="4.83203125" style="616" customWidth="1"/>
    <col min="3083" max="3083" width="0" style="616" hidden="1" customWidth="1"/>
    <col min="3084" max="3084" width="6" style="616" customWidth="1"/>
    <col min="3085" max="3085" width="14.5" style="616" customWidth="1"/>
    <col min="3086" max="3088" width="9.33203125" style="616"/>
    <col min="3089" max="3089" width="16.6640625" style="616" customWidth="1"/>
    <col min="3090" max="3326" width="9.33203125" style="616"/>
    <col min="3327" max="3327" width="7.1640625" style="616" customWidth="1"/>
    <col min="3328" max="3328" width="4.1640625" style="616" customWidth="1"/>
    <col min="3329" max="3332" width="9.33203125" style="616"/>
    <col min="3333" max="3333" width="14.5" style="616" customWidth="1"/>
    <col min="3334" max="3334" width="16" style="616" customWidth="1"/>
    <col min="3335" max="3335" width="15.83203125" style="616" customWidth="1"/>
    <col min="3336" max="3336" width="4.83203125" style="616" customWidth="1"/>
    <col min="3337" max="3337" width="18.5" style="616" customWidth="1"/>
    <col min="3338" max="3338" width="4.83203125" style="616" customWidth="1"/>
    <col min="3339" max="3339" width="0" style="616" hidden="1" customWidth="1"/>
    <col min="3340" max="3340" width="6" style="616" customWidth="1"/>
    <col min="3341" max="3341" width="14.5" style="616" customWidth="1"/>
    <col min="3342" max="3344" width="9.33203125" style="616"/>
    <col min="3345" max="3345" width="16.6640625" style="616" customWidth="1"/>
    <col min="3346" max="3582" width="9.33203125" style="616"/>
    <col min="3583" max="3583" width="7.1640625" style="616" customWidth="1"/>
    <col min="3584" max="3584" width="4.1640625" style="616" customWidth="1"/>
    <col min="3585" max="3588" width="9.33203125" style="616"/>
    <col min="3589" max="3589" width="14.5" style="616" customWidth="1"/>
    <col min="3590" max="3590" width="16" style="616" customWidth="1"/>
    <col min="3591" max="3591" width="15.83203125" style="616" customWidth="1"/>
    <col min="3592" max="3592" width="4.83203125" style="616" customWidth="1"/>
    <col min="3593" max="3593" width="18.5" style="616" customWidth="1"/>
    <col min="3594" max="3594" width="4.83203125" style="616" customWidth="1"/>
    <col min="3595" max="3595" width="0" style="616" hidden="1" customWidth="1"/>
    <col min="3596" max="3596" width="6" style="616" customWidth="1"/>
    <col min="3597" max="3597" width="14.5" style="616" customWidth="1"/>
    <col min="3598" max="3600" width="9.33203125" style="616"/>
    <col min="3601" max="3601" width="16.6640625" style="616" customWidth="1"/>
    <col min="3602" max="3838" width="9.33203125" style="616"/>
    <col min="3839" max="3839" width="7.1640625" style="616" customWidth="1"/>
    <col min="3840" max="3840" width="4.1640625" style="616" customWidth="1"/>
    <col min="3841" max="3844" width="9.33203125" style="616"/>
    <col min="3845" max="3845" width="14.5" style="616" customWidth="1"/>
    <col min="3846" max="3846" width="16" style="616" customWidth="1"/>
    <col min="3847" max="3847" width="15.83203125" style="616" customWidth="1"/>
    <col min="3848" max="3848" width="4.83203125" style="616" customWidth="1"/>
    <col min="3849" max="3849" width="18.5" style="616" customWidth="1"/>
    <col min="3850" max="3850" width="4.83203125" style="616" customWidth="1"/>
    <col min="3851" max="3851" width="0" style="616" hidden="1" customWidth="1"/>
    <col min="3852" max="3852" width="6" style="616" customWidth="1"/>
    <col min="3853" max="3853" width="14.5" style="616" customWidth="1"/>
    <col min="3854" max="3856" width="9.33203125" style="616"/>
    <col min="3857" max="3857" width="16.6640625" style="616" customWidth="1"/>
    <col min="3858" max="4094" width="9.33203125" style="616"/>
    <col min="4095" max="4095" width="7.1640625" style="616" customWidth="1"/>
    <col min="4096" max="4096" width="4.1640625" style="616" customWidth="1"/>
    <col min="4097" max="4100" width="9.33203125" style="616"/>
    <col min="4101" max="4101" width="14.5" style="616" customWidth="1"/>
    <col min="4102" max="4102" width="16" style="616" customWidth="1"/>
    <col min="4103" max="4103" width="15.83203125" style="616" customWidth="1"/>
    <col min="4104" max="4104" width="4.83203125" style="616" customWidth="1"/>
    <col min="4105" max="4105" width="18.5" style="616" customWidth="1"/>
    <col min="4106" max="4106" width="4.83203125" style="616" customWidth="1"/>
    <col min="4107" max="4107" width="0" style="616" hidden="1" customWidth="1"/>
    <col min="4108" max="4108" width="6" style="616" customWidth="1"/>
    <col min="4109" max="4109" width="14.5" style="616" customWidth="1"/>
    <col min="4110" max="4112" width="9.33203125" style="616"/>
    <col min="4113" max="4113" width="16.6640625" style="616" customWidth="1"/>
    <col min="4114" max="4350" width="9.33203125" style="616"/>
    <col min="4351" max="4351" width="7.1640625" style="616" customWidth="1"/>
    <col min="4352" max="4352" width="4.1640625" style="616" customWidth="1"/>
    <col min="4353" max="4356" width="9.33203125" style="616"/>
    <col min="4357" max="4357" width="14.5" style="616" customWidth="1"/>
    <col min="4358" max="4358" width="16" style="616" customWidth="1"/>
    <col min="4359" max="4359" width="15.83203125" style="616" customWidth="1"/>
    <col min="4360" max="4360" width="4.83203125" style="616" customWidth="1"/>
    <col min="4361" max="4361" width="18.5" style="616" customWidth="1"/>
    <col min="4362" max="4362" width="4.83203125" style="616" customWidth="1"/>
    <col min="4363" max="4363" width="0" style="616" hidden="1" customWidth="1"/>
    <col min="4364" max="4364" width="6" style="616" customWidth="1"/>
    <col min="4365" max="4365" width="14.5" style="616" customWidth="1"/>
    <col min="4366" max="4368" width="9.33203125" style="616"/>
    <col min="4369" max="4369" width="16.6640625" style="616" customWidth="1"/>
    <col min="4370" max="4606" width="9.33203125" style="616"/>
    <col min="4607" max="4607" width="7.1640625" style="616" customWidth="1"/>
    <col min="4608" max="4608" width="4.1640625" style="616" customWidth="1"/>
    <col min="4609" max="4612" width="9.33203125" style="616"/>
    <col min="4613" max="4613" width="14.5" style="616" customWidth="1"/>
    <col min="4614" max="4614" width="16" style="616" customWidth="1"/>
    <col min="4615" max="4615" width="15.83203125" style="616" customWidth="1"/>
    <col min="4616" max="4616" width="4.83203125" style="616" customWidth="1"/>
    <col min="4617" max="4617" width="18.5" style="616" customWidth="1"/>
    <col min="4618" max="4618" width="4.83203125" style="616" customWidth="1"/>
    <col min="4619" max="4619" width="0" style="616" hidden="1" customWidth="1"/>
    <col min="4620" max="4620" width="6" style="616" customWidth="1"/>
    <col min="4621" max="4621" width="14.5" style="616" customWidth="1"/>
    <col min="4622" max="4624" width="9.33203125" style="616"/>
    <col min="4625" max="4625" width="16.6640625" style="616" customWidth="1"/>
    <col min="4626" max="4862" width="9.33203125" style="616"/>
    <col min="4863" max="4863" width="7.1640625" style="616" customWidth="1"/>
    <col min="4864" max="4864" width="4.1640625" style="616" customWidth="1"/>
    <col min="4865" max="4868" width="9.33203125" style="616"/>
    <col min="4869" max="4869" width="14.5" style="616" customWidth="1"/>
    <col min="4870" max="4870" width="16" style="616" customWidth="1"/>
    <col min="4871" max="4871" width="15.83203125" style="616" customWidth="1"/>
    <col min="4872" max="4872" width="4.83203125" style="616" customWidth="1"/>
    <col min="4873" max="4873" width="18.5" style="616" customWidth="1"/>
    <col min="4874" max="4874" width="4.83203125" style="616" customWidth="1"/>
    <col min="4875" max="4875" width="0" style="616" hidden="1" customWidth="1"/>
    <col min="4876" max="4876" width="6" style="616" customWidth="1"/>
    <col min="4877" max="4877" width="14.5" style="616" customWidth="1"/>
    <col min="4878" max="4880" width="9.33203125" style="616"/>
    <col min="4881" max="4881" width="16.6640625" style="616" customWidth="1"/>
    <col min="4882" max="5118" width="9.33203125" style="616"/>
    <col min="5119" max="5119" width="7.1640625" style="616" customWidth="1"/>
    <col min="5120" max="5120" width="4.1640625" style="616" customWidth="1"/>
    <col min="5121" max="5124" width="9.33203125" style="616"/>
    <col min="5125" max="5125" width="14.5" style="616" customWidth="1"/>
    <col min="5126" max="5126" width="16" style="616" customWidth="1"/>
    <col min="5127" max="5127" width="15.83203125" style="616" customWidth="1"/>
    <col min="5128" max="5128" width="4.83203125" style="616" customWidth="1"/>
    <col min="5129" max="5129" width="18.5" style="616" customWidth="1"/>
    <col min="5130" max="5130" width="4.83203125" style="616" customWidth="1"/>
    <col min="5131" max="5131" width="0" style="616" hidden="1" customWidth="1"/>
    <col min="5132" max="5132" width="6" style="616" customWidth="1"/>
    <col min="5133" max="5133" width="14.5" style="616" customWidth="1"/>
    <col min="5134" max="5136" width="9.33203125" style="616"/>
    <col min="5137" max="5137" width="16.6640625" style="616" customWidth="1"/>
    <col min="5138" max="5374" width="9.33203125" style="616"/>
    <col min="5375" max="5375" width="7.1640625" style="616" customWidth="1"/>
    <col min="5376" max="5376" width="4.1640625" style="616" customWidth="1"/>
    <col min="5377" max="5380" width="9.33203125" style="616"/>
    <col min="5381" max="5381" width="14.5" style="616" customWidth="1"/>
    <col min="5382" max="5382" width="16" style="616" customWidth="1"/>
    <col min="5383" max="5383" width="15.83203125" style="616" customWidth="1"/>
    <col min="5384" max="5384" width="4.83203125" style="616" customWidth="1"/>
    <col min="5385" max="5385" width="18.5" style="616" customWidth="1"/>
    <col min="5386" max="5386" width="4.83203125" style="616" customWidth="1"/>
    <col min="5387" max="5387" width="0" style="616" hidden="1" customWidth="1"/>
    <col min="5388" max="5388" width="6" style="616" customWidth="1"/>
    <col min="5389" max="5389" width="14.5" style="616" customWidth="1"/>
    <col min="5390" max="5392" width="9.33203125" style="616"/>
    <col min="5393" max="5393" width="16.6640625" style="616" customWidth="1"/>
    <col min="5394" max="5630" width="9.33203125" style="616"/>
    <col min="5631" max="5631" width="7.1640625" style="616" customWidth="1"/>
    <col min="5632" max="5632" width="4.1640625" style="616" customWidth="1"/>
    <col min="5633" max="5636" width="9.33203125" style="616"/>
    <col min="5637" max="5637" width="14.5" style="616" customWidth="1"/>
    <col min="5638" max="5638" width="16" style="616" customWidth="1"/>
    <col min="5639" max="5639" width="15.83203125" style="616" customWidth="1"/>
    <col min="5640" max="5640" width="4.83203125" style="616" customWidth="1"/>
    <col min="5641" max="5641" width="18.5" style="616" customWidth="1"/>
    <col min="5642" max="5642" width="4.83203125" style="616" customWidth="1"/>
    <col min="5643" max="5643" width="0" style="616" hidden="1" customWidth="1"/>
    <col min="5644" max="5644" width="6" style="616" customWidth="1"/>
    <col min="5645" max="5645" width="14.5" style="616" customWidth="1"/>
    <col min="5646" max="5648" width="9.33203125" style="616"/>
    <col min="5649" max="5649" width="16.6640625" style="616" customWidth="1"/>
    <col min="5650" max="5886" width="9.33203125" style="616"/>
    <col min="5887" max="5887" width="7.1640625" style="616" customWidth="1"/>
    <col min="5888" max="5888" width="4.1640625" style="616" customWidth="1"/>
    <col min="5889" max="5892" width="9.33203125" style="616"/>
    <col min="5893" max="5893" width="14.5" style="616" customWidth="1"/>
    <col min="5894" max="5894" width="16" style="616" customWidth="1"/>
    <col min="5895" max="5895" width="15.83203125" style="616" customWidth="1"/>
    <col min="5896" max="5896" width="4.83203125" style="616" customWidth="1"/>
    <col min="5897" max="5897" width="18.5" style="616" customWidth="1"/>
    <col min="5898" max="5898" width="4.83203125" style="616" customWidth="1"/>
    <col min="5899" max="5899" width="0" style="616" hidden="1" customWidth="1"/>
    <col min="5900" max="5900" width="6" style="616" customWidth="1"/>
    <col min="5901" max="5901" width="14.5" style="616" customWidth="1"/>
    <col min="5902" max="5904" width="9.33203125" style="616"/>
    <col min="5905" max="5905" width="16.6640625" style="616" customWidth="1"/>
    <col min="5906" max="6142" width="9.33203125" style="616"/>
    <col min="6143" max="6143" width="7.1640625" style="616" customWidth="1"/>
    <col min="6144" max="6144" width="4.1640625" style="616" customWidth="1"/>
    <col min="6145" max="6148" width="9.33203125" style="616"/>
    <col min="6149" max="6149" width="14.5" style="616" customWidth="1"/>
    <col min="6150" max="6150" width="16" style="616" customWidth="1"/>
    <col min="6151" max="6151" width="15.83203125" style="616" customWidth="1"/>
    <col min="6152" max="6152" width="4.83203125" style="616" customWidth="1"/>
    <col min="6153" max="6153" width="18.5" style="616" customWidth="1"/>
    <col min="6154" max="6154" width="4.83203125" style="616" customWidth="1"/>
    <col min="6155" max="6155" width="0" style="616" hidden="1" customWidth="1"/>
    <col min="6156" max="6156" width="6" style="616" customWidth="1"/>
    <col min="6157" max="6157" width="14.5" style="616" customWidth="1"/>
    <col min="6158" max="6160" width="9.33203125" style="616"/>
    <col min="6161" max="6161" width="16.6640625" style="616" customWidth="1"/>
    <col min="6162" max="6398" width="9.33203125" style="616"/>
    <col min="6399" max="6399" width="7.1640625" style="616" customWidth="1"/>
    <col min="6400" max="6400" width="4.1640625" style="616" customWidth="1"/>
    <col min="6401" max="6404" width="9.33203125" style="616"/>
    <col min="6405" max="6405" width="14.5" style="616" customWidth="1"/>
    <col min="6406" max="6406" width="16" style="616" customWidth="1"/>
    <col min="6407" max="6407" width="15.83203125" style="616" customWidth="1"/>
    <col min="6408" max="6408" width="4.83203125" style="616" customWidth="1"/>
    <col min="6409" max="6409" width="18.5" style="616" customWidth="1"/>
    <col min="6410" max="6410" width="4.83203125" style="616" customWidth="1"/>
    <col min="6411" max="6411" width="0" style="616" hidden="1" customWidth="1"/>
    <col min="6412" max="6412" width="6" style="616" customWidth="1"/>
    <col min="6413" max="6413" width="14.5" style="616" customWidth="1"/>
    <col min="6414" max="6416" width="9.33203125" style="616"/>
    <col min="6417" max="6417" width="16.6640625" style="616" customWidth="1"/>
    <col min="6418" max="6654" width="9.33203125" style="616"/>
    <col min="6655" max="6655" width="7.1640625" style="616" customWidth="1"/>
    <col min="6656" max="6656" width="4.1640625" style="616" customWidth="1"/>
    <col min="6657" max="6660" width="9.33203125" style="616"/>
    <col min="6661" max="6661" width="14.5" style="616" customWidth="1"/>
    <col min="6662" max="6662" width="16" style="616" customWidth="1"/>
    <col min="6663" max="6663" width="15.83203125" style="616" customWidth="1"/>
    <col min="6664" max="6664" width="4.83203125" style="616" customWidth="1"/>
    <col min="6665" max="6665" width="18.5" style="616" customWidth="1"/>
    <col min="6666" max="6666" width="4.83203125" style="616" customWidth="1"/>
    <col min="6667" max="6667" width="0" style="616" hidden="1" customWidth="1"/>
    <col min="6668" max="6668" width="6" style="616" customWidth="1"/>
    <col min="6669" max="6669" width="14.5" style="616" customWidth="1"/>
    <col min="6670" max="6672" width="9.33203125" style="616"/>
    <col min="6673" max="6673" width="16.6640625" style="616" customWidth="1"/>
    <col min="6674" max="6910" width="9.33203125" style="616"/>
    <col min="6911" max="6911" width="7.1640625" style="616" customWidth="1"/>
    <col min="6912" max="6912" width="4.1640625" style="616" customWidth="1"/>
    <col min="6913" max="6916" width="9.33203125" style="616"/>
    <col min="6917" max="6917" width="14.5" style="616" customWidth="1"/>
    <col min="6918" max="6918" width="16" style="616" customWidth="1"/>
    <col min="6919" max="6919" width="15.83203125" style="616" customWidth="1"/>
    <col min="6920" max="6920" width="4.83203125" style="616" customWidth="1"/>
    <col min="6921" max="6921" width="18.5" style="616" customWidth="1"/>
    <col min="6922" max="6922" width="4.83203125" style="616" customWidth="1"/>
    <col min="6923" max="6923" width="0" style="616" hidden="1" customWidth="1"/>
    <col min="6924" max="6924" width="6" style="616" customWidth="1"/>
    <col min="6925" max="6925" width="14.5" style="616" customWidth="1"/>
    <col min="6926" max="6928" width="9.33203125" style="616"/>
    <col min="6929" max="6929" width="16.6640625" style="616" customWidth="1"/>
    <col min="6930" max="7166" width="9.33203125" style="616"/>
    <col min="7167" max="7167" width="7.1640625" style="616" customWidth="1"/>
    <col min="7168" max="7168" width="4.1640625" style="616" customWidth="1"/>
    <col min="7169" max="7172" width="9.33203125" style="616"/>
    <col min="7173" max="7173" width="14.5" style="616" customWidth="1"/>
    <col min="7174" max="7174" width="16" style="616" customWidth="1"/>
    <col min="7175" max="7175" width="15.83203125" style="616" customWidth="1"/>
    <col min="7176" max="7176" width="4.83203125" style="616" customWidth="1"/>
    <col min="7177" max="7177" width="18.5" style="616" customWidth="1"/>
    <col min="7178" max="7178" width="4.83203125" style="616" customWidth="1"/>
    <col min="7179" max="7179" width="0" style="616" hidden="1" customWidth="1"/>
    <col min="7180" max="7180" width="6" style="616" customWidth="1"/>
    <col min="7181" max="7181" width="14.5" style="616" customWidth="1"/>
    <col min="7182" max="7184" width="9.33203125" style="616"/>
    <col min="7185" max="7185" width="16.6640625" style="616" customWidth="1"/>
    <col min="7186" max="7422" width="9.33203125" style="616"/>
    <col min="7423" max="7423" width="7.1640625" style="616" customWidth="1"/>
    <col min="7424" max="7424" width="4.1640625" style="616" customWidth="1"/>
    <col min="7425" max="7428" width="9.33203125" style="616"/>
    <col min="7429" max="7429" width="14.5" style="616" customWidth="1"/>
    <col min="7430" max="7430" width="16" style="616" customWidth="1"/>
    <col min="7431" max="7431" width="15.83203125" style="616" customWidth="1"/>
    <col min="7432" max="7432" width="4.83203125" style="616" customWidth="1"/>
    <col min="7433" max="7433" width="18.5" style="616" customWidth="1"/>
    <col min="7434" max="7434" width="4.83203125" style="616" customWidth="1"/>
    <col min="7435" max="7435" width="0" style="616" hidden="1" customWidth="1"/>
    <col min="7436" max="7436" width="6" style="616" customWidth="1"/>
    <col min="7437" max="7437" width="14.5" style="616" customWidth="1"/>
    <col min="7438" max="7440" width="9.33203125" style="616"/>
    <col min="7441" max="7441" width="16.6640625" style="616" customWidth="1"/>
    <col min="7442" max="7678" width="9.33203125" style="616"/>
    <col min="7679" max="7679" width="7.1640625" style="616" customWidth="1"/>
    <col min="7680" max="7680" width="4.1640625" style="616" customWidth="1"/>
    <col min="7681" max="7684" width="9.33203125" style="616"/>
    <col min="7685" max="7685" width="14.5" style="616" customWidth="1"/>
    <col min="7686" max="7686" width="16" style="616" customWidth="1"/>
    <col min="7687" max="7687" width="15.83203125" style="616" customWidth="1"/>
    <col min="7688" max="7688" width="4.83203125" style="616" customWidth="1"/>
    <col min="7689" max="7689" width="18.5" style="616" customWidth="1"/>
    <col min="7690" max="7690" width="4.83203125" style="616" customWidth="1"/>
    <col min="7691" max="7691" width="0" style="616" hidden="1" customWidth="1"/>
    <col min="7692" max="7692" width="6" style="616" customWidth="1"/>
    <col min="7693" max="7693" width="14.5" style="616" customWidth="1"/>
    <col min="7694" max="7696" width="9.33203125" style="616"/>
    <col min="7697" max="7697" width="16.6640625" style="616" customWidth="1"/>
    <col min="7698" max="7934" width="9.33203125" style="616"/>
    <col min="7935" max="7935" width="7.1640625" style="616" customWidth="1"/>
    <col min="7936" max="7936" width="4.1640625" style="616" customWidth="1"/>
    <col min="7937" max="7940" width="9.33203125" style="616"/>
    <col min="7941" max="7941" width="14.5" style="616" customWidth="1"/>
    <col min="7942" max="7942" width="16" style="616" customWidth="1"/>
    <col min="7943" max="7943" width="15.83203125" style="616" customWidth="1"/>
    <col min="7944" max="7944" width="4.83203125" style="616" customWidth="1"/>
    <col min="7945" max="7945" width="18.5" style="616" customWidth="1"/>
    <col min="7946" max="7946" width="4.83203125" style="616" customWidth="1"/>
    <col min="7947" max="7947" width="0" style="616" hidden="1" customWidth="1"/>
    <col min="7948" max="7948" width="6" style="616" customWidth="1"/>
    <col min="7949" max="7949" width="14.5" style="616" customWidth="1"/>
    <col min="7950" max="7952" width="9.33203125" style="616"/>
    <col min="7953" max="7953" width="16.6640625" style="616" customWidth="1"/>
    <col min="7954" max="8190" width="9.33203125" style="616"/>
    <col min="8191" max="8191" width="7.1640625" style="616" customWidth="1"/>
    <col min="8192" max="8192" width="4.1640625" style="616" customWidth="1"/>
    <col min="8193" max="8196" width="9.33203125" style="616"/>
    <col min="8197" max="8197" width="14.5" style="616" customWidth="1"/>
    <col min="8198" max="8198" width="16" style="616" customWidth="1"/>
    <col min="8199" max="8199" width="15.83203125" style="616" customWidth="1"/>
    <col min="8200" max="8200" width="4.83203125" style="616" customWidth="1"/>
    <col min="8201" max="8201" width="18.5" style="616" customWidth="1"/>
    <col min="8202" max="8202" width="4.83203125" style="616" customWidth="1"/>
    <col min="8203" max="8203" width="0" style="616" hidden="1" customWidth="1"/>
    <col min="8204" max="8204" width="6" style="616" customWidth="1"/>
    <col min="8205" max="8205" width="14.5" style="616" customWidth="1"/>
    <col min="8206" max="8208" width="9.33203125" style="616"/>
    <col min="8209" max="8209" width="16.6640625" style="616" customWidth="1"/>
    <col min="8210" max="8446" width="9.33203125" style="616"/>
    <col min="8447" max="8447" width="7.1640625" style="616" customWidth="1"/>
    <col min="8448" max="8448" width="4.1640625" style="616" customWidth="1"/>
    <col min="8449" max="8452" width="9.33203125" style="616"/>
    <col min="8453" max="8453" width="14.5" style="616" customWidth="1"/>
    <col min="8454" max="8454" width="16" style="616" customWidth="1"/>
    <col min="8455" max="8455" width="15.83203125" style="616" customWidth="1"/>
    <col min="8456" max="8456" width="4.83203125" style="616" customWidth="1"/>
    <col min="8457" max="8457" width="18.5" style="616" customWidth="1"/>
    <col min="8458" max="8458" width="4.83203125" style="616" customWidth="1"/>
    <col min="8459" max="8459" width="0" style="616" hidden="1" customWidth="1"/>
    <col min="8460" max="8460" width="6" style="616" customWidth="1"/>
    <col min="8461" max="8461" width="14.5" style="616" customWidth="1"/>
    <col min="8462" max="8464" width="9.33203125" style="616"/>
    <col min="8465" max="8465" width="16.6640625" style="616" customWidth="1"/>
    <col min="8466" max="8702" width="9.33203125" style="616"/>
    <col min="8703" max="8703" width="7.1640625" style="616" customWidth="1"/>
    <col min="8704" max="8704" width="4.1640625" style="616" customWidth="1"/>
    <col min="8705" max="8708" width="9.33203125" style="616"/>
    <col min="8709" max="8709" width="14.5" style="616" customWidth="1"/>
    <col min="8710" max="8710" width="16" style="616" customWidth="1"/>
    <col min="8711" max="8711" width="15.83203125" style="616" customWidth="1"/>
    <col min="8712" max="8712" width="4.83203125" style="616" customWidth="1"/>
    <col min="8713" max="8713" width="18.5" style="616" customWidth="1"/>
    <col min="8714" max="8714" width="4.83203125" style="616" customWidth="1"/>
    <col min="8715" max="8715" width="0" style="616" hidden="1" customWidth="1"/>
    <col min="8716" max="8716" width="6" style="616" customWidth="1"/>
    <col min="8717" max="8717" width="14.5" style="616" customWidth="1"/>
    <col min="8718" max="8720" width="9.33203125" style="616"/>
    <col min="8721" max="8721" width="16.6640625" style="616" customWidth="1"/>
    <col min="8722" max="8958" width="9.33203125" style="616"/>
    <col min="8959" max="8959" width="7.1640625" style="616" customWidth="1"/>
    <col min="8960" max="8960" width="4.1640625" style="616" customWidth="1"/>
    <col min="8961" max="8964" width="9.33203125" style="616"/>
    <col min="8965" max="8965" width="14.5" style="616" customWidth="1"/>
    <col min="8966" max="8966" width="16" style="616" customWidth="1"/>
    <col min="8967" max="8967" width="15.83203125" style="616" customWidth="1"/>
    <col min="8968" max="8968" width="4.83203125" style="616" customWidth="1"/>
    <col min="8969" max="8969" width="18.5" style="616" customWidth="1"/>
    <col min="8970" max="8970" width="4.83203125" style="616" customWidth="1"/>
    <col min="8971" max="8971" width="0" style="616" hidden="1" customWidth="1"/>
    <col min="8972" max="8972" width="6" style="616" customWidth="1"/>
    <col min="8973" max="8973" width="14.5" style="616" customWidth="1"/>
    <col min="8974" max="8976" width="9.33203125" style="616"/>
    <col min="8977" max="8977" width="16.6640625" style="616" customWidth="1"/>
    <col min="8978" max="9214" width="9.33203125" style="616"/>
    <col min="9215" max="9215" width="7.1640625" style="616" customWidth="1"/>
    <col min="9216" max="9216" width="4.1640625" style="616" customWidth="1"/>
    <col min="9217" max="9220" width="9.33203125" style="616"/>
    <col min="9221" max="9221" width="14.5" style="616" customWidth="1"/>
    <col min="9222" max="9222" width="16" style="616" customWidth="1"/>
    <col min="9223" max="9223" width="15.83203125" style="616" customWidth="1"/>
    <col min="9224" max="9224" width="4.83203125" style="616" customWidth="1"/>
    <col min="9225" max="9225" width="18.5" style="616" customWidth="1"/>
    <col min="9226" max="9226" width="4.83203125" style="616" customWidth="1"/>
    <col min="9227" max="9227" width="0" style="616" hidden="1" customWidth="1"/>
    <col min="9228" max="9228" width="6" style="616" customWidth="1"/>
    <col min="9229" max="9229" width="14.5" style="616" customWidth="1"/>
    <col min="9230" max="9232" width="9.33203125" style="616"/>
    <col min="9233" max="9233" width="16.6640625" style="616" customWidth="1"/>
    <col min="9234" max="9470" width="9.33203125" style="616"/>
    <col min="9471" max="9471" width="7.1640625" style="616" customWidth="1"/>
    <col min="9472" max="9472" width="4.1640625" style="616" customWidth="1"/>
    <col min="9473" max="9476" width="9.33203125" style="616"/>
    <col min="9477" max="9477" width="14.5" style="616" customWidth="1"/>
    <col min="9478" max="9478" width="16" style="616" customWidth="1"/>
    <col min="9479" max="9479" width="15.83203125" style="616" customWidth="1"/>
    <col min="9480" max="9480" width="4.83203125" style="616" customWidth="1"/>
    <col min="9481" max="9481" width="18.5" style="616" customWidth="1"/>
    <col min="9482" max="9482" width="4.83203125" style="616" customWidth="1"/>
    <col min="9483" max="9483" width="0" style="616" hidden="1" customWidth="1"/>
    <col min="9484" max="9484" width="6" style="616" customWidth="1"/>
    <col min="9485" max="9485" width="14.5" style="616" customWidth="1"/>
    <col min="9486" max="9488" width="9.33203125" style="616"/>
    <col min="9489" max="9489" width="16.6640625" style="616" customWidth="1"/>
    <col min="9490" max="9726" width="9.33203125" style="616"/>
    <col min="9727" max="9727" width="7.1640625" style="616" customWidth="1"/>
    <col min="9728" max="9728" width="4.1640625" style="616" customWidth="1"/>
    <col min="9729" max="9732" width="9.33203125" style="616"/>
    <col min="9733" max="9733" width="14.5" style="616" customWidth="1"/>
    <col min="9734" max="9734" width="16" style="616" customWidth="1"/>
    <col min="9735" max="9735" width="15.83203125" style="616" customWidth="1"/>
    <col min="9736" max="9736" width="4.83203125" style="616" customWidth="1"/>
    <col min="9737" max="9737" width="18.5" style="616" customWidth="1"/>
    <col min="9738" max="9738" width="4.83203125" style="616" customWidth="1"/>
    <col min="9739" max="9739" width="0" style="616" hidden="1" customWidth="1"/>
    <col min="9740" max="9740" width="6" style="616" customWidth="1"/>
    <col min="9741" max="9741" width="14.5" style="616" customWidth="1"/>
    <col min="9742" max="9744" width="9.33203125" style="616"/>
    <col min="9745" max="9745" width="16.6640625" style="616" customWidth="1"/>
    <col min="9746" max="9982" width="9.33203125" style="616"/>
    <col min="9983" max="9983" width="7.1640625" style="616" customWidth="1"/>
    <col min="9984" max="9984" width="4.1640625" style="616" customWidth="1"/>
    <col min="9985" max="9988" width="9.33203125" style="616"/>
    <col min="9989" max="9989" width="14.5" style="616" customWidth="1"/>
    <col min="9990" max="9990" width="16" style="616" customWidth="1"/>
    <col min="9991" max="9991" width="15.83203125" style="616" customWidth="1"/>
    <col min="9992" max="9992" width="4.83203125" style="616" customWidth="1"/>
    <col min="9993" max="9993" width="18.5" style="616" customWidth="1"/>
    <col min="9994" max="9994" width="4.83203125" style="616" customWidth="1"/>
    <col min="9995" max="9995" width="0" style="616" hidden="1" customWidth="1"/>
    <col min="9996" max="9996" width="6" style="616" customWidth="1"/>
    <col min="9997" max="9997" width="14.5" style="616" customWidth="1"/>
    <col min="9998" max="10000" width="9.33203125" style="616"/>
    <col min="10001" max="10001" width="16.6640625" style="616" customWidth="1"/>
    <col min="10002" max="10238" width="9.33203125" style="616"/>
    <col min="10239" max="10239" width="7.1640625" style="616" customWidth="1"/>
    <col min="10240" max="10240" width="4.1640625" style="616" customWidth="1"/>
    <col min="10241" max="10244" width="9.33203125" style="616"/>
    <col min="10245" max="10245" width="14.5" style="616" customWidth="1"/>
    <col min="10246" max="10246" width="16" style="616" customWidth="1"/>
    <col min="10247" max="10247" width="15.83203125" style="616" customWidth="1"/>
    <col min="10248" max="10248" width="4.83203125" style="616" customWidth="1"/>
    <col min="10249" max="10249" width="18.5" style="616" customWidth="1"/>
    <col min="10250" max="10250" width="4.83203125" style="616" customWidth="1"/>
    <col min="10251" max="10251" width="0" style="616" hidden="1" customWidth="1"/>
    <col min="10252" max="10252" width="6" style="616" customWidth="1"/>
    <col min="10253" max="10253" width="14.5" style="616" customWidth="1"/>
    <col min="10254" max="10256" width="9.33203125" style="616"/>
    <col min="10257" max="10257" width="16.6640625" style="616" customWidth="1"/>
    <col min="10258" max="10494" width="9.33203125" style="616"/>
    <col min="10495" max="10495" width="7.1640625" style="616" customWidth="1"/>
    <col min="10496" max="10496" width="4.1640625" style="616" customWidth="1"/>
    <col min="10497" max="10500" width="9.33203125" style="616"/>
    <col min="10501" max="10501" width="14.5" style="616" customWidth="1"/>
    <col min="10502" max="10502" width="16" style="616" customWidth="1"/>
    <col min="10503" max="10503" width="15.83203125" style="616" customWidth="1"/>
    <col min="10504" max="10504" width="4.83203125" style="616" customWidth="1"/>
    <col min="10505" max="10505" width="18.5" style="616" customWidth="1"/>
    <col min="10506" max="10506" width="4.83203125" style="616" customWidth="1"/>
    <col min="10507" max="10507" width="0" style="616" hidden="1" customWidth="1"/>
    <col min="10508" max="10508" width="6" style="616" customWidth="1"/>
    <col min="10509" max="10509" width="14.5" style="616" customWidth="1"/>
    <col min="10510" max="10512" width="9.33203125" style="616"/>
    <col min="10513" max="10513" width="16.6640625" style="616" customWidth="1"/>
    <col min="10514" max="10750" width="9.33203125" style="616"/>
    <col min="10751" max="10751" width="7.1640625" style="616" customWidth="1"/>
    <col min="10752" max="10752" width="4.1640625" style="616" customWidth="1"/>
    <col min="10753" max="10756" width="9.33203125" style="616"/>
    <col min="10757" max="10757" width="14.5" style="616" customWidth="1"/>
    <col min="10758" max="10758" width="16" style="616" customWidth="1"/>
    <col min="10759" max="10759" width="15.83203125" style="616" customWidth="1"/>
    <col min="10760" max="10760" width="4.83203125" style="616" customWidth="1"/>
    <col min="10761" max="10761" width="18.5" style="616" customWidth="1"/>
    <col min="10762" max="10762" width="4.83203125" style="616" customWidth="1"/>
    <col min="10763" max="10763" width="0" style="616" hidden="1" customWidth="1"/>
    <col min="10764" max="10764" width="6" style="616" customWidth="1"/>
    <col min="10765" max="10765" width="14.5" style="616" customWidth="1"/>
    <col min="10766" max="10768" width="9.33203125" style="616"/>
    <col min="10769" max="10769" width="16.6640625" style="616" customWidth="1"/>
    <col min="10770" max="11006" width="9.33203125" style="616"/>
    <col min="11007" max="11007" width="7.1640625" style="616" customWidth="1"/>
    <col min="11008" max="11008" width="4.1640625" style="616" customWidth="1"/>
    <col min="11009" max="11012" width="9.33203125" style="616"/>
    <col min="11013" max="11013" width="14.5" style="616" customWidth="1"/>
    <col min="11014" max="11014" width="16" style="616" customWidth="1"/>
    <col min="11015" max="11015" width="15.83203125" style="616" customWidth="1"/>
    <col min="11016" max="11016" width="4.83203125" style="616" customWidth="1"/>
    <col min="11017" max="11017" width="18.5" style="616" customWidth="1"/>
    <col min="11018" max="11018" width="4.83203125" style="616" customWidth="1"/>
    <col min="11019" max="11019" width="0" style="616" hidden="1" customWidth="1"/>
    <col min="11020" max="11020" width="6" style="616" customWidth="1"/>
    <col min="11021" max="11021" width="14.5" style="616" customWidth="1"/>
    <col min="11022" max="11024" width="9.33203125" style="616"/>
    <col min="11025" max="11025" width="16.6640625" style="616" customWidth="1"/>
    <col min="11026" max="11262" width="9.33203125" style="616"/>
    <col min="11263" max="11263" width="7.1640625" style="616" customWidth="1"/>
    <col min="11264" max="11264" width="4.1640625" style="616" customWidth="1"/>
    <col min="11265" max="11268" width="9.33203125" style="616"/>
    <col min="11269" max="11269" width="14.5" style="616" customWidth="1"/>
    <col min="11270" max="11270" width="16" style="616" customWidth="1"/>
    <col min="11271" max="11271" width="15.83203125" style="616" customWidth="1"/>
    <col min="11272" max="11272" width="4.83203125" style="616" customWidth="1"/>
    <col min="11273" max="11273" width="18.5" style="616" customWidth="1"/>
    <col min="11274" max="11274" width="4.83203125" style="616" customWidth="1"/>
    <col min="11275" max="11275" width="0" style="616" hidden="1" customWidth="1"/>
    <col min="11276" max="11276" width="6" style="616" customWidth="1"/>
    <col min="11277" max="11277" width="14.5" style="616" customWidth="1"/>
    <col min="11278" max="11280" width="9.33203125" style="616"/>
    <col min="11281" max="11281" width="16.6640625" style="616" customWidth="1"/>
    <col min="11282" max="11518" width="9.33203125" style="616"/>
    <col min="11519" max="11519" width="7.1640625" style="616" customWidth="1"/>
    <col min="11520" max="11520" width="4.1640625" style="616" customWidth="1"/>
    <col min="11521" max="11524" width="9.33203125" style="616"/>
    <col min="11525" max="11525" width="14.5" style="616" customWidth="1"/>
    <col min="11526" max="11526" width="16" style="616" customWidth="1"/>
    <col min="11527" max="11527" width="15.83203125" style="616" customWidth="1"/>
    <col min="11528" max="11528" width="4.83203125" style="616" customWidth="1"/>
    <col min="11529" max="11529" width="18.5" style="616" customWidth="1"/>
    <col min="11530" max="11530" width="4.83203125" style="616" customWidth="1"/>
    <col min="11531" max="11531" width="0" style="616" hidden="1" customWidth="1"/>
    <col min="11532" max="11532" width="6" style="616" customWidth="1"/>
    <col min="11533" max="11533" width="14.5" style="616" customWidth="1"/>
    <col min="11534" max="11536" width="9.33203125" style="616"/>
    <col min="11537" max="11537" width="16.6640625" style="616" customWidth="1"/>
    <col min="11538" max="11774" width="9.33203125" style="616"/>
    <col min="11775" max="11775" width="7.1640625" style="616" customWidth="1"/>
    <col min="11776" max="11776" width="4.1640625" style="616" customWidth="1"/>
    <col min="11777" max="11780" width="9.33203125" style="616"/>
    <col min="11781" max="11781" width="14.5" style="616" customWidth="1"/>
    <col min="11782" max="11782" width="16" style="616" customWidth="1"/>
    <col min="11783" max="11783" width="15.83203125" style="616" customWidth="1"/>
    <col min="11784" max="11784" width="4.83203125" style="616" customWidth="1"/>
    <col min="11785" max="11785" width="18.5" style="616" customWidth="1"/>
    <col min="11786" max="11786" width="4.83203125" style="616" customWidth="1"/>
    <col min="11787" max="11787" width="0" style="616" hidden="1" customWidth="1"/>
    <col min="11788" max="11788" width="6" style="616" customWidth="1"/>
    <col min="11789" max="11789" width="14.5" style="616" customWidth="1"/>
    <col min="11790" max="11792" width="9.33203125" style="616"/>
    <col min="11793" max="11793" width="16.6640625" style="616" customWidth="1"/>
    <col min="11794" max="12030" width="9.33203125" style="616"/>
    <col min="12031" max="12031" width="7.1640625" style="616" customWidth="1"/>
    <col min="12032" max="12032" width="4.1640625" style="616" customWidth="1"/>
    <col min="12033" max="12036" width="9.33203125" style="616"/>
    <col min="12037" max="12037" width="14.5" style="616" customWidth="1"/>
    <col min="12038" max="12038" width="16" style="616" customWidth="1"/>
    <col min="12039" max="12039" width="15.83203125" style="616" customWidth="1"/>
    <col min="12040" max="12040" width="4.83203125" style="616" customWidth="1"/>
    <col min="12041" max="12041" width="18.5" style="616" customWidth="1"/>
    <col min="12042" max="12042" width="4.83203125" style="616" customWidth="1"/>
    <col min="12043" max="12043" width="0" style="616" hidden="1" customWidth="1"/>
    <col min="12044" max="12044" width="6" style="616" customWidth="1"/>
    <col min="12045" max="12045" width="14.5" style="616" customWidth="1"/>
    <col min="12046" max="12048" width="9.33203125" style="616"/>
    <col min="12049" max="12049" width="16.6640625" style="616" customWidth="1"/>
    <col min="12050" max="12286" width="9.33203125" style="616"/>
    <col min="12287" max="12287" width="7.1640625" style="616" customWidth="1"/>
    <col min="12288" max="12288" width="4.1640625" style="616" customWidth="1"/>
    <col min="12289" max="12292" width="9.33203125" style="616"/>
    <col min="12293" max="12293" width="14.5" style="616" customWidth="1"/>
    <col min="12294" max="12294" width="16" style="616" customWidth="1"/>
    <col min="12295" max="12295" width="15.83203125" style="616" customWidth="1"/>
    <col min="12296" max="12296" width="4.83203125" style="616" customWidth="1"/>
    <col min="12297" max="12297" width="18.5" style="616" customWidth="1"/>
    <col min="12298" max="12298" width="4.83203125" style="616" customWidth="1"/>
    <col min="12299" max="12299" width="0" style="616" hidden="1" customWidth="1"/>
    <col min="12300" max="12300" width="6" style="616" customWidth="1"/>
    <col min="12301" max="12301" width="14.5" style="616" customWidth="1"/>
    <col min="12302" max="12304" width="9.33203125" style="616"/>
    <col min="12305" max="12305" width="16.6640625" style="616" customWidth="1"/>
    <col min="12306" max="12542" width="9.33203125" style="616"/>
    <col min="12543" max="12543" width="7.1640625" style="616" customWidth="1"/>
    <col min="12544" max="12544" width="4.1640625" style="616" customWidth="1"/>
    <col min="12545" max="12548" width="9.33203125" style="616"/>
    <col min="12549" max="12549" width="14.5" style="616" customWidth="1"/>
    <col min="12550" max="12550" width="16" style="616" customWidth="1"/>
    <col min="12551" max="12551" width="15.83203125" style="616" customWidth="1"/>
    <col min="12552" max="12552" width="4.83203125" style="616" customWidth="1"/>
    <col min="12553" max="12553" width="18.5" style="616" customWidth="1"/>
    <col min="12554" max="12554" width="4.83203125" style="616" customWidth="1"/>
    <col min="12555" max="12555" width="0" style="616" hidden="1" customWidth="1"/>
    <col min="12556" max="12556" width="6" style="616" customWidth="1"/>
    <col min="12557" max="12557" width="14.5" style="616" customWidth="1"/>
    <col min="12558" max="12560" width="9.33203125" style="616"/>
    <col min="12561" max="12561" width="16.6640625" style="616" customWidth="1"/>
    <col min="12562" max="12798" width="9.33203125" style="616"/>
    <col min="12799" max="12799" width="7.1640625" style="616" customWidth="1"/>
    <col min="12800" max="12800" width="4.1640625" style="616" customWidth="1"/>
    <col min="12801" max="12804" width="9.33203125" style="616"/>
    <col min="12805" max="12805" width="14.5" style="616" customWidth="1"/>
    <col min="12806" max="12806" width="16" style="616" customWidth="1"/>
    <col min="12807" max="12807" width="15.83203125" style="616" customWidth="1"/>
    <col min="12808" max="12808" width="4.83203125" style="616" customWidth="1"/>
    <col min="12809" max="12809" width="18.5" style="616" customWidth="1"/>
    <col min="12810" max="12810" width="4.83203125" style="616" customWidth="1"/>
    <col min="12811" max="12811" width="0" style="616" hidden="1" customWidth="1"/>
    <col min="12812" max="12812" width="6" style="616" customWidth="1"/>
    <col min="12813" max="12813" width="14.5" style="616" customWidth="1"/>
    <col min="12814" max="12816" width="9.33203125" style="616"/>
    <col min="12817" max="12817" width="16.6640625" style="616" customWidth="1"/>
    <col min="12818" max="13054" width="9.33203125" style="616"/>
    <col min="13055" max="13055" width="7.1640625" style="616" customWidth="1"/>
    <col min="13056" max="13056" width="4.1640625" style="616" customWidth="1"/>
    <col min="13057" max="13060" width="9.33203125" style="616"/>
    <col min="13061" max="13061" width="14.5" style="616" customWidth="1"/>
    <col min="13062" max="13062" width="16" style="616" customWidth="1"/>
    <col min="13063" max="13063" width="15.83203125" style="616" customWidth="1"/>
    <col min="13064" max="13064" width="4.83203125" style="616" customWidth="1"/>
    <col min="13065" max="13065" width="18.5" style="616" customWidth="1"/>
    <col min="13066" max="13066" width="4.83203125" style="616" customWidth="1"/>
    <col min="13067" max="13067" width="0" style="616" hidden="1" customWidth="1"/>
    <col min="13068" max="13068" width="6" style="616" customWidth="1"/>
    <col min="13069" max="13069" width="14.5" style="616" customWidth="1"/>
    <col min="13070" max="13072" width="9.33203125" style="616"/>
    <col min="13073" max="13073" width="16.6640625" style="616" customWidth="1"/>
    <col min="13074" max="13310" width="9.33203125" style="616"/>
    <col min="13311" max="13311" width="7.1640625" style="616" customWidth="1"/>
    <col min="13312" max="13312" width="4.1640625" style="616" customWidth="1"/>
    <col min="13313" max="13316" width="9.33203125" style="616"/>
    <col min="13317" max="13317" width="14.5" style="616" customWidth="1"/>
    <col min="13318" max="13318" width="16" style="616" customWidth="1"/>
    <col min="13319" max="13319" width="15.83203125" style="616" customWidth="1"/>
    <col min="13320" max="13320" width="4.83203125" style="616" customWidth="1"/>
    <col min="13321" max="13321" width="18.5" style="616" customWidth="1"/>
    <col min="13322" max="13322" width="4.83203125" style="616" customWidth="1"/>
    <col min="13323" max="13323" width="0" style="616" hidden="1" customWidth="1"/>
    <col min="13324" max="13324" width="6" style="616" customWidth="1"/>
    <col min="13325" max="13325" width="14.5" style="616" customWidth="1"/>
    <col min="13326" max="13328" width="9.33203125" style="616"/>
    <col min="13329" max="13329" width="16.6640625" style="616" customWidth="1"/>
    <col min="13330" max="13566" width="9.33203125" style="616"/>
    <col min="13567" max="13567" width="7.1640625" style="616" customWidth="1"/>
    <col min="13568" max="13568" width="4.1640625" style="616" customWidth="1"/>
    <col min="13569" max="13572" width="9.33203125" style="616"/>
    <col min="13573" max="13573" width="14.5" style="616" customWidth="1"/>
    <col min="13574" max="13574" width="16" style="616" customWidth="1"/>
    <col min="13575" max="13575" width="15.83203125" style="616" customWidth="1"/>
    <col min="13576" max="13576" width="4.83203125" style="616" customWidth="1"/>
    <col min="13577" max="13577" width="18.5" style="616" customWidth="1"/>
    <col min="13578" max="13578" width="4.83203125" style="616" customWidth="1"/>
    <col min="13579" max="13579" width="0" style="616" hidden="1" customWidth="1"/>
    <col min="13580" max="13580" width="6" style="616" customWidth="1"/>
    <col min="13581" max="13581" width="14.5" style="616" customWidth="1"/>
    <col min="13582" max="13584" width="9.33203125" style="616"/>
    <col min="13585" max="13585" width="16.6640625" style="616" customWidth="1"/>
    <col min="13586" max="13822" width="9.33203125" style="616"/>
    <col min="13823" max="13823" width="7.1640625" style="616" customWidth="1"/>
    <col min="13824" max="13824" width="4.1640625" style="616" customWidth="1"/>
    <col min="13825" max="13828" width="9.33203125" style="616"/>
    <col min="13829" max="13829" width="14.5" style="616" customWidth="1"/>
    <col min="13830" max="13830" width="16" style="616" customWidth="1"/>
    <col min="13831" max="13831" width="15.83203125" style="616" customWidth="1"/>
    <col min="13832" max="13832" width="4.83203125" style="616" customWidth="1"/>
    <col min="13833" max="13833" width="18.5" style="616" customWidth="1"/>
    <col min="13834" max="13834" width="4.83203125" style="616" customWidth="1"/>
    <col min="13835" max="13835" width="0" style="616" hidden="1" customWidth="1"/>
    <col min="13836" max="13836" width="6" style="616" customWidth="1"/>
    <col min="13837" max="13837" width="14.5" style="616" customWidth="1"/>
    <col min="13838" max="13840" width="9.33203125" style="616"/>
    <col min="13841" max="13841" width="16.6640625" style="616" customWidth="1"/>
    <col min="13842" max="14078" width="9.33203125" style="616"/>
    <col min="14079" max="14079" width="7.1640625" style="616" customWidth="1"/>
    <col min="14080" max="14080" width="4.1640625" style="616" customWidth="1"/>
    <col min="14081" max="14084" width="9.33203125" style="616"/>
    <col min="14085" max="14085" width="14.5" style="616" customWidth="1"/>
    <col min="14086" max="14086" width="16" style="616" customWidth="1"/>
    <col min="14087" max="14087" width="15.83203125" style="616" customWidth="1"/>
    <col min="14088" max="14088" width="4.83203125" style="616" customWidth="1"/>
    <col min="14089" max="14089" width="18.5" style="616" customWidth="1"/>
    <col min="14090" max="14090" width="4.83203125" style="616" customWidth="1"/>
    <col min="14091" max="14091" width="0" style="616" hidden="1" customWidth="1"/>
    <col min="14092" max="14092" width="6" style="616" customWidth="1"/>
    <col min="14093" max="14093" width="14.5" style="616" customWidth="1"/>
    <col min="14094" max="14096" width="9.33203125" style="616"/>
    <col min="14097" max="14097" width="16.6640625" style="616" customWidth="1"/>
    <col min="14098" max="14334" width="9.33203125" style="616"/>
    <col min="14335" max="14335" width="7.1640625" style="616" customWidth="1"/>
    <col min="14336" max="14336" width="4.1640625" style="616" customWidth="1"/>
    <col min="14337" max="14340" width="9.33203125" style="616"/>
    <col min="14341" max="14341" width="14.5" style="616" customWidth="1"/>
    <col min="14342" max="14342" width="16" style="616" customWidth="1"/>
    <col min="14343" max="14343" width="15.83203125" style="616" customWidth="1"/>
    <col min="14344" max="14344" width="4.83203125" style="616" customWidth="1"/>
    <col min="14345" max="14345" width="18.5" style="616" customWidth="1"/>
    <col min="14346" max="14346" width="4.83203125" style="616" customWidth="1"/>
    <col min="14347" max="14347" width="0" style="616" hidden="1" customWidth="1"/>
    <col min="14348" max="14348" width="6" style="616" customWidth="1"/>
    <col min="14349" max="14349" width="14.5" style="616" customWidth="1"/>
    <col min="14350" max="14352" width="9.33203125" style="616"/>
    <col min="14353" max="14353" width="16.6640625" style="616" customWidth="1"/>
    <col min="14354" max="14590" width="9.33203125" style="616"/>
    <col min="14591" max="14591" width="7.1640625" style="616" customWidth="1"/>
    <col min="14592" max="14592" width="4.1640625" style="616" customWidth="1"/>
    <col min="14593" max="14596" width="9.33203125" style="616"/>
    <col min="14597" max="14597" width="14.5" style="616" customWidth="1"/>
    <col min="14598" max="14598" width="16" style="616" customWidth="1"/>
    <col min="14599" max="14599" width="15.83203125" style="616" customWidth="1"/>
    <col min="14600" max="14600" width="4.83203125" style="616" customWidth="1"/>
    <col min="14601" max="14601" width="18.5" style="616" customWidth="1"/>
    <col min="14602" max="14602" width="4.83203125" style="616" customWidth="1"/>
    <col min="14603" max="14603" width="0" style="616" hidden="1" customWidth="1"/>
    <col min="14604" max="14604" width="6" style="616" customWidth="1"/>
    <col min="14605" max="14605" width="14.5" style="616" customWidth="1"/>
    <col min="14606" max="14608" width="9.33203125" style="616"/>
    <col min="14609" max="14609" width="16.6640625" style="616" customWidth="1"/>
    <col min="14610" max="14846" width="9.33203125" style="616"/>
    <col min="14847" max="14847" width="7.1640625" style="616" customWidth="1"/>
    <col min="14848" max="14848" width="4.1640625" style="616" customWidth="1"/>
    <col min="14849" max="14852" width="9.33203125" style="616"/>
    <col min="14853" max="14853" width="14.5" style="616" customWidth="1"/>
    <col min="14854" max="14854" width="16" style="616" customWidth="1"/>
    <col min="14855" max="14855" width="15.83203125" style="616" customWidth="1"/>
    <col min="14856" max="14856" width="4.83203125" style="616" customWidth="1"/>
    <col min="14857" max="14857" width="18.5" style="616" customWidth="1"/>
    <col min="14858" max="14858" width="4.83203125" style="616" customWidth="1"/>
    <col min="14859" max="14859" width="0" style="616" hidden="1" customWidth="1"/>
    <col min="14860" max="14860" width="6" style="616" customWidth="1"/>
    <col min="14861" max="14861" width="14.5" style="616" customWidth="1"/>
    <col min="14862" max="14864" width="9.33203125" style="616"/>
    <col min="14865" max="14865" width="16.6640625" style="616" customWidth="1"/>
    <col min="14866" max="15102" width="9.33203125" style="616"/>
    <col min="15103" max="15103" width="7.1640625" style="616" customWidth="1"/>
    <col min="15104" max="15104" width="4.1640625" style="616" customWidth="1"/>
    <col min="15105" max="15108" width="9.33203125" style="616"/>
    <col min="15109" max="15109" width="14.5" style="616" customWidth="1"/>
    <col min="15110" max="15110" width="16" style="616" customWidth="1"/>
    <col min="15111" max="15111" width="15.83203125" style="616" customWidth="1"/>
    <col min="15112" max="15112" width="4.83203125" style="616" customWidth="1"/>
    <col min="15113" max="15113" width="18.5" style="616" customWidth="1"/>
    <col min="15114" max="15114" width="4.83203125" style="616" customWidth="1"/>
    <col min="15115" max="15115" width="0" style="616" hidden="1" customWidth="1"/>
    <col min="15116" max="15116" width="6" style="616" customWidth="1"/>
    <col min="15117" max="15117" width="14.5" style="616" customWidth="1"/>
    <col min="15118" max="15120" width="9.33203125" style="616"/>
    <col min="15121" max="15121" width="16.6640625" style="616" customWidth="1"/>
    <col min="15122" max="15358" width="9.33203125" style="616"/>
    <col min="15359" max="15359" width="7.1640625" style="616" customWidth="1"/>
    <col min="15360" max="15360" width="4.1640625" style="616" customWidth="1"/>
    <col min="15361" max="15364" width="9.33203125" style="616"/>
    <col min="15365" max="15365" width="14.5" style="616" customWidth="1"/>
    <col min="15366" max="15366" width="16" style="616" customWidth="1"/>
    <col min="15367" max="15367" width="15.83203125" style="616" customWidth="1"/>
    <col min="15368" max="15368" width="4.83203125" style="616" customWidth="1"/>
    <col min="15369" max="15369" width="18.5" style="616" customWidth="1"/>
    <col min="15370" max="15370" width="4.83203125" style="616" customWidth="1"/>
    <col min="15371" max="15371" width="0" style="616" hidden="1" customWidth="1"/>
    <col min="15372" max="15372" width="6" style="616" customWidth="1"/>
    <col min="15373" max="15373" width="14.5" style="616" customWidth="1"/>
    <col min="15374" max="15376" width="9.33203125" style="616"/>
    <col min="15377" max="15377" width="16.6640625" style="616" customWidth="1"/>
    <col min="15378" max="15614" width="9.33203125" style="616"/>
    <col min="15615" max="15615" width="7.1640625" style="616" customWidth="1"/>
    <col min="15616" max="15616" width="4.1640625" style="616" customWidth="1"/>
    <col min="15617" max="15620" width="9.33203125" style="616"/>
    <col min="15621" max="15621" width="14.5" style="616" customWidth="1"/>
    <col min="15622" max="15622" width="16" style="616" customWidth="1"/>
    <col min="15623" max="15623" width="15.83203125" style="616" customWidth="1"/>
    <col min="15624" max="15624" width="4.83203125" style="616" customWidth="1"/>
    <col min="15625" max="15625" width="18.5" style="616" customWidth="1"/>
    <col min="15626" max="15626" width="4.83203125" style="616" customWidth="1"/>
    <col min="15627" max="15627" width="0" style="616" hidden="1" customWidth="1"/>
    <col min="15628" max="15628" width="6" style="616" customWidth="1"/>
    <col min="15629" max="15629" width="14.5" style="616" customWidth="1"/>
    <col min="15630" max="15632" width="9.33203125" style="616"/>
    <col min="15633" max="15633" width="16.6640625" style="616" customWidth="1"/>
    <col min="15634" max="15870" width="9.33203125" style="616"/>
    <col min="15871" max="15871" width="7.1640625" style="616" customWidth="1"/>
    <col min="15872" max="15872" width="4.1640625" style="616" customWidth="1"/>
    <col min="15873" max="15876" width="9.33203125" style="616"/>
    <col min="15877" max="15877" width="14.5" style="616" customWidth="1"/>
    <col min="15878" max="15878" width="16" style="616" customWidth="1"/>
    <col min="15879" max="15879" width="15.83203125" style="616" customWidth="1"/>
    <col min="15880" max="15880" width="4.83203125" style="616" customWidth="1"/>
    <col min="15881" max="15881" width="18.5" style="616" customWidth="1"/>
    <col min="15882" max="15882" width="4.83203125" style="616" customWidth="1"/>
    <col min="15883" max="15883" width="0" style="616" hidden="1" customWidth="1"/>
    <col min="15884" max="15884" width="6" style="616" customWidth="1"/>
    <col min="15885" max="15885" width="14.5" style="616" customWidth="1"/>
    <col min="15886" max="15888" width="9.33203125" style="616"/>
    <col min="15889" max="15889" width="16.6640625" style="616" customWidth="1"/>
    <col min="15890" max="16126" width="9.33203125" style="616"/>
    <col min="16127" max="16127" width="7.1640625" style="616" customWidth="1"/>
    <col min="16128" max="16128" width="4.1640625" style="616" customWidth="1"/>
    <col min="16129" max="16132" width="9.33203125" style="616"/>
    <col min="16133" max="16133" width="14.5" style="616" customWidth="1"/>
    <col min="16134" max="16134" width="16" style="616" customWidth="1"/>
    <col min="16135" max="16135" width="15.83203125" style="616" customWidth="1"/>
    <col min="16136" max="16136" width="4.83203125" style="616" customWidth="1"/>
    <col min="16137" max="16137" width="18.5" style="616" customWidth="1"/>
    <col min="16138" max="16138" width="4.83203125" style="616" customWidth="1"/>
    <col min="16139" max="16139" width="0" style="616" hidden="1" customWidth="1"/>
    <col min="16140" max="16140" width="6" style="616" customWidth="1"/>
    <col min="16141" max="16141" width="14.5" style="616" customWidth="1"/>
    <col min="16142" max="16144" width="9.33203125" style="616"/>
    <col min="16145" max="16145" width="16.6640625" style="616" customWidth="1"/>
    <col min="16146" max="16384" width="9.33203125" style="616"/>
  </cols>
  <sheetData>
    <row r="1" spans="1:17" ht="12.75">
      <c r="K1" s="494" t="str">
        <f>+'Effects of UPT Avg. Bill'!J1</f>
        <v>W22-09-04</v>
      </c>
      <c r="M1" s="708"/>
    </row>
    <row r="2" spans="1:17" ht="15.75">
      <c r="A2" s="661"/>
      <c r="B2" s="578"/>
      <c r="C2" s="578"/>
      <c r="D2" s="648"/>
      <c r="E2" s="648"/>
      <c r="F2" s="648"/>
      <c r="G2" s="648"/>
      <c r="H2" s="648"/>
      <c r="I2" s="648"/>
      <c r="J2" s="648"/>
      <c r="K2" s="496" t="str">
        <f>+'[42]Unpro. Amount Change'!L2</f>
        <v>UPT Exhibit A</v>
      </c>
      <c r="M2" s="708"/>
    </row>
    <row r="3" spans="1:17" ht="15.75">
      <c r="A3" s="661"/>
      <c r="B3" s="578"/>
      <c r="C3" s="578"/>
      <c r="F3" s="581" t="s">
        <v>47</v>
      </c>
      <c r="G3" s="581"/>
      <c r="H3" s="581"/>
      <c r="I3" s="581"/>
      <c r="K3" s="496" t="s">
        <v>386</v>
      </c>
    </row>
    <row r="4" spans="1:17" ht="15.75">
      <c r="A4" s="661"/>
      <c r="B4" s="578"/>
      <c r="C4" s="578"/>
      <c r="D4" s="1011" t="s">
        <v>309</v>
      </c>
      <c r="E4" s="1011"/>
      <c r="F4" s="1011"/>
      <c r="G4" s="1011"/>
      <c r="H4" s="1011"/>
      <c r="I4" s="1011"/>
      <c r="J4" s="1011"/>
      <c r="K4" s="1011"/>
      <c r="L4" s="709"/>
    </row>
    <row r="5" spans="1:17" ht="15.75">
      <c r="A5" s="661"/>
      <c r="B5" s="578"/>
      <c r="C5" s="578"/>
      <c r="E5" s="606"/>
      <c r="F5" s="1011" t="s">
        <v>48</v>
      </c>
      <c r="G5" s="1011"/>
      <c r="H5" s="1011"/>
      <c r="I5" s="1011"/>
      <c r="J5" s="606"/>
      <c r="K5" s="606"/>
      <c r="L5" s="709"/>
    </row>
    <row r="6" spans="1:17" ht="15.75">
      <c r="A6" s="661"/>
      <c r="B6" s="578"/>
      <c r="C6" s="578"/>
      <c r="D6" s="578"/>
      <c r="E6" s="578"/>
      <c r="F6" s="578"/>
      <c r="G6" s="578"/>
      <c r="H6" s="578"/>
      <c r="I6" s="578"/>
      <c r="J6" s="578"/>
      <c r="K6" s="578"/>
    </row>
    <row r="7" spans="1:17" ht="15.75">
      <c r="A7" s="661"/>
      <c r="B7" s="578"/>
      <c r="C7" s="578"/>
      <c r="D7" s="578" t="s">
        <v>175</v>
      </c>
      <c r="E7" s="578"/>
      <c r="F7" s="578"/>
      <c r="G7" s="710" t="s">
        <v>67</v>
      </c>
      <c r="H7" s="710" t="s">
        <v>69</v>
      </c>
      <c r="I7" s="661">
        <v>505</v>
      </c>
      <c r="J7" s="661">
        <v>511</v>
      </c>
      <c r="K7" s="661">
        <v>570</v>
      </c>
      <c r="L7" s="661">
        <v>663</v>
      </c>
      <c r="M7" s="711"/>
    </row>
    <row r="8" spans="1:17" ht="15.75">
      <c r="A8" s="661" t="s">
        <v>7</v>
      </c>
      <c r="B8" s="578"/>
      <c r="C8" s="578"/>
      <c r="D8" s="578"/>
      <c r="E8" s="578"/>
      <c r="F8" s="578"/>
      <c r="G8" s="661" t="s">
        <v>66</v>
      </c>
      <c r="H8" s="661" t="s">
        <v>68</v>
      </c>
      <c r="I8" s="661" t="s">
        <v>176</v>
      </c>
      <c r="J8" s="578" t="s">
        <v>310</v>
      </c>
      <c r="K8" s="661" t="s">
        <v>12</v>
      </c>
      <c r="L8" s="661" t="s">
        <v>311</v>
      </c>
      <c r="M8" s="707"/>
    </row>
    <row r="9" spans="1:17" ht="15.75">
      <c r="A9" s="712" t="s">
        <v>9</v>
      </c>
      <c r="B9" s="578"/>
      <c r="C9" s="713" t="s">
        <v>177</v>
      </c>
      <c r="D9" s="714"/>
      <c r="E9" s="714"/>
      <c r="F9" s="714"/>
      <c r="G9" s="712" t="s">
        <v>178</v>
      </c>
      <c r="H9" s="712" t="s">
        <v>178</v>
      </c>
      <c r="I9" s="712" t="s">
        <v>178</v>
      </c>
      <c r="J9" s="712" t="s">
        <v>178</v>
      </c>
      <c r="K9" s="712" t="s">
        <v>178</v>
      </c>
      <c r="L9" s="712" t="s">
        <v>178</v>
      </c>
      <c r="M9" s="715"/>
    </row>
    <row r="10" spans="1:17" ht="15.75">
      <c r="A10" s="661"/>
      <c r="B10" s="578"/>
      <c r="C10" s="578"/>
      <c r="D10" s="578"/>
      <c r="E10" s="578"/>
      <c r="F10" s="578"/>
      <c r="G10" s="578"/>
      <c r="H10" s="578"/>
      <c r="I10" s="578"/>
      <c r="J10" s="578"/>
      <c r="K10" s="578"/>
    </row>
    <row r="11" spans="1:17" s="173" customFormat="1" ht="15.75">
      <c r="A11" s="209" t="s">
        <v>179</v>
      </c>
      <c r="B11" s="198"/>
      <c r="C11" s="840" t="s">
        <v>317</v>
      </c>
      <c r="D11" s="198"/>
      <c r="E11" s="198"/>
      <c r="F11" s="198"/>
      <c r="G11" s="841">
        <f>+'Unprotected Cost Allocation'!D16</f>
        <v>-2.7399999999999998E-3</v>
      </c>
      <c r="H11" s="841">
        <f>+'Unprotected Cost Allocation'!F16</f>
        <v>-2.0899999999999998E-3</v>
      </c>
      <c r="I11" s="841">
        <f>+'Unprotected Cost Allocation'!H16</f>
        <v>-1.33E-3</v>
      </c>
      <c r="J11" s="841">
        <f>+'Unprotected Cost Allocation'!I16</f>
        <v>-1.09E-3</v>
      </c>
      <c r="K11" s="841">
        <f>+'Unprotected Cost Allocation'!J16</f>
        <v>-4.0000000000000002E-4</v>
      </c>
      <c r="L11" s="841">
        <f>+'Unprotected Cost Allocation'!K16</f>
        <v>-2.3000000000000001E-4</v>
      </c>
      <c r="M11" s="195"/>
      <c r="Q11" s="195"/>
    </row>
    <row r="12" spans="1:17" ht="15.75">
      <c r="A12" s="716"/>
      <c r="B12" s="578"/>
      <c r="C12" s="647"/>
      <c r="D12" s="578"/>
      <c r="E12" s="578"/>
      <c r="F12" s="578"/>
      <c r="G12" s="725"/>
      <c r="H12" s="725"/>
      <c r="I12" s="725"/>
      <c r="J12" s="725"/>
      <c r="K12" s="725"/>
      <c r="L12" s="717"/>
      <c r="M12" s="717"/>
      <c r="Q12" s="717"/>
    </row>
    <row r="13" spans="1:17" ht="15.75">
      <c r="A13" s="716"/>
      <c r="B13" s="578"/>
      <c r="C13" s="578"/>
      <c r="D13" s="578"/>
      <c r="E13" s="578"/>
      <c r="F13" s="578"/>
      <c r="G13" s="578"/>
      <c r="H13" s="578"/>
      <c r="I13" s="578"/>
      <c r="J13" s="578"/>
      <c r="K13" s="578"/>
    </row>
    <row r="14" spans="1:17" ht="15.75">
      <c r="A14" s="716"/>
      <c r="B14" s="578"/>
      <c r="C14" s="713" t="s">
        <v>180</v>
      </c>
      <c r="D14" s="718"/>
      <c r="E14" s="718"/>
      <c r="F14" s="718"/>
      <c r="G14" s="578"/>
      <c r="H14" s="578"/>
      <c r="I14" s="578"/>
      <c r="J14" s="578"/>
      <c r="K14" s="578"/>
    </row>
    <row r="15" spans="1:17" ht="15.75">
      <c r="A15" s="716"/>
      <c r="B15" s="578"/>
      <c r="C15" s="578"/>
      <c r="D15" s="578"/>
      <c r="E15" s="578"/>
      <c r="F15" s="578"/>
      <c r="G15" s="578"/>
      <c r="H15" s="578"/>
      <c r="I15" s="578"/>
      <c r="J15" s="578"/>
      <c r="K15" s="578"/>
    </row>
    <row r="16" spans="1:17" ht="15.75">
      <c r="A16" s="716" t="s">
        <v>181</v>
      </c>
      <c r="B16" s="578"/>
      <c r="C16" s="647" t="s">
        <v>182</v>
      </c>
      <c r="D16" s="578"/>
      <c r="E16" s="578"/>
      <c r="F16" s="578"/>
      <c r="G16" s="726">
        <f>+'Unprotected Cost Allocation'!D24</f>
        <v>-3.1885175399433478E-4</v>
      </c>
      <c r="H16" s="726"/>
      <c r="I16" s="726"/>
      <c r="J16" s="726"/>
      <c r="K16" s="726"/>
      <c r="L16" s="727"/>
      <c r="M16" s="717"/>
    </row>
    <row r="17" spans="1:13" ht="15.75">
      <c r="A17" s="716"/>
      <c r="B17" s="578"/>
      <c r="C17" s="579"/>
      <c r="D17" s="578"/>
      <c r="E17" s="578"/>
      <c r="F17" s="578"/>
      <c r="G17" s="726"/>
      <c r="H17" s="726"/>
      <c r="I17" s="726"/>
      <c r="J17" s="726"/>
      <c r="K17" s="726"/>
      <c r="L17" s="727"/>
      <c r="M17" s="717"/>
    </row>
    <row r="18" spans="1:13" ht="15.75">
      <c r="A18" s="716" t="s">
        <v>183</v>
      </c>
      <c r="B18" s="578"/>
      <c r="C18" s="647" t="s">
        <v>184</v>
      </c>
      <c r="D18" s="578"/>
      <c r="E18" s="578"/>
      <c r="F18" s="578"/>
      <c r="G18" s="726"/>
      <c r="H18" s="726">
        <f>+'Unprotected Cost Allocation'!F24</f>
        <v>-2.4321173936064222E-4</v>
      </c>
      <c r="I18" s="726"/>
      <c r="J18" s="726"/>
      <c r="K18" s="726"/>
      <c r="L18" s="727"/>
      <c r="M18" s="717"/>
    </row>
    <row r="19" spans="1:13" ht="15.75">
      <c r="A19" s="716"/>
      <c r="B19" s="578"/>
      <c r="C19" s="578"/>
      <c r="D19" s="578"/>
      <c r="E19" s="578"/>
      <c r="F19" s="578"/>
      <c r="G19" s="726"/>
      <c r="H19" s="726"/>
      <c r="I19" s="726"/>
      <c r="J19" s="726"/>
      <c r="K19" s="726"/>
      <c r="L19" s="727"/>
      <c r="M19" s="717"/>
    </row>
    <row r="20" spans="1:13" ht="15.75">
      <c r="A20" s="716" t="s">
        <v>185</v>
      </c>
      <c r="B20" s="578"/>
      <c r="C20" s="647" t="s">
        <v>186</v>
      </c>
      <c r="D20" s="578"/>
      <c r="E20" s="578"/>
      <c r="F20" s="578"/>
      <c r="G20" s="726"/>
      <c r="H20" s="726"/>
      <c r="I20" s="726">
        <f>+'Unprotected Cost Allocation'!H24</f>
        <v>-1.5477110686586324E-4</v>
      </c>
      <c r="J20" s="727"/>
      <c r="K20" s="726"/>
      <c r="L20" s="727"/>
      <c r="M20" s="717"/>
    </row>
    <row r="21" spans="1:13" ht="15.75">
      <c r="A21" s="716"/>
      <c r="B21" s="578"/>
      <c r="C21" s="647"/>
      <c r="D21" s="578"/>
      <c r="E21" s="578"/>
      <c r="F21" s="578"/>
      <c r="G21" s="726"/>
      <c r="H21" s="726"/>
      <c r="I21" s="726"/>
      <c r="J21" s="726"/>
      <c r="K21" s="726"/>
      <c r="L21" s="727"/>
      <c r="M21" s="717"/>
    </row>
    <row r="22" spans="1:13" ht="15.75">
      <c r="A22" s="716" t="s">
        <v>288</v>
      </c>
      <c r="B22" s="578"/>
      <c r="C22" s="647" t="s">
        <v>112</v>
      </c>
      <c r="D22" s="578"/>
      <c r="E22" s="578"/>
      <c r="F22" s="578"/>
      <c r="G22" s="726"/>
      <c r="H22" s="726"/>
      <c r="I22" s="726"/>
      <c r="J22" s="726">
        <f>+'Unprotected Cost Allocation'!I24</f>
        <v>-1.2684248607803831E-4</v>
      </c>
      <c r="K22" s="726"/>
      <c r="L22" s="727"/>
      <c r="M22" s="717"/>
    </row>
    <row r="23" spans="1:13" ht="15.75">
      <c r="A23" s="716"/>
      <c r="B23" s="578"/>
      <c r="C23" s="578"/>
      <c r="D23" s="578"/>
      <c r="E23" s="578"/>
      <c r="F23" s="578"/>
      <c r="G23" s="726"/>
      <c r="H23" s="726"/>
      <c r="I23" s="726"/>
      <c r="J23" s="726"/>
      <c r="K23" s="726"/>
      <c r="L23" s="727"/>
      <c r="M23" s="717"/>
    </row>
    <row r="24" spans="1:13" ht="15.75">
      <c r="A24" s="716" t="s">
        <v>312</v>
      </c>
      <c r="B24" s="578"/>
      <c r="C24" s="579" t="s">
        <v>188</v>
      </c>
      <c r="D24" s="578"/>
      <c r="E24" s="578"/>
      <c r="F24" s="578"/>
      <c r="G24" s="726"/>
      <c r="H24" s="726"/>
      <c r="I24" s="726"/>
      <c r="J24" s="726"/>
      <c r="K24" s="726">
        <f>+'Unprotected Cost Allocation'!J24</f>
        <v>-4.6547701313041582E-5</v>
      </c>
      <c r="L24" s="727"/>
      <c r="M24" s="717"/>
    </row>
    <row r="25" spans="1:13" ht="15.75">
      <c r="A25" s="716"/>
      <c r="B25" s="578"/>
      <c r="C25" s="578"/>
      <c r="D25" s="578"/>
      <c r="E25" s="578"/>
      <c r="F25" s="578"/>
      <c r="G25" s="726"/>
      <c r="H25" s="726"/>
      <c r="I25" s="726"/>
      <c r="J25" s="726"/>
      <c r="K25" s="726"/>
      <c r="L25" s="727"/>
      <c r="M25" s="717"/>
    </row>
    <row r="26" spans="1:13" ht="15.75">
      <c r="A26" s="716" t="s">
        <v>313</v>
      </c>
      <c r="B26" s="578"/>
      <c r="C26" s="647" t="s">
        <v>314</v>
      </c>
      <c r="D26" s="578"/>
      <c r="E26" s="578"/>
      <c r="F26" s="578"/>
      <c r="G26" s="726"/>
      <c r="H26" s="726"/>
      <c r="I26" s="726"/>
      <c r="J26" s="726"/>
      <c r="K26" s="726"/>
      <c r="L26" s="726">
        <f>+'Unprotected Cost Allocation'!K24</f>
        <v>-2.6764928254998908E-5</v>
      </c>
    </row>
    <row r="27" spans="1:13" ht="15.75">
      <c r="A27" s="716"/>
      <c r="B27" s="578"/>
      <c r="C27" s="578"/>
      <c r="D27" s="578"/>
      <c r="E27" s="578"/>
      <c r="F27" s="578"/>
      <c r="G27" s="578"/>
      <c r="H27" s="578"/>
      <c r="I27" s="578"/>
      <c r="J27" s="578"/>
      <c r="K27" s="578"/>
      <c r="L27" s="578"/>
    </row>
    <row r="28" spans="1:13" ht="15.75">
      <c r="A28" s="716" t="s">
        <v>315</v>
      </c>
      <c r="B28" s="578"/>
      <c r="C28" s="647" t="s">
        <v>316</v>
      </c>
      <c r="D28" s="578"/>
      <c r="E28" s="578"/>
      <c r="F28" s="578"/>
      <c r="G28" s="728">
        <f>G16+G11+G12</f>
        <v>-3.0588517539943344E-3</v>
      </c>
      <c r="H28" s="728">
        <f>H18+H11+H12</f>
        <v>-2.3332117393606421E-3</v>
      </c>
      <c r="I28" s="728">
        <f>I20+I11+I12</f>
        <v>-1.4847711068658633E-3</v>
      </c>
      <c r="J28" s="728">
        <f>J22+J11+J12</f>
        <v>-1.2168424860780384E-3</v>
      </c>
      <c r="K28" s="728">
        <f>K24+K11</f>
        <v>-4.4654770131304159E-4</v>
      </c>
      <c r="L28" s="728">
        <f>L26+L11</f>
        <v>-2.5676492825499889E-4</v>
      </c>
      <c r="M28" s="717"/>
    </row>
    <row r="29" spans="1:13" ht="15.75">
      <c r="A29" s="661"/>
      <c r="B29" s="578"/>
      <c r="C29" s="578"/>
      <c r="D29" s="578"/>
      <c r="E29" s="578"/>
      <c r="F29" s="578"/>
      <c r="G29" s="578"/>
      <c r="H29" s="578"/>
      <c r="I29" s="578"/>
      <c r="J29" s="578"/>
      <c r="K29" s="578"/>
    </row>
    <row r="30" spans="1:13">
      <c r="C30" s="708"/>
      <c r="G30" s="717"/>
      <c r="H30" s="717"/>
      <c r="I30" s="717"/>
      <c r="J30" s="717"/>
      <c r="K30" s="717"/>
    </row>
    <row r="32" spans="1:13">
      <c r="C32" s="708"/>
    </row>
    <row r="34" spans="3:3">
      <c r="C34" s="708"/>
    </row>
    <row r="36" spans="3:3">
      <c r="C36" s="708"/>
    </row>
    <row r="38" spans="3:3">
      <c r="C38" s="708"/>
    </row>
    <row r="39" spans="3:3">
      <c r="C39" s="708"/>
    </row>
  </sheetData>
  <mergeCells count="2">
    <mergeCell ref="D4:K4"/>
    <mergeCell ref="F5:I5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F26C-4D86-4228-9DED-BEDD3449DE93}">
  <sheetPr>
    <tabColor rgb="FF7030A0"/>
  </sheetPr>
  <dimension ref="A1:K69"/>
  <sheetViews>
    <sheetView topLeftCell="A40" workbookViewId="0">
      <selection sqref="A1:I1"/>
    </sheetView>
  </sheetViews>
  <sheetFormatPr defaultColWidth="13.33203125" defaultRowHeight="12.75"/>
  <cols>
    <col min="1" max="1" width="13.5" style="730" bestFit="1" customWidth="1"/>
    <col min="2" max="2" width="13.33203125" style="730"/>
    <col min="3" max="3" width="5.5" style="730" bestFit="1" customWidth="1"/>
    <col min="4" max="4" width="15.1640625" style="730" customWidth="1"/>
    <col min="5" max="5" width="16.33203125" style="730" bestFit="1" customWidth="1"/>
    <col min="6" max="6" width="15.33203125" style="730" customWidth="1"/>
    <col min="7" max="7" width="15.33203125" style="730" bestFit="1" customWidth="1"/>
    <col min="8" max="8" width="15.6640625" style="730" bestFit="1" customWidth="1"/>
    <col min="9" max="9" width="17.5" style="730" customWidth="1"/>
    <col min="10" max="16384" width="13.33203125" style="730"/>
  </cols>
  <sheetData>
    <row r="1" spans="1:11">
      <c r="A1" s="1043" t="s">
        <v>318</v>
      </c>
      <c r="B1" s="1044"/>
      <c r="C1" s="729"/>
      <c r="D1" s="1045" t="s">
        <v>168</v>
      </c>
      <c r="E1" s="1045"/>
      <c r="F1" s="1045"/>
      <c r="G1" s="1045"/>
      <c r="H1" s="1045"/>
      <c r="I1" s="1046"/>
    </row>
    <row r="2" spans="1:11">
      <c r="A2" s="1047" t="s">
        <v>319</v>
      </c>
      <c r="B2" s="1048"/>
      <c r="C2" s="732"/>
      <c r="D2" s="1049" t="s">
        <v>335</v>
      </c>
      <c r="E2" s="1049"/>
      <c r="F2" s="1049"/>
      <c r="G2" s="1049"/>
      <c r="H2" s="1049"/>
      <c r="I2" s="1050"/>
    </row>
    <row r="3" spans="1:11">
      <c r="A3" s="1047" t="s">
        <v>320</v>
      </c>
      <c r="B3" s="1048"/>
      <c r="C3" s="732"/>
      <c r="D3" s="1049" t="s">
        <v>336</v>
      </c>
      <c r="E3" s="1049"/>
      <c r="F3" s="1049"/>
      <c r="G3" s="1049"/>
      <c r="H3" s="1049"/>
      <c r="I3" s="1050"/>
    </row>
    <row r="4" spans="1:11">
      <c r="A4" s="1047" t="s">
        <v>321</v>
      </c>
      <c r="B4" s="1048"/>
      <c r="C4" s="732"/>
      <c r="D4" s="1049"/>
      <c r="E4" s="1049"/>
      <c r="F4" s="1049"/>
      <c r="G4" s="1049"/>
      <c r="H4" s="1049"/>
      <c r="I4" s="1050"/>
    </row>
    <row r="5" spans="1:11">
      <c r="A5" s="1047" t="s">
        <v>322</v>
      </c>
      <c r="B5" s="1048"/>
      <c r="C5" s="732"/>
      <c r="D5" s="1049" t="s">
        <v>323</v>
      </c>
      <c r="E5" s="1049"/>
      <c r="F5" s="1049"/>
      <c r="G5" s="1049"/>
      <c r="H5" s="1049"/>
      <c r="I5" s="1050"/>
    </row>
    <row r="6" spans="1:11">
      <c r="A6" s="1047" t="s">
        <v>324</v>
      </c>
      <c r="B6" s="1048"/>
      <c r="C6" s="732"/>
      <c r="D6" s="1049" t="s">
        <v>337</v>
      </c>
      <c r="E6" s="1049"/>
      <c r="F6" s="1049"/>
      <c r="G6" s="1049"/>
      <c r="H6" s="1049"/>
      <c r="I6" s="1050"/>
    </row>
    <row r="7" spans="1:11" ht="13.5" thickBot="1">
      <c r="A7" s="1051" t="s">
        <v>325</v>
      </c>
      <c r="B7" s="1052"/>
      <c r="C7" s="733"/>
      <c r="D7" s="1053" t="s">
        <v>338</v>
      </c>
      <c r="E7" s="1053"/>
      <c r="F7" s="1053"/>
      <c r="G7" s="1053"/>
      <c r="H7" s="1053"/>
      <c r="I7" s="1054"/>
    </row>
    <row r="8" spans="1:11">
      <c r="A8" s="734"/>
      <c r="B8" s="734"/>
      <c r="C8" s="734"/>
      <c r="D8" s="735"/>
      <c r="E8" s="735"/>
      <c r="F8" s="735"/>
      <c r="G8" s="735"/>
      <c r="H8" s="735"/>
      <c r="I8" s="735"/>
    </row>
    <row r="9" spans="1:11">
      <c r="A9" s="732"/>
      <c r="E9" s="1055" t="s">
        <v>326</v>
      </c>
      <c r="F9" s="1055"/>
      <c r="G9" s="1055"/>
    </row>
    <row r="10" spans="1:11" s="737" customFormat="1">
      <c r="A10" s="736" t="s">
        <v>327</v>
      </c>
      <c r="B10" s="736" t="s">
        <v>46</v>
      </c>
      <c r="C10" s="736"/>
      <c r="D10" s="736" t="s">
        <v>328</v>
      </c>
      <c r="E10" s="736" t="s">
        <v>8</v>
      </c>
      <c r="F10" s="736" t="s">
        <v>10</v>
      </c>
      <c r="G10" s="736" t="s">
        <v>5</v>
      </c>
      <c r="H10" s="736" t="s">
        <v>329</v>
      </c>
      <c r="I10" s="736" t="s">
        <v>330</v>
      </c>
    </row>
    <row r="11" spans="1:11">
      <c r="A11" s="740"/>
      <c r="B11" s="740"/>
      <c r="C11" s="740"/>
      <c r="D11" s="740"/>
      <c r="E11" s="740"/>
      <c r="F11" s="740"/>
      <c r="G11" s="740"/>
      <c r="H11" s="740"/>
      <c r="I11" s="741"/>
    </row>
    <row r="12" spans="1:11">
      <c r="A12" s="1056" t="s">
        <v>331</v>
      </c>
      <c r="B12" s="1056"/>
      <c r="C12" s="1056"/>
      <c r="D12" s="1056"/>
      <c r="E12" s="1056"/>
      <c r="F12" s="1056"/>
      <c r="G12" s="1056"/>
      <c r="H12" s="741">
        <f>+'[49]2540.20484'!$G$12+'[49]2540.20483'!$G$12</f>
        <v>-514028.18</v>
      </c>
      <c r="I12" s="741"/>
    </row>
    <row r="13" spans="1:11">
      <c r="A13" s="1056"/>
      <c r="B13" s="1056"/>
      <c r="C13" s="1056"/>
      <c r="D13" s="1056"/>
      <c r="E13" s="1056"/>
      <c r="F13" s="1056"/>
      <c r="G13" s="1056"/>
      <c r="H13" s="741"/>
      <c r="I13" s="741">
        <f>SUM(H12:H12)</f>
        <v>-514028.18</v>
      </c>
    </row>
    <row r="14" spans="1:11">
      <c r="A14" s="742">
        <v>43343</v>
      </c>
      <c r="B14" s="743" t="s">
        <v>332</v>
      </c>
      <c r="C14" s="743"/>
      <c r="D14" s="744">
        <v>61836631</v>
      </c>
      <c r="E14" s="739">
        <f>4805.95+1389.35</f>
        <v>6195.2999999999993</v>
      </c>
      <c r="F14" s="741">
        <v>22031.420000000002</v>
      </c>
      <c r="G14" s="741">
        <f t="shared" ref="G14:G18" si="0">ROUND(I13*VLOOKUP(A14,TAXINT18,2)/365*VLOOKUP(A14,TAXINT18,3),2)</f>
        <v>0</v>
      </c>
      <c r="H14" s="741"/>
      <c r="I14" s="741">
        <f>SUM(E14:H14)+I13</f>
        <v>-485801.45999999996</v>
      </c>
      <c r="K14" s="739"/>
    </row>
    <row r="15" spans="1:11">
      <c r="A15" s="742">
        <v>43373</v>
      </c>
      <c r="B15" s="743" t="s">
        <v>332</v>
      </c>
      <c r="C15" s="743"/>
      <c r="D15" s="744">
        <v>69221884</v>
      </c>
      <c r="E15" s="739">
        <f>-49243.39-14235.72</f>
        <v>-63479.11</v>
      </c>
      <c r="F15" s="741">
        <v>33942.11</v>
      </c>
      <c r="G15" s="741">
        <f t="shared" si="0"/>
        <v>0</v>
      </c>
      <c r="H15" s="741"/>
      <c r="I15" s="741">
        <f t="shared" ref="I15:I24" si="1">SUM(E15:H15)+I14</f>
        <v>-515338.45999999996</v>
      </c>
      <c r="K15" s="739"/>
    </row>
    <row r="16" spans="1:11">
      <c r="A16" s="742">
        <v>43404</v>
      </c>
      <c r="B16" s="743" t="s">
        <v>332</v>
      </c>
      <c r="C16" s="743"/>
      <c r="D16" s="744">
        <v>58118580</v>
      </c>
      <c r="E16" s="738">
        <f>-49243.39-14235.72</f>
        <v>-63479.11</v>
      </c>
      <c r="F16" s="741">
        <v>42097.31</v>
      </c>
      <c r="G16" s="741">
        <f t="shared" si="0"/>
        <v>0</v>
      </c>
      <c r="H16" s="745"/>
      <c r="I16" s="746">
        <f t="shared" si="1"/>
        <v>-536720.26</v>
      </c>
      <c r="K16" s="738"/>
    </row>
    <row r="17" spans="1:11">
      <c r="A17" s="742">
        <v>43434</v>
      </c>
      <c r="B17" s="743" t="s">
        <v>333</v>
      </c>
      <c r="C17" s="743"/>
      <c r="D17" s="744">
        <v>43389765</v>
      </c>
      <c r="E17" s="738">
        <f>-49243.39-14235.72</f>
        <v>-63479.11</v>
      </c>
      <c r="F17" s="741">
        <v>54033.37</v>
      </c>
      <c r="G17" s="741">
        <f t="shared" si="0"/>
        <v>0</v>
      </c>
      <c r="H17" s="745"/>
      <c r="I17" s="746">
        <f t="shared" si="1"/>
        <v>-546166</v>
      </c>
      <c r="K17" s="738"/>
    </row>
    <row r="18" spans="1:11">
      <c r="A18" s="742">
        <v>43465</v>
      </c>
      <c r="B18" s="743" t="s">
        <v>332</v>
      </c>
      <c r="C18" s="743"/>
      <c r="D18" s="744">
        <v>80158637</v>
      </c>
      <c r="E18" s="738">
        <f>-115368.32-33351.71</f>
        <v>-148720.03</v>
      </c>
      <c r="F18" s="741">
        <v>104987.81999999998</v>
      </c>
      <c r="G18" s="741">
        <f t="shared" si="0"/>
        <v>0</v>
      </c>
      <c r="H18" s="745"/>
      <c r="I18" s="746">
        <f t="shared" si="1"/>
        <v>-589898.21</v>
      </c>
      <c r="K18" s="738"/>
    </row>
    <row r="19" spans="1:11">
      <c r="A19" s="742">
        <v>43496</v>
      </c>
      <c r="B19" s="743" t="s">
        <v>332</v>
      </c>
      <c r="C19" s="743"/>
      <c r="D19" s="744">
        <v>86264908</v>
      </c>
      <c r="E19" s="738">
        <f>-54753.8-15828.72</f>
        <v>-70582.52</v>
      </c>
      <c r="F19" s="741">
        <v>117892.7</v>
      </c>
      <c r="G19" s="741">
        <f t="shared" ref="G19:G40" si="2">ROUND(I18*VLOOKUP(A19,TAXINT19,2)/365*VLOOKUP(A19,TAXINT19,3),2)</f>
        <v>0</v>
      </c>
      <c r="H19" s="745"/>
      <c r="I19" s="746">
        <f t="shared" si="1"/>
        <v>-542588.03</v>
      </c>
      <c r="K19" s="738"/>
    </row>
    <row r="20" spans="1:11">
      <c r="A20" s="742">
        <v>43524</v>
      </c>
      <c r="B20" s="743" t="s">
        <v>332</v>
      </c>
      <c r="C20" s="743"/>
      <c r="D20" s="744">
        <v>82269503</v>
      </c>
      <c r="E20" s="738">
        <f>-54753.8-15828.72</f>
        <v>-70582.52</v>
      </c>
      <c r="F20" s="741">
        <v>123275.80999999998</v>
      </c>
      <c r="G20" s="741">
        <f t="shared" si="2"/>
        <v>0</v>
      </c>
      <c r="H20" s="745"/>
      <c r="I20" s="746">
        <f t="shared" si="1"/>
        <v>-489894.74000000005</v>
      </c>
      <c r="K20" s="738"/>
    </row>
    <row r="21" spans="1:11">
      <c r="A21" s="742">
        <v>43555</v>
      </c>
      <c r="B21" s="743" t="s">
        <v>332</v>
      </c>
      <c r="C21" s="743"/>
      <c r="D21" s="744">
        <v>84736435</v>
      </c>
      <c r="E21" s="738">
        <f>-54753.8-15828.72</f>
        <v>-70582.52</v>
      </c>
      <c r="F21" s="741">
        <v>133620.82999999999</v>
      </c>
      <c r="G21" s="741">
        <f t="shared" si="2"/>
        <v>0</v>
      </c>
      <c r="H21" s="745"/>
      <c r="I21" s="746">
        <f t="shared" si="1"/>
        <v>-426856.43000000005</v>
      </c>
      <c r="K21" s="738"/>
    </row>
    <row r="22" spans="1:11">
      <c r="A22" s="742">
        <v>43585</v>
      </c>
      <c r="B22" s="743" t="s">
        <v>332</v>
      </c>
      <c r="C22" s="743"/>
      <c r="D22" s="744">
        <v>62230455</v>
      </c>
      <c r="E22" s="739">
        <v>-70582.52</v>
      </c>
      <c r="F22" s="741">
        <v>79333.01999999999</v>
      </c>
      <c r="G22" s="741">
        <f t="shared" si="2"/>
        <v>0</v>
      </c>
      <c r="I22" s="746">
        <f t="shared" si="1"/>
        <v>-418105.93000000005</v>
      </c>
      <c r="K22" s="739"/>
    </row>
    <row r="23" spans="1:11">
      <c r="A23" s="742">
        <v>43616</v>
      </c>
      <c r="B23" s="743" t="s">
        <v>332</v>
      </c>
      <c r="C23" s="743"/>
      <c r="D23" s="744">
        <v>50477479</v>
      </c>
      <c r="E23" s="739">
        <v>-70582.52</v>
      </c>
      <c r="F23" s="741">
        <v>51507.66</v>
      </c>
      <c r="G23" s="741">
        <f t="shared" si="2"/>
        <v>0</v>
      </c>
      <c r="I23" s="746">
        <f t="shared" si="1"/>
        <v>-437180.79000000004</v>
      </c>
      <c r="K23" s="739"/>
    </row>
    <row r="24" spans="1:11">
      <c r="A24" s="742">
        <v>43646</v>
      </c>
      <c r="B24" s="743" t="s">
        <v>332</v>
      </c>
      <c r="C24" s="743"/>
      <c r="D24" s="744">
        <v>51732018</v>
      </c>
      <c r="E24" s="739">
        <v>-70582.52</v>
      </c>
      <c r="F24" s="741">
        <v>36789.73000000001</v>
      </c>
      <c r="G24" s="741">
        <f t="shared" si="2"/>
        <v>0</v>
      </c>
      <c r="I24" s="746">
        <f t="shared" si="1"/>
        <v>-470973.58</v>
      </c>
      <c r="K24" s="739"/>
    </row>
    <row r="25" spans="1:11">
      <c r="A25" s="742">
        <v>43677</v>
      </c>
      <c r="B25" s="743" t="s">
        <v>332</v>
      </c>
      <c r="C25" s="743"/>
      <c r="D25" s="744">
        <v>67400695</v>
      </c>
      <c r="E25" s="739">
        <v>-70582.52</v>
      </c>
      <c r="F25" s="741">
        <v>37782.589999999997</v>
      </c>
      <c r="G25" s="741">
        <f t="shared" si="2"/>
        <v>0</v>
      </c>
      <c r="I25" s="746">
        <f t="shared" ref="I25:I64" si="3">SUM(E25:H25)+I24</f>
        <v>-503773.51</v>
      </c>
      <c r="K25" s="739"/>
    </row>
    <row r="26" spans="1:11">
      <c r="A26" s="742">
        <v>43708</v>
      </c>
      <c r="B26" s="743" t="s">
        <v>332</v>
      </c>
      <c r="C26" s="743"/>
      <c r="D26" s="744">
        <v>76438837</v>
      </c>
      <c r="E26" s="739">
        <v>-70582.52</v>
      </c>
      <c r="F26" s="741">
        <v>38520.17</v>
      </c>
      <c r="G26" s="741">
        <f t="shared" si="2"/>
        <v>0</v>
      </c>
      <c r="I26" s="746">
        <f t="shared" si="3"/>
        <v>-535835.86</v>
      </c>
    </row>
    <row r="27" spans="1:11">
      <c r="A27" s="742">
        <v>43738</v>
      </c>
      <c r="B27" s="743" t="s">
        <v>332</v>
      </c>
      <c r="C27" s="743"/>
      <c r="D27" s="744">
        <v>73218474</v>
      </c>
      <c r="E27" s="739">
        <v>-70582.52</v>
      </c>
      <c r="F27" s="741">
        <v>37085.589999999997</v>
      </c>
      <c r="G27" s="741">
        <f t="shared" si="2"/>
        <v>0</v>
      </c>
      <c r="I27" s="746">
        <f t="shared" si="3"/>
        <v>-569332.79</v>
      </c>
    </row>
    <row r="28" spans="1:11">
      <c r="A28" s="742">
        <v>43769</v>
      </c>
      <c r="B28" s="743" t="s">
        <v>332</v>
      </c>
      <c r="C28" s="743"/>
      <c r="D28" s="744">
        <v>62211815</v>
      </c>
      <c r="E28" s="738">
        <v>-70582.52</v>
      </c>
      <c r="F28" s="741">
        <v>52763.69999999999</v>
      </c>
      <c r="G28" s="741">
        <f t="shared" si="2"/>
        <v>0</v>
      </c>
      <c r="I28" s="746">
        <f t="shared" si="3"/>
        <v>-587151.6100000001</v>
      </c>
    </row>
    <row r="29" spans="1:11">
      <c r="A29" s="742">
        <v>43799</v>
      </c>
      <c r="B29" s="743" t="s">
        <v>333</v>
      </c>
      <c r="C29" s="743"/>
      <c r="D29" s="744">
        <v>72608604</v>
      </c>
      <c r="E29" s="738">
        <v>-70582.52</v>
      </c>
      <c r="F29" s="741">
        <v>75447.94</v>
      </c>
      <c r="G29" s="741">
        <f t="shared" si="2"/>
        <v>0</v>
      </c>
      <c r="I29" s="746">
        <f t="shared" si="3"/>
        <v>-582286.19000000006</v>
      </c>
    </row>
    <row r="30" spans="1:11">
      <c r="A30" s="742">
        <v>43830</v>
      </c>
      <c r="B30" s="743" t="s">
        <v>332</v>
      </c>
      <c r="C30" s="743"/>
      <c r="D30" s="744">
        <v>95612394</v>
      </c>
      <c r="E30" s="738">
        <v>-70582.52</v>
      </c>
      <c r="F30" s="741">
        <v>102717.34999999999</v>
      </c>
      <c r="G30" s="741">
        <f t="shared" si="2"/>
        <v>0</v>
      </c>
      <c r="I30" s="746">
        <f t="shared" si="3"/>
        <v>-550151.3600000001</v>
      </c>
    </row>
    <row r="31" spans="1:11">
      <c r="A31" s="742">
        <v>43861</v>
      </c>
      <c r="B31" s="743" t="s">
        <v>332</v>
      </c>
      <c r="C31" s="743"/>
      <c r="D31" s="744">
        <v>96190788</v>
      </c>
      <c r="E31" s="738">
        <v>-70582.52</v>
      </c>
      <c r="F31" s="741">
        <v>118892.84999999999</v>
      </c>
      <c r="G31" s="741">
        <f t="shared" si="2"/>
        <v>0</v>
      </c>
      <c r="I31" s="746">
        <f t="shared" si="3"/>
        <v>-501841.03000000014</v>
      </c>
    </row>
    <row r="32" spans="1:11">
      <c r="A32" s="742">
        <v>43890</v>
      </c>
      <c r="B32" s="743" t="s">
        <v>332</v>
      </c>
      <c r="C32" s="743"/>
      <c r="D32" s="744">
        <v>84770508</v>
      </c>
      <c r="E32" s="738">
        <v>-70582.52</v>
      </c>
      <c r="F32" s="741">
        <v>99315.169999999984</v>
      </c>
      <c r="G32" s="741">
        <f t="shared" si="2"/>
        <v>0</v>
      </c>
      <c r="I32" s="746">
        <f t="shared" si="3"/>
        <v>-473108.38000000018</v>
      </c>
    </row>
    <row r="33" spans="1:9">
      <c r="A33" s="742">
        <v>43921</v>
      </c>
      <c r="B33" s="743" t="s">
        <v>332</v>
      </c>
      <c r="C33" s="743"/>
      <c r="D33" s="744">
        <v>99882117</v>
      </c>
      <c r="E33" s="738">
        <v>-70582.52</v>
      </c>
      <c r="F33" s="741">
        <v>103377</v>
      </c>
      <c r="G33" s="741">
        <f t="shared" si="2"/>
        <v>0</v>
      </c>
      <c r="I33" s="746">
        <f t="shared" si="3"/>
        <v>-440313.9000000002</v>
      </c>
    </row>
    <row r="34" spans="1:9">
      <c r="A34" s="742">
        <v>43951</v>
      </c>
      <c r="B34" s="743" t="s">
        <v>332</v>
      </c>
      <c r="C34" s="743"/>
      <c r="D34" s="744">
        <v>81878770</v>
      </c>
      <c r="E34" s="738">
        <v>-70582.52</v>
      </c>
      <c r="F34" s="741">
        <v>81185.649999999994</v>
      </c>
      <c r="G34" s="741">
        <f t="shared" si="2"/>
        <v>0</v>
      </c>
      <c r="I34" s="746">
        <f t="shared" si="3"/>
        <v>-429710.77000000019</v>
      </c>
    </row>
    <row r="35" spans="1:9">
      <c r="A35" s="742">
        <v>43982</v>
      </c>
      <c r="B35" s="743" t="s">
        <v>332</v>
      </c>
      <c r="C35" s="743"/>
      <c r="D35" s="744">
        <v>46164069</v>
      </c>
      <c r="E35" s="738">
        <v>-70582.52</v>
      </c>
      <c r="F35" s="741">
        <v>41649.68</v>
      </c>
      <c r="G35" s="741">
        <f t="shared" si="2"/>
        <v>0</v>
      </c>
      <c r="I35" s="746">
        <f t="shared" si="3"/>
        <v>-458643.61000000022</v>
      </c>
    </row>
    <row r="36" spans="1:9">
      <c r="A36" s="742">
        <v>44012</v>
      </c>
      <c r="B36" s="743" t="s">
        <v>332</v>
      </c>
      <c r="C36" s="743"/>
      <c r="D36" s="744">
        <v>43284213</v>
      </c>
      <c r="E36" s="738">
        <v>-70582.52</v>
      </c>
      <c r="F36" s="741">
        <v>33813.620000000003</v>
      </c>
      <c r="G36" s="741">
        <f t="shared" si="2"/>
        <v>0</v>
      </c>
      <c r="I36" s="746">
        <f t="shared" si="3"/>
        <v>-495412.51000000024</v>
      </c>
    </row>
    <row r="37" spans="1:9">
      <c r="A37" s="742">
        <v>44043</v>
      </c>
      <c r="B37" s="743" t="s">
        <v>332</v>
      </c>
      <c r="C37" s="743"/>
      <c r="D37" s="744">
        <v>55089338</v>
      </c>
      <c r="E37" s="738">
        <v>-70582.52</v>
      </c>
      <c r="F37" s="741">
        <v>33362.270000000004</v>
      </c>
      <c r="G37" s="741">
        <f t="shared" si="2"/>
        <v>0</v>
      </c>
      <c r="I37" s="746">
        <f t="shared" si="3"/>
        <v>-532632.76000000024</v>
      </c>
    </row>
    <row r="38" spans="1:9">
      <c r="A38" s="742">
        <v>44074</v>
      </c>
      <c r="B38" s="743" t="s">
        <v>332</v>
      </c>
      <c r="D38" s="744">
        <f>+'[42]Test Period Volumes'!H7+'[42]Test Period Volumes'!I7</f>
        <v>66863465</v>
      </c>
      <c r="E38" s="738">
        <v>-70582.52</v>
      </c>
      <c r="F38" s="741">
        <v>31161.93</v>
      </c>
      <c r="G38" s="741">
        <f t="shared" si="2"/>
        <v>0</v>
      </c>
      <c r="I38" s="746">
        <f t="shared" si="3"/>
        <v>-572053.35000000021</v>
      </c>
    </row>
    <row r="39" spans="1:9">
      <c r="A39" s="742">
        <v>44104</v>
      </c>
      <c r="B39" s="743" t="s">
        <v>332</v>
      </c>
      <c r="D39" s="744">
        <f>+'[42]Test Period Volumes'!H8+'[42]Test Period Volumes'!I8</f>
        <v>73703550</v>
      </c>
      <c r="E39" s="738">
        <v>-70582.52</v>
      </c>
      <c r="F39" s="741">
        <v>34286.070000000007</v>
      </c>
      <c r="G39" s="741">
        <f t="shared" si="2"/>
        <v>0</v>
      </c>
      <c r="I39" s="746">
        <f t="shared" si="3"/>
        <v>-608349.80000000016</v>
      </c>
    </row>
    <row r="40" spans="1:9">
      <c r="A40" s="742">
        <v>44135</v>
      </c>
      <c r="B40" s="743" t="s">
        <v>332</v>
      </c>
      <c r="D40" s="744">
        <f>+'[42]Test Period Volumes'!H9+'[42]Test Period Volumes'!I9</f>
        <v>65687484</v>
      </c>
      <c r="E40" s="738">
        <v>-70582.52</v>
      </c>
      <c r="F40" s="741">
        <v>37320.130000000005</v>
      </c>
      <c r="G40" s="741">
        <f t="shared" si="2"/>
        <v>0</v>
      </c>
      <c r="I40" s="746">
        <f t="shared" si="3"/>
        <v>-641612.19000000018</v>
      </c>
    </row>
    <row r="41" spans="1:9">
      <c r="A41" s="742">
        <v>44165</v>
      </c>
      <c r="B41" s="743" t="s">
        <v>332</v>
      </c>
      <c r="C41" s="731"/>
      <c r="D41" s="744">
        <f>+'[42]Test Period Volumes'!H10+'[42]Test Period Volumes'!I10</f>
        <v>68293788</v>
      </c>
      <c r="E41" s="730">
        <f>+'[50]2540.20483'!$D$41+'[50]2540.20484'!$D$41</f>
        <v>-70582.52</v>
      </c>
      <c r="F41" s="741">
        <v>69021.06</v>
      </c>
      <c r="G41" s="741">
        <v>0</v>
      </c>
      <c r="I41" s="746">
        <f t="shared" si="3"/>
        <v>-643173.65000000014</v>
      </c>
    </row>
    <row r="42" spans="1:9">
      <c r="A42" s="742">
        <v>44196</v>
      </c>
      <c r="B42" s="743" t="s">
        <v>332</v>
      </c>
      <c r="C42" s="731"/>
      <c r="D42" s="744">
        <f>+'[42]Test Period Volumes'!H11+'[42]Test Period Volumes'!I11</f>
        <v>94595765</v>
      </c>
      <c r="E42" s="730">
        <f>+'[50]2540.20483'!$D$41+'[50]2540.20484'!$D$41</f>
        <v>-70582.52</v>
      </c>
      <c r="F42" s="741">
        <v>128935.58</v>
      </c>
      <c r="G42" s="741">
        <v>0</v>
      </c>
      <c r="I42" s="746">
        <f t="shared" si="3"/>
        <v>-584820.59000000008</v>
      </c>
    </row>
    <row r="43" spans="1:9">
      <c r="A43" s="742">
        <v>44227</v>
      </c>
      <c r="B43" s="743" t="s">
        <v>332</v>
      </c>
      <c r="C43" s="731"/>
      <c r="D43" s="744">
        <f>+'[42]Test Period Volumes'!H12+'[42]Test Period Volumes'!I12</f>
        <v>93263558</v>
      </c>
      <c r="E43" s="730">
        <f>+'[50]2540.20483'!$D$41+'[50]2540.20484'!$D$41</f>
        <v>-70582.52</v>
      </c>
      <c r="F43" s="741">
        <v>134547.38999999998</v>
      </c>
      <c r="G43" s="741">
        <v>0</v>
      </c>
      <c r="I43" s="746">
        <f t="shared" si="3"/>
        <v>-520855.72000000009</v>
      </c>
    </row>
    <row r="44" spans="1:9">
      <c r="A44" s="742">
        <v>44255</v>
      </c>
      <c r="B44" s="743" t="s">
        <v>332</v>
      </c>
      <c r="C44" s="731"/>
      <c r="D44" s="744">
        <f>+'[42]Test Period Volumes'!H13+'[42]Test Period Volumes'!I13</f>
        <v>86995469</v>
      </c>
      <c r="E44" s="730">
        <f>+'[50]2540.20483'!$D$41+'[50]2540.20484'!$D$41</f>
        <v>-70582.52</v>
      </c>
      <c r="F44" s="741">
        <v>126570.46</v>
      </c>
      <c r="G44" s="741">
        <v>0</v>
      </c>
      <c r="I44" s="746">
        <f t="shared" si="3"/>
        <v>-464867.78000000009</v>
      </c>
    </row>
    <row r="45" spans="1:9">
      <c r="A45" s="742">
        <v>44286</v>
      </c>
      <c r="B45" s="743" t="s">
        <v>332</v>
      </c>
      <c r="C45" s="731"/>
      <c r="D45" s="744">
        <f>+'[42]Test Period Volumes'!H14+'[42]Test Period Volumes'!I14</f>
        <v>105278052</v>
      </c>
      <c r="E45" s="730">
        <f>+'[50]2540.20483'!$D$41+'[50]2540.20484'!$D$41</f>
        <v>-70582.52</v>
      </c>
      <c r="F45" s="741">
        <v>138668.46</v>
      </c>
      <c r="G45" s="741">
        <v>0</v>
      </c>
      <c r="I45" s="746">
        <f t="shared" si="3"/>
        <v>-396781.84000000008</v>
      </c>
    </row>
    <row r="46" spans="1:9">
      <c r="A46" s="742">
        <v>44316</v>
      </c>
      <c r="B46" s="743" t="s">
        <v>332</v>
      </c>
      <c r="C46" s="731"/>
      <c r="D46" s="744">
        <f>+'[42]Test Period Volumes'!H15+'[42]Test Period Volumes'!I15</f>
        <v>87482102</v>
      </c>
      <c r="E46" s="730">
        <f>+'[50]2540.20483'!$D$41+'[50]2540.20484'!$D$41</f>
        <v>-70582.52</v>
      </c>
      <c r="F46" s="741">
        <v>102171.39</v>
      </c>
      <c r="G46" s="741">
        <v>0</v>
      </c>
      <c r="I46" s="746">
        <f t="shared" si="3"/>
        <v>-365192.97000000009</v>
      </c>
    </row>
    <row r="47" spans="1:9">
      <c r="A47" s="742">
        <v>44347</v>
      </c>
      <c r="B47" s="743" t="s">
        <v>332</v>
      </c>
      <c r="C47" s="731"/>
      <c r="D47" s="744">
        <f>+'[42]Test Period Volumes'!H16+'[42]Test Period Volumes'!I16</f>
        <v>56258122</v>
      </c>
      <c r="E47" s="730">
        <f>+'[50]2540.20483'!$D$41+'[50]2540.20484'!$D$41</f>
        <v>-70582.52</v>
      </c>
      <c r="F47" s="741">
        <v>55508.249999999993</v>
      </c>
      <c r="G47" s="741">
        <v>0</v>
      </c>
      <c r="I47" s="746">
        <f t="shared" si="3"/>
        <v>-380267.24000000011</v>
      </c>
    </row>
    <row r="48" spans="1:9">
      <c r="A48" s="742">
        <v>44377</v>
      </c>
      <c r="B48" s="743" t="s">
        <v>332</v>
      </c>
      <c r="C48" s="731"/>
      <c r="D48" s="744">
        <f>+'[42]Test Period Volumes'!H17+'[42]Test Period Volumes'!I17</f>
        <v>68779022</v>
      </c>
      <c r="E48" s="730">
        <f>-36588.36-54753.8</f>
        <v>-91342.16</v>
      </c>
      <c r="F48" s="741">
        <f>39226.75+12832.72</f>
        <v>52059.47</v>
      </c>
      <c r="G48" s="741">
        <v>0</v>
      </c>
      <c r="I48" s="746">
        <f t="shared" si="3"/>
        <v>-419549.93000000011</v>
      </c>
    </row>
    <row r="49" spans="1:9">
      <c r="A49" s="742">
        <v>44408</v>
      </c>
      <c r="B49" s="743" t="s">
        <v>332</v>
      </c>
      <c r="C49" s="731"/>
      <c r="D49" s="744">
        <f>+'[42]Test Period Volumes'!H18+'[42]Test Period Volumes'!I18</f>
        <v>72135275</v>
      </c>
      <c r="E49" s="730">
        <f>-17786.04-54753.8</f>
        <v>-72539.839999999997</v>
      </c>
      <c r="F49" s="741">
        <f>31605.34+10382.03</f>
        <v>41987.37</v>
      </c>
      <c r="G49" s="741">
        <v>0</v>
      </c>
      <c r="I49" s="746">
        <f t="shared" si="3"/>
        <v>-450102.40000000008</v>
      </c>
    </row>
    <row r="50" spans="1:9" s="819" customFormat="1">
      <c r="A50" s="817">
        <v>44439</v>
      </c>
      <c r="B50" s="818" t="s">
        <v>332</v>
      </c>
      <c r="D50" s="820">
        <f>+'Test Period Volumes'!H6+'Test Period Volumes'!I6</f>
        <v>70764185</v>
      </c>
      <c r="E50" s="819">
        <f t="shared" ref="E50:E61" si="4">-54753.8-17786.04</f>
        <v>-72539.839999999997</v>
      </c>
      <c r="F50" s="819">
        <f>29961.41+9847.89</f>
        <v>39809.300000000003</v>
      </c>
      <c r="G50" s="821">
        <v>0</v>
      </c>
      <c r="I50" s="822">
        <f t="shared" si="3"/>
        <v>-482832.94000000006</v>
      </c>
    </row>
    <row r="51" spans="1:9">
      <c r="A51" s="742">
        <v>44469</v>
      </c>
      <c r="B51" s="743" t="s">
        <v>332</v>
      </c>
      <c r="D51" s="744">
        <f>+'Test Period Volumes'!H7+'Test Period Volumes'!I7</f>
        <v>71864038</v>
      </c>
      <c r="E51" s="730">
        <f t="shared" si="4"/>
        <v>-72539.839999999997</v>
      </c>
      <c r="F51" s="730">
        <f>10419.05+31722.02</f>
        <v>42141.07</v>
      </c>
      <c r="G51" s="741">
        <v>0</v>
      </c>
      <c r="I51" s="746">
        <f t="shared" si="3"/>
        <v>-513231.71000000008</v>
      </c>
    </row>
    <row r="52" spans="1:9">
      <c r="A52" s="742">
        <v>44500</v>
      </c>
      <c r="B52" s="743" t="s">
        <v>332</v>
      </c>
      <c r="D52" s="744">
        <f>+'Test Period Volumes'!H8+'Test Period Volumes'!I8</f>
        <v>72338720</v>
      </c>
      <c r="E52" s="730">
        <f t="shared" si="4"/>
        <v>-72539.839999999997</v>
      </c>
      <c r="F52" s="730">
        <f>13415.19+40995.1</f>
        <v>54410.29</v>
      </c>
      <c r="G52" s="741">
        <v>0</v>
      </c>
      <c r="I52" s="746">
        <f t="shared" si="3"/>
        <v>-531361.26000000013</v>
      </c>
    </row>
    <row r="53" spans="1:9">
      <c r="A53" s="742">
        <v>44530</v>
      </c>
      <c r="B53" s="743" t="s">
        <v>332</v>
      </c>
      <c r="C53" s="731"/>
      <c r="D53" s="744">
        <f>+'Test Period Volumes'!H9+'Test Period Volumes'!I9</f>
        <v>75721245</v>
      </c>
      <c r="E53" s="730">
        <f t="shared" si="4"/>
        <v>-72539.839999999997</v>
      </c>
      <c r="F53" s="730">
        <f>16814.18+51064.05</f>
        <v>67878.23000000001</v>
      </c>
      <c r="G53" s="741">
        <v>0</v>
      </c>
      <c r="I53" s="746">
        <f t="shared" si="3"/>
        <v>-536022.87000000011</v>
      </c>
    </row>
    <row r="54" spans="1:9">
      <c r="A54" s="742">
        <v>44561</v>
      </c>
      <c r="B54" s="743" t="s">
        <v>332</v>
      </c>
      <c r="C54" s="731"/>
      <c r="D54" s="744">
        <f>+'Test Period Volumes'!H10+'Test Period Volumes'!I10</f>
        <v>83926722</v>
      </c>
      <c r="E54" s="730">
        <f t="shared" si="4"/>
        <v>-72539.839999999997</v>
      </c>
      <c r="F54" s="730">
        <f>20631.56+62914.66</f>
        <v>83546.22</v>
      </c>
      <c r="G54" s="741">
        <v>0</v>
      </c>
      <c r="I54" s="746">
        <f t="shared" si="3"/>
        <v>-525016.49000000011</v>
      </c>
    </row>
    <row r="55" spans="1:9">
      <c r="A55" s="742">
        <v>44592</v>
      </c>
      <c r="B55" s="743" t="s">
        <v>332</v>
      </c>
      <c r="C55" s="731"/>
      <c r="D55" s="744">
        <f>+'Test Period Volumes'!H11+'Test Period Volumes'!I11</f>
        <v>95413022</v>
      </c>
      <c r="E55" s="730">
        <f t="shared" si="4"/>
        <v>-72539.839999999997</v>
      </c>
      <c r="F55" s="730">
        <f>30256.43+92748.84</f>
        <v>123005.26999999999</v>
      </c>
      <c r="G55" s="741">
        <v>0</v>
      </c>
      <c r="I55" s="746">
        <f t="shared" si="3"/>
        <v>-474551.06000000011</v>
      </c>
    </row>
    <row r="56" spans="1:9">
      <c r="A56" s="742">
        <v>44620</v>
      </c>
      <c r="B56" s="743" t="s">
        <v>332</v>
      </c>
      <c r="C56" s="731"/>
      <c r="D56" s="744">
        <f>+'Test Period Volumes'!H12+'Test Period Volumes'!I12</f>
        <v>85017241</v>
      </c>
      <c r="E56" s="730">
        <f t="shared" si="4"/>
        <v>-72539.839999999997</v>
      </c>
      <c r="F56" s="730">
        <f>24013.32+73454.78</f>
        <v>97468.1</v>
      </c>
      <c r="G56" s="741">
        <v>0</v>
      </c>
      <c r="I56" s="746">
        <f t="shared" si="3"/>
        <v>-449622.8000000001</v>
      </c>
    </row>
    <row r="57" spans="1:9">
      <c r="A57" s="742">
        <v>44651</v>
      </c>
      <c r="B57" s="743" t="s">
        <v>332</v>
      </c>
      <c r="C57" s="731"/>
      <c r="D57" s="744">
        <f>+'Test Period Volumes'!H13+'Test Period Volumes'!I13</f>
        <v>84723347</v>
      </c>
      <c r="E57" s="730">
        <f t="shared" si="4"/>
        <v>-72539.839999999997</v>
      </c>
      <c r="F57" s="730">
        <f>23425.62+71622.66</f>
        <v>95048.28</v>
      </c>
      <c r="G57" s="741">
        <v>0</v>
      </c>
      <c r="I57" s="746">
        <f t="shared" si="3"/>
        <v>-427114.3600000001</v>
      </c>
    </row>
    <row r="58" spans="1:9">
      <c r="A58" s="742">
        <v>44681</v>
      </c>
      <c r="B58" s="743" t="s">
        <v>332</v>
      </c>
      <c r="C58" s="731"/>
      <c r="D58" s="744">
        <f>+'Test Period Volumes'!H14+'Test Period Volumes'!I14</f>
        <v>74032012</v>
      </c>
      <c r="E58" s="730">
        <f t="shared" si="4"/>
        <v>-72539.839999999997</v>
      </c>
      <c r="F58" s="730">
        <f>16496.13+50187.92</f>
        <v>66684.05</v>
      </c>
      <c r="G58" s="741">
        <v>0</v>
      </c>
      <c r="I58" s="746">
        <f t="shared" si="3"/>
        <v>-432970.15000000008</v>
      </c>
    </row>
    <row r="59" spans="1:9">
      <c r="A59" s="742">
        <v>44712</v>
      </c>
      <c r="B59" s="743" t="s">
        <v>332</v>
      </c>
      <c r="C59" s="731"/>
      <c r="D59" s="744">
        <f>+'Test Period Volumes'!H15+'Test Period Volumes'!I15</f>
        <v>63470461</v>
      </c>
      <c r="E59" s="730">
        <f t="shared" si="4"/>
        <v>-72539.839999999997</v>
      </c>
      <c r="F59" s="730">
        <f>14150.48+43051.94</f>
        <v>57202.42</v>
      </c>
      <c r="G59" s="741">
        <v>0</v>
      </c>
      <c r="I59" s="746">
        <f t="shared" si="3"/>
        <v>-448307.57000000007</v>
      </c>
    </row>
    <row r="60" spans="1:9">
      <c r="A60" s="742">
        <v>44742</v>
      </c>
      <c r="B60" s="743" t="s">
        <v>332</v>
      </c>
      <c r="C60" s="731"/>
      <c r="D60" s="744">
        <f>+'Test Period Volumes'!H16+'Test Period Volumes'!I16</f>
        <v>47634752</v>
      </c>
      <c r="E60" s="730">
        <f t="shared" si="4"/>
        <v>-72539.839999999997</v>
      </c>
      <c r="F60" s="730">
        <f>9365.05+28395.22</f>
        <v>37760.270000000004</v>
      </c>
      <c r="G60" s="741">
        <v>0</v>
      </c>
      <c r="I60" s="746">
        <f t="shared" si="3"/>
        <v>-483087.14000000007</v>
      </c>
    </row>
    <row r="61" spans="1:9">
      <c r="A61" s="742">
        <v>44773</v>
      </c>
      <c r="B61" s="743" t="s">
        <v>332</v>
      </c>
      <c r="C61" s="731"/>
      <c r="D61" s="744">
        <f>+'Test Period Volumes'!H17+'Test Period Volumes'!I17</f>
        <v>58304460</v>
      </c>
      <c r="E61" s="730">
        <f t="shared" si="4"/>
        <v>-72539.839999999997</v>
      </c>
      <c r="F61" s="730">
        <f>7386.41+26204.33</f>
        <v>33590.740000000005</v>
      </c>
      <c r="G61" s="741">
        <v>0</v>
      </c>
      <c r="I61" s="746">
        <f t="shared" si="3"/>
        <v>-522036.24000000005</v>
      </c>
    </row>
    <row r="62" spans="1:9">
      <c r="A62" s="742">
        <v>44804</v>
      </c>
      <c r="B62" s="743" t="s">
        <v>332</v>
      </c>
      <c r="C62" s="743" t="s">
        <v>334</v>
      </c>
      <c r="D62" s="744">
        <f>+'Test Period Volumes'!H19+'Test Period Volumes'!I19</f>
        <v>71601693</v>
      </c>
      <c r="E62" s="730">
        <f>+E61</f>
        <v>-72539.839999999997</v>
      </c>
      <c r="F62" s="730">
        <f>22893.21+7732.85</f>
        <v>30626.059999999998</v>
      </c>
      <c r="G62" s="741">
        <v>0</v>
      </c>
      <c r="I62" s="746">
        <f t="shared" si="3"/>
        <v>-563950.02</v>
      </c>
    </row>
    <row r="63" spans="1:9">
      <c r="A63" s="742">
        <v>44834</v>
      </c>
      <c r="B63" s="743" t="s">
        <v>332</v>
      </c>
      <c r="C63" s="743" t="s">
        <v>334</v>
      </c>
      <c r="D63" s="744">
        <f>+'Test Period Volumes'!H20+'Test Period Volumes'!I20</f>
        <v>73406096</v>
      </c>
      <c r="E63" s="730">
        <f>+E61</f>
        <v>-72539.839999999997</v>
      </c>
      <c r="F63" s="730">
        <f>25342+8528.18</f>
        <v>33870.18</v>
      </c>
      <c r="G63" s="741">
        <v>0</v>
      </c>
      <c r="I63" s="746">
        <f t="shared" si="3"/>
        <v>-602619.68000000005</v>
      </c>
    </row>
    <row r="64" spans="1:9">
      <c r="A64" s="742">
        <v>44865</v>
      </c>
      <c r="B64" s="743" t="s">
        <v>332</v>
      </c>
      <c r="C64" s="731" t="s">
        <v>334</v>
      </c>
      <c r="D64" s="744">
        <f>+'Test Period Volumes'!H21+'Test Period Volumes'!I21</f>
        <v>79240339</v>
      </c>
      <c r="E64" s="730">
        <f>+E61</f>
        <v>-72539.839999999997</v>
      </c>
      <c r="F64" s="730">
        <f>41068.72+13605.92</f>
        <v>54674.64</v>
      </c>
      <c r="G64" s="741">
        <v>0</v>
      </c>
      <c r="I64" s="746">
        <f t="shared" si="3"/>
        <v>-620484.88</v>
      </c>
    </row>
    <row r="65" spans="1:9">
      <c r="A65" s="742"/>
      <c r="B65" s="743"/>
      <c r="C65" s="731"/>
      <c r="D65" s="744"/>
      <c r="G65" s="741"/>
      <c r="I65" s="746"/>
    </row>
    <row r="66" spans="1:9">
      <c r="E66" s="823" t="s">
        <v>339</v>
      </c>
      <c r="F66" s="823" t="s">
        <v>340</v>
      </c>
      <c r="G66" s="823" t="s">
        <v>341</v>
      </c>
      <c r="H66" s="823" t="s">
        <v>342</v>
      </c>
      <c r="I66" s="823" t="s">
        <v>345</v>
      </c>
    </row>
    <row r="67" spans="1:9">
      <c r="D67" s="730" t="s">
        <v>343</v>
      </c>
      <c r="E67" s="730">
        <v>869314</v>
      </c>
      <c r="F67" s="730">
        <f>+E67</f>
        <v>869314</v>
      </c>
      <c r="G67" s="730">
        <f>+F67</f>
        <v>869314</v>
      </c>
      <c r="H67" s="730">
        <f>+E67</f>
        <v>869314</v>
      </c>
      <c r="I67" s="730">
        <f>+E67</f>
        <v>869314</v>
      </c>
    </row>
    <row r="68" spans="1:9">
      <c r="D68" s="730" t="s">
        <v>388</v>
      </c>
      <c r="E68" s="730">
        <f>SUM(F14:F28)</f>
        <v>965663.83</v>
      </c>
      <c r="F68" s="730">
        <f>+SUM(F29:F40)+E69</f>
        <v>888879.49</v>
      </c>
      <c r="G68" s="730">
        <f>+SUM(F41:F52)+F69</f>
        <v>1005395.5800000001</v>
      </c>
      <c r="H68" s="819">
        <f>+G69+SUM(F53:F64)</f>
        <v>917436.04000000027</v>
      </c>
      <c r="I68" s="730">
        <f>+H69</f>
        <v>48122.04000000027</v>
      </c>
    </row>
    <row r="69" spans="1:9">
      <c r="D69" s="730" t="s">
        <v>344</v>
      </c>
      <c r="E69" s="730">
        <f>+E68-E67</f>
        <v>96349.829999999958</v>
      </c>
      <c r="F69" s="730">
        <f t="shared" ref="F69:I69" si="5">+F68-F67</f>
        <v>19565.489999999991</v>
      </c>
      <c r="G69" s="730">
        <f t="shared" si="5"/>
        <v>136081.58000000007</v>
      </c>
      <c r="H69" s="730">
        <f t="shared" si="5"/>
        <v>48122.04000000027</v>
      </c>
      <c r="I69" s="730">
        <f t="shared" si="5"/>
        <v>-821191.95999999973</v>
      </c>
    </row>
  </sheetData>
  <mergeCells count="17">
    <mergeCell ref="A7:B7"/>
    <mergeCell ref="D7:I7"/>
    <mergeCell ref="E9:G9"/>
    <mergeCell ref="A12:G12"/>
    <mergeCell ref="A13:G13"/>
    <mergeCell ref="A4:B4"/>
    <mergeCell ref="D4:I4"/>
    <mergeCell ref="A5:B5"/>
    <mergeCell ref="D5:I5"/>
    <mergeCell ref="A6:B6"/>
    <mergeCell ref="D6:I6"/>
    <mergeCell ref="A1:B1"/>
    <mergeCell ref="D1:I1"/>
    <mergeCell ref="A2:B2"/>
    <mergeCell ref="D2:I2"/>
    <mergeCell ref="A3:B3"/>
    <mergeCell ref="D3:I3"/>
  </mergeCells>
  <phoneticPr fontId="0" type="noConversion"/>
  <pageMargins left="0.7" right="0.7" top="0.75" bottom="0.75" header="0.3" footer="0.3"/>
  <pageSetup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/>
  </sheetViews>
  <sheetFormatPr defaultRowHeight="10.5"/>
  <cols>
    <col min="10" max="10" width="9.33203125" style="161"/>
  </cols>
  <sheetData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4"/>
  <sheetViews>
    <sheetView workbookViewId="0">
      <selection sqref="A1:B1"/>
    </sheetView>
  </sheetViews>
  <sheetFormatPr defaultColWidth="9.33203125" defaultRowHeight="15"/>
  <cols>
    <col min="1" max="1" width="24.33203125" style="114" bestFit="1" customWidth="1"/>
    <col min="2" max="2" width="16" style="114" bestFit="1" customWidth="1"/>
    <col min="3" max="3" width="66.1640625" style="114" bestFit="1" customWidth="1"/>
    <col min="4" max="4" width="24.33203125" style="114" bestFit="1" customWidth="1"/>
    <col min="5" max="5" width="11.1640625" style="114" bestFit="1" customWidth="1"/>
    <col min="6" max="6" width="8.6640625" style="114" bestFit="1" customWidth="1"/>
    <col min="7" max="9" width="10.6640625" style="114" customWidth="1"/>
    <col min="10" max="10" width="9.33203125" style="12"/>
    <col min="11" max="16384" width="9.33203125" style="114"/>
  </cols>
  <sheetData>
    <row r="1" spans="1:19">
      <c r="C1" s="1058" t="s">
        <v>47</v>
      </c>
      <c r="D1" s="1058"/>
      <c r="E1" s="1058"/>
      <c r="F1" s="1058"/>
      <c r="G1" s="1058"/>
      <c r="H1" s="1058"/>
    </row>
    <row r="2" spans="1:19">
      <c r="C2" s="1058" t="s">
        <v>276</v>
      </c>
      <c r="D2" s="1058"/>
      <c r="E2" s="1058"/>
      <c r="F2" s="1058"/>
      <c r="G2" s="1058"/>
      <c r="H2" s="1058"/>
    </row>
    <row r="3" spans="1:19">
      <c r="C3" s="1058" t="s">
        <v>48</v>
      </c>
      <c r="D3" s="1058"/>
      <c r="E3" s="1058"/>
      <c r="F3" s="1058"/>
      <c r="G3" s="1058"/>
      <c r="H3" s="1058"/>
    </row>
    <row r="4" spans="1:19">
      <c r="A4" s="158"/>
      <c r="B4" s="3"/>
      <c r="C4" s="54"/>
    </row>
    <row r="5" spans="1:19">
      <c r="A5" s="1057" t="s">
        <v>275</v>
      </c>
      <c r="B5" s="1057"/>
      <c r="C5" s="1057"/>
    </row>
    <row r="6" spans="1:19" ht="30">
      <c r="A6" s="120" t="s">
        <v>38</v>
      </c>
      <c r="B6" s="120" t="s">
        <v>84</v>
      </c>
      <c r="C6" s="120" t="s">
        <v>278</v>
      </c>
      <c r="D6" s="134" t="s">
        <v>277</v>
      </c>
      <c r="E6" s="120" t="s">
        <v>91</v>
      </c>
      <c r="F6" s="120" t="s">
        <v>37</v>
      </c>
      <c r="G6" s="120" t="s">
        <v>5</v>
      </c>
      <c r="H6" s="120" t="s">
        <v>8</v>
      </c>
      <c r="I6" s="120" t="s">
        <v>42</v>
      </c>
    </row>
    <row r="7" spans="1:19">
      <c r="D7" s="118"/>
      <c r="G7" s="772"/>
      <c r="H7" s="772"/>
      <c r="I7" s="772"/>
    </row>
    <row r="8" spans="1:19">
      <c r="A8" s="114" t="s">
        <v>360</v>
      </c>
      <c r="B8" s="114" t="s">
        <v>142</v>
      </c>
      <c r="C8" s="114" t="s">
        <v>143</v>
      </c>
      <c r="D8" s="62">
        <v>42303713.020000003</v>
      </c>
      <c r="E8" s="114" t="s">
        <v>36</v>
      </c>
      <c r="G8" s="772" t="s">
        <v>121</v>
      </c>
      <c r="H8" s="772" t="s">
        <v>121</v>
      </c>
      <c r="I8" s="772" t="s">
        <v>122</v>
      </c>
      <c r="S8" s="117"/>
    </row>
    <row r="9" spans="1:19">
      <c r="A9" s="114" t="s">
        <v>361</v>
      </c>
      <c r="B9" s="114" t="s">
        <v>142</v>
      </c>
      <c r="C9" s="114" t="s">
        <v>144</v>
      </c>
      <c r="D9" s="62">
        <v>-103682.12</v>
      </c>
      <c r="E9" s="114" t="s">
        <v>36</v>
      </c>
      <c r="G9" s="772" t="s">
        <v>121</v>
      </c>
      <c r="H9" s="772" t="s">
        <v>121</v>
      </c>
      <c r="I9" s="772" t="s">
        <v>122</v>
      </c>
      <c r="S9" s="117"/>
    </row>
    <row r="10" spans="1:19">
      <c r="A10" s="114" t="s">
        <v>362</v>
      </c>
      <c r="B10" s="114" t="s">
        <v>142</v>
      </c>
      <c r="C10" s="114" t="s">
        <v>363</v>
      </c>
      <c r="D10" s="62">
        <v>2989974.83</v>
      </c>
      <c r="E10" s="114" t="s">
        <v>36</v>
      </c>
      <c r="G10" s="772" t="s">
        <v>121</v>
      </c>
      <c r="H10" s="772" t="s">
        <v>122</v>
      </c>
      <c r="I10" s="772" t="s">
        <v>121</v>
      </c>
      <c r="S10" s="117"/>
    </row>
    <row r="11" spans="1:19">
      <c r="D11" s="62"/>
      <c r="G11" s="772"/>
      <c r="H11" s="772"/>
      <c r="I11" s="772"/>
    </row>
    <row r="12" spans="1:19">
      <c r="A12" s="120" t="s">
        <v>85</v>
      </c>
      <c r="B12" s="120"/>
      <c r="C12" s="120"/>
      <c r="D12" s="777"/>
      <c r="E12" s="120"/>
    </row>
    <row r="13" spans="1:19">
      <c r="A13" s="114" t="s">
        <v>142</v>
      </c>
      <c r="C13" s="114" t="s">
        <v>145</v>
      </c>
      <c r="D13" s="62">
        <f>+D8+D9+D10+D11</f>
        <v>45190005.730000004</v>
      </c>
      <c r="E13" s="114" t="s">
        <v>36</v>
      </c>
      <c r="G13" s="772"/>
      <c r="H13" s="772"/>
      <c r="I13" s="772"/>
    </row>
    <row r="14" spans="1:19">
      <c r="D14" s="877"/>
      <c r="G14" s="772"/>
      <c r="H14" s="772"/>
      <c r="I14" s="772"/>
    </row>
    <row r="15" spans="1:19">
      <c r="D15" s="878"/>
      <c r="G15" s="772"/>
      <c r="H15" s="772"/>
      <c r="I15" s="772"/>
    </row>
    <row r="16" spans="1:19" ht="30">
      <c r="A16" s="120" t="s">
        <v>38</v>
      </c>
      <c r="B16" s="120" t="s">
        <v>84</v>
      </c>
      <c r="C16" s="120" t="s">
        <v>263</v>
      </c>
      <c r="D16" s="134" t="s">
        <v>279</v>
      </c>
      <c r="E16" s="120" t="s">
        <v>91</v>
      </c>
      <c r="F16" s="120" t="s">
        <v>37</v>
      </c>
      <c r="G16" s="120" t="s">
        <v>5</v>
      </c>
      <c r="H16" s="120" t="s">
        <v>8</v>
      </c>
      <c r="I16" s="120" t="s">
        <v>42</v>
      </c>
    </row>
    <row r="17" spans="1:9">
      <c r="A17" s="114" t="s">
        <v>368</v>
      </c>
      <c r="B17" s="114" t="s">
        <v>267</v>
      </c>
      <c r="C17" s="114" t="s">
        <v>268</v>
      </c>
      <c r="D17" s="62">
        <v>1676753.31</v>
      </c>
      <c r="E17" s="114" t="s">
        <v>36</v>
      </c>
      <c r="G17" s="772" t="s">
        <v>121</v>
      </c>
      <c r="H17" s="772" t="s">
        <v>121</v>
      </c>
      <c r="I17" s="772" t="s">
        <v>122</v>
      </c>
    </row>
    <row r="18" spans="1:9">
      <c r="A18" s="114" t="s">
        <v>369</v>
      </c>
      <c r="B18" s="114" t="s">
        <v>267</v>
      </c>
      <c r="C18" s="114" t="s">
        <v>269</v>
      </c>
      <c r="D18" s="62">
        <v>541999.81999999995</v>
      </c>
      <c r="E18" s="114" t="s">
        <v>36</v>
      </c>
      <c r="G18" s="772" t="s">
        <v>121</v>
      </c>
      <c r="H18" s="772" t="s">
        <v>121</v>
      </c>
      <c r="I18" s="772" t="s">
        <v>122</v>
      </c>
    </row>
    <row r="19" spans="1:9">
      <c r="A19" s="114" t="s">
        <v>370</v>
      </c>
      <c r="B19" s="114" t="s">
        <v>267</v>
      </c>
      <c r="C19" s="114" t="s">
        <v>270</v>
      </c>
      <c r="D19" s="62">
        <v>2741038.68</v>
      </c>
      <c r="E19" s="114" t="s">
        <v>36</v>
      </c>
      <c r="G19" s="772" t="s">
        <v>121</v>
      </c>
      <c r="H19" s="772" t="s">
        <v>121</v>
      </c>
      <c r="I19" s="772" t="s">
        <v>122</v>
      </c>
    </row>
    <row r="20" spans="1:9">
      <c r="A20" s="114" t="s">
        <v>371</v>
      </c>
      <c r="B20" s="114" t="s">
        <v>267</v>
      </c>
      <c r="C20" s="114" t="s">
        <v>271</v>
      </c>
      <c r="D20" s="62">
        <v>2626039.2400000002</v>
      </c>
      <c r="E20" s="114" t="s">
        <v>36</v>
      </c>
      <c r="G20" s="772" t="s">
        <v>121</v>
      </c>
      <c r="H20" s="772" t="s">
        <v>121</v>
      </c>
      <c r="I20" s="772" t="s">
        <v>122</v>
      </c>
    </row>
    <row r="21" spans="1:9">
      <c r="A21" s="114" t="s">
        <v>372</v>
      </c>
      <c r="B21" s="114" t="s">
        <v>267</v>
      </c>
      <c r="C21" s="114" t="s">
        <v>272</v>
      </c>
      <c r="D21" s="62">
        <v>637440.01</v>
      </c>
      <c r="E21" s="114" t="s">
        <v>36</v>
      </c>
      <c r="G21" s="772" t="s">
        <v>121</v>
      </c>
      <c r="H21" s="772" t="s">
        <v>122</v>
      </c>
      <c r="I21" s="772" t="s">
        <v>121</v>
      </c>
    </row>
    <row r="22" spans="1:9">
      <c r="A22" s="778"/>
      <c r="B22" s="778"/>
      <c r="D22" s="62"/>
    </row>
    <row r="23" spans="1:9">
      <c r="A23" s="120" t="s">
        <v>85</v>
      </c>
      <c r="B23" s="120"/>
      <c r="C23" s="120"/>
      <c r="D23" s="777"/>
      <c r="E23" s="120"/>
    </row>
    <row r="24" spans="1:9">
      <c r="A24" s="114" t="s">
        <v>267</v>
      </c>
      <c r="C24" s="114" t="s">
        <v>273</v>
      </c>
      <c r="D24" s="62">
        <f>SUM(D17:D21)</f>
        <v>8223271.0600000005</v>
      </c>
      <c r="G24" s="772"/>
      <c r="H24" s="772"/>
      <c r="I24" s="772"/>
    </row>
  </sheetData>
  <mergeCells count="4">
    <mergeCell ref="A5:C5"/>
    <mergeCell ref="C1:H1"/>
    <mergeCell ref="C2:H2"/>
    <mergeCell ref="C3:H3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I27"/>
  <sheetViews>
    <sheetView workbookViewId="0">
      <selection activeCell="M21" sqref="M21"/>
    </sheetView>
  </sheetViews>
  <sheetFormatPr defaultColWidth="9.33203125" defaultRowHeight="15"/>
  <cols>
    <col min="1" max="1" width="28.6640625" style="114" bestFit="1" customWidth="1"/>
    <col min="2" max="2" width="66.1640625" style="114" bestFit="1" customWidth="1"/>
    <col min="3" max="3" width="18.1640625" style="114" customWidth="1"/>
    <col min="4" max="5" width="15.83203125" style="114" bestFit="1" customWidth="1"/>
    <col min="6" max="6" width="1.6640625" style="114" customWidth="1"/>
    <col min="7" max="7" width="16.83203125" style="114" customWidth="1"/>
    <col min="8" max="8" width="17.6640625" style="114" bestFit="1" customWidth="1"/>
    <col min="9" max="9" width="9.33203125" style="12"/>
    <col min="10" max="16384" width="9.33203125" style="114"/>
  </cols>
  <sheetData>
    <row r="1" spans="1:9">
      <c r="B1" s="1058" t="s">
        <v>47</v>
      </c>
      <c r="C1" s="1058"/>
      <c r="D1" s="1058"/>
      <c r="E1" s="1058"/>
      <c r="F1" s="78"/>
      <c r="G1" s="78"/>
    </row>
    <row r="2" spans="1:9">
      <c r="B2" s="1058" t="s">
        <v>151</v>
      </c>
      <c r="C2" s="1058"/>
      <c r="D2" s="1058"/>
      <c r="E2" s="1058"/>
      <c r="F2" s="78"/>
      <c r="G2" s="78"/>
    </row>
    <row r="3" spans="1:9">
      <c r="B3" s="1058" t="s">
        <v>48</v>
      </c>
      <c r="C3" s="1058"/>
      <c r="D3" s="1058"/>
      <c r="E3" s="1058"/>
      <c r="F3" s="78"/>
      <c r="G3" s="78"/>
    </row>
    <row r="6" spans="1:9" s="115" customFormat="1">
      <c r="A6" s="3" t="s">
        <v>31</v>
      </c>
      <c r="C6" s="136">
        <v>44804</v>
      </c>
      <c r="D6" s="136">
        <v>44834</v>
      </c>
      <c r="E6" s="136">
        <v>44865</v>
      </c>
      <c r="F6" s="136"/>
      <c r="G6" s="164" t="s">
        <v>41</v>
      </c>
      <c r="I6" s="55"/>
    </row>
    <row r="7" spans="1:9">
      <c r="A7" s="52" t="s">
        <v>32</v>
      </c>
      <c r="B7" s="53"/>
      <c r="C7" s="159">
        <v>3.5999999999999997E-2</v>
      </c>
      <c r="D7" s="159">
        <f>+C7</f>
        <v>3.5999999999999997E-2</v>
      </c>
      <c r="E7" s="159">
        <f>+C7</f>
        <v>3.5999999999999997E-2</v>
      </c>
      <c r="F7" s="137"/>
      <c r="G7" s="54" t="s">
        <v>43</v>
      </c>
    </row>
    <row r="8" spans="1:9">
      <c r="A8" s="52" t="s">
        <v>33</v>
      </c>
      <c r="B8" s="54" t="s">
        <v>95</v>
      </c>
      <c r="C8" s="138">
        <f>ROUND(C7/365*31,6)</f>
        <v>3.058E-3</v>
      </c>
      <c r="D8" s="138">
        <f>ROUND(D7/365*30,6)</f>
        <v>2.9589999999999998E-3</v>
      </c>
      <c r="E8" s="138">
        <f>ROUND(E7/365*31,6)</f>
        <v>3.058E-3</v>
      </c>
      <c r="F8" s="138"/>
      <c r="G8" s="780">
        <v>44865</v>
      </c>
    </row>
    <row r="9" spans="1:9">
      <c r="A9" s="18" t="s">
        <v>44</v>
      </c>
      <c r="B9" s="19" t="s">
        <v>0</v>
      </c>
      <c r="C9" s="43"/>
      <c r="D9" s="14"/>
      <c r="E9" s="14"/>
    </row>
    <row r="10" spans="1:9">
      <c r="A10" s="116" t="str">
        <f>+'Balances at 7-31-2022'!A8</f>
        <v>47WA.1910.01253</v>
      </c>
      <c r="B10" s="116" t="str">
        <f>+'Balances at 7-31-2022'!C8</f>
        <v>Core Market Commodity Changes</v>
      </c>
      <c r="C10" s="779">
        <f>ROUND('Balances at 7-31-2022'!D8*C$8,2)</f>
        <v>129364.75</v>
      </c>
      <c r="D10" s="779">
        <f>ROUND(EstimatedBalances!D10*D$8,2)</f>
        <v>125559.48</v>
      </c>
      <c r="E10" s="779">
        <f>ROUND(EstimatedBalances!E10*E$8,2)</f>
        <v>130144.31</v>
      </c>
      <c r="F10" s="779"/>
      <c r="G10" s="779">
        <f>SUM(C10:E10)</f>
        <v>385068.54</v>
      </c>
      <c r="H10" s="71"/>
    </row>
    <row r="11" spans="1:9">
      <c r="A11" s="116" t="str">
        <f>+'Balances at 7-31-2022'!A9</f>
        <v>47WA.1910.01254</v>
      </c>
      <c r="B11" s="116" t="str">
        <f>+'Balances at 7-31-2022'!C9</f>
        <v>Core Market Demand Cost Changes</v>
      </c>
      <c r="C11" s="779">
        <f>ROUND('Balances at 7-31-2022'!D9*C$8,2)</f>
        <v>-317.06</v>
      </c>
      <c r="D11" s="779">
        <f>ROUND(EstimatedBalances!D11*D$8,2)</f>
        <v>-307.73</v>
      </c>
      <c r="E11" s="779">
        <f>ROUND(EstimatedBalances!E11*E$8,2)</f>
        <v>-318.97000000000003</v>
      </c>
      <c r="F11" s="779"/>
      <c r="G11" s="779">
        <f t="shared" ref="G11:G12" si="0">SUM(C11:E11)</f>
        <v>-943.76</v>
      </c>
      <c r="H11" s="71"/>
    </row>
    <row r="12" spans="1:9">
      <c r="A12" s="116" t="str">
        <f>+'Balances at 7-31-2022'!A10</f>
        <v>47WA.1910.01286</v>
      </c>
      <c r="B12" s="116" t="str">
        <f>+'Balances at 7-31-2022'!C10</f>
        <v>WA Consolidated Technical Adjustments-Gas Cost</v>
      </c>
      <c r="C12" s="779">
        <f>ROUND('Balances at 7-31-2022'!D10*C$8,2)</f>
        <v>9143.34</v>
      </c>
      <c r="D12" s="779">
        <f>ROUND(EstimatedBalances!D12*D$8,2)</f>
        <v>6091.85</v>
      </c>
      <c r="E12" s="779">
        <f>ROUND(EstimatedBalances!E12*E$8,2)</f>
        <v>2875.05</v>
      </c>
      <c r="F12" s="779"/>
      <c r="G12" s="779">
        <f t="shared" si="0"/>
        <v>18110.240000000002</v>
      </c>
      <c r="H12" s="71"/>
    </row>
    <row r="13" spans="1:9">
      <c r="A13" s="116"/>
      <c r="B13" s="116"/>
      <c r="C13" s="779"/>
      <c r="D13" s="779"/>
      <c r="E13" s="779"/>
      <c r="F13" s="779"/>
      <c r="G13" s="779"/>
      <c r="H13" s="71"/>
    </row>
    <row r="14" spans="1:9" ht="15.75" thickBot="1">
      <c r="A14" s="115" t="s">
        <v>41</v>
      </c>
      <c r="B14" s="114" t="s">
        <v>145</v>
      </c>
      <c r="C14" s="876">
        <f>SUM(C10:C13)</f>
        <v>138191.03</v>
      </c>
      <c r="D14" s="876">
        <f>SUM(D10:D13)</f>
        <v>131343.6</v>
      </c>
      <c r="E14" s="876">
        <f>SUM(E10:E13)</f>
        <v>132700.38999999998</v>
      </c>
      <c r="F14" s="876"/>
      <c r="G14" s="876">
        <f>SUM(G10:G13)</f>
        <v>402235.01999999996</v>
      </c>
    </row>
    <row r="15" spans="1:9" ht="15.75" thickTop="1">
      <c r="A15" s="115"/>
      <c r="C15" s="70"/>
      <c r="D15" s="70"/>
      <c r="E15" s="70"/>
      <c r="F15" s="70"/>
      <c r="G15" s="70"/>
    </row>
    <row r="16" spans="1:9">
      <c r="A16" s="3" t="s">
        <v>31</v>
      </c>
      <c r="C16" s="66"/>
      <c r="D16" s="66"/>
      <c r="E16" s="66"/>
      <c r="F16" s="66"/>
      <c r="G16" s="66"/>
    </row>
    <row r="17" spans="1:7" s="12" customFormat="1">
      <c r="A17" s="52" t="s">
        <v>32</v>
      </c>
      <c r="C17" s="781">
        <f t="shared" ref="C17:E18" si="1">+C6</f>
        <v>44804</v>
      </c>
      <c r="D17" s="781">
        <f t="shared" si="1"/>
        <v>44834</v>
      </c>
      <c r="E17" s="781">
        <f t="shared" si="1"/>
        <v>44865</v>
      </c>
      <c r="F17" s="136">
        <f>+[51]EstimatedBalances!F19</f>
        <v>0</v>
      </c>
      <c r="G17" s="164" t="s">
        <v>41</v>
      </c>
    </row>
    <row r="18" spans="1:7" s="12" customFormat="1">
      <c r="A18" s="52" t="s">
        <v>33</v>
      </c>
      <c r="B18" s="54" t="s">
        <v>263</v>
      </c>
      <c r="C18" s="782">
        <f t="shared" si="1"/>
        <v>3.5999999999999997E-2</v>
      </c>
      <c r="D18" s="782">
        <f t="shared" si="1"/>
        <v>3.5999999999999997E-2</v>
      </c>
      <c r="E18" s="782">
        <f t="shared" si="1"/>
        <v>3.5999999999999997E-2</v>
      </c>
      <c r="F18" s="159">
        <v>3.2500000000000001E-2</v>
      </c>
      <c r="G18" s="54" t="s">
        <v>43</v>
      </c>
    </row>
    <row r="19" spans="1:7" s="12" customFormat="1">
      <c r="A19" s="18" t="s">
        <v>44</v>
      </c>
      <c r="B19" s="19" t="s">
        <v>0</v>
      </c>
      <c r="C19" s="138">
        <f>ROUND(C18/365*31,6)</f>
        <v>3.058E-3</v>
      </c>
      <c r="D19" s="138">
        <f>ROUND(D18/365*30,6)</f>
        <v>2.9589999999999998E-3</v>
      </c>
      <c r="E19" s="138">
        <f>ROUND(E18/365*31,6)</f>
        <v>3.058E-3</v>
      </c>
      <c r="F19" s="138">
        <f>ROUND(F18/365*31,6)</f>
        <v>2.7599999999999999E-3</v>
      </c>
      <c r="G19" s="780">
        <f>+G8</f>
        <v>44865</v>
      </c>
    </row>
    <row r="20" spans="1:7" s="12" customFormat="1">
      <c r="A20" s="114" t="str">
        <f>+'Balances at 7-31-2022'!A17</f>
        <v>47WA.1823.47020430</v>
      </c>
      <c r="B20" s="114" t="str">
        <f>+'Balances at 7-31-2022'!C17</f>
        <v xml:space="preserve">Commercial Conservation Program </v>
      </c>
      <c r="C20" s="779">
        <f>ROUND('Balances at 7-31-2022'!D17*C$19,2)</f>
        <v>5127.51</v>
      </c>
      <c r="D20" s="779">
        <f>ROUND(EstimatedBalances!D20*D$19,2)</f>
        <v>4976.6899999999996</v>
      </c>
      <c r="E20" s="779">
        <f>ROUND(EstimatedBalances!E20*E$19,2)</f>
        <v>5158.41</v>
      </c>
      <c r="F20" s="779">
        <f>ROUND([51]EstimatedBalances!E23*F$8,2)</f>
        <v>0</v>
      </c>
      <c r="G20" s="788">
        <f>+C20+D20+E20</f>
        <v>15262.61</v>
      </c>
    </row>
    <row r="21" spans="1:7" s="12" customFormat="1">
      <c r="A21" s="114" t="str">
        <f>+'Balances at 7-31-2022'!A18</f>
        <v>47WA.1823.47020431</v>
      </c>
      <c r="B21" s="114" t="str">
        <f>+'Balances at 7-31-2022'!C18</f>
        <v>Low Income Weatherization Program</v>
      </c>
      <c r="C21" s="779">
        <f>ROUND('Balances at 7-31-2022'!D18*C$19,2)</f>
        <v>1657.44</v>
      </c>
      <c r="D21" s="779">
        <f>ROUND(EstimatedBalances!D21*D$19,2)</f>
        <v>1608.68</v>
      </c>
      <c r="E21" s="779">
        <f>ROUND(EstimatedBalances!E21*E$19,2)</f>
        <v>1667.42</v>
      </c>
      <c r="F21" s="779">
        <f>ROUND([51]EstimatedBalances!E24*F$8,2)</f>
        <v>0</v>
      </c>
      <c r="G21" s="788">
        <f t="shared" ref="G21:G24" si="2">+C21+D21+E21</f>
        <v>4933.54</v>
      </c>
    </row>
    <row r="22" spans="1:7" s="12" customFormat="1">
      <c r="A22" s="114" t="str">
        <f>+'Balances at 7-31-2022'!A19</f>
        <v>47WA.1823.47020444</v>
      </c>
      <c r="B22" s="114" t="str">
        <f>+'Balances at 7-31-2022'!C19</f>
        <v>Washington Conservation Administration &amp; Program Delivery Fees</v>
      </c>
      <c r="C22" s="779">
        <f>ROUND('Balances at 7-31-2022'!D19*C$19,2)</f>
        <v>8382.1</v>
      </c>
      <c r="D22" s="779">
        <f>ROUND(EstimatedBalances!D22*D$19,2)</f>
        <v>8135.54</v>
      </c>
      <c r="E22" s="779">
        <f>ROUND(EstimatedBalances!E22*E$19,2)</f>
        <v>8432.61</v>
      </c>
      <c r="F22" s="779">
        <f>ROUND([51]EstimatedBalances!E25*F$8,2)</f>
        <v>0</v>
      </c>
      <c r="G22" s="788">
        <f t="shared" si="2"/>
        <v>24950.25</v>
      </c>
    </row>
    <row r="23" spans="1:7" s="12" customFormat="1">
      <c r="A23" s="114" t="str">
        <f>+'Balances at 7-31-2022'!A20</f>
        <v>47WA.1823.47020449</v>
      </c>
      <c r="B23" s="114" t="str">
        <f>+'Balances at 7-31-2022'!C20</f>
        <v xml:space="preserve">Washington Residential Conservation Program </v>
      </c>
      <c r="C23" s="779">
        <f>ROUND('Balances at 7-31-2022'!D20*C$19,2)</f>
        <v>8030.43</v>
      </c>
      <c r="D23" s="779">
        <f>ROUND(EstimatedBalances!D23*D$19,2)</f>
        <v>7794.21</v>
      </c>
      <c r="E23" s="779">
        <f>ROUND(EstimatedBalances!E23*E$19,2)</f>
        <v>8078.82</v>
      </c>
      <c r="F23" s="779">
        <f>ROUND([51]EstimatedBalances!E26*F$8,2)</f>
        <v>0</v>
      </c>
      <c r="G23" s="788">
        <f t="shared" si="2"/>
        <v>23903.46</v>
      </c>
    </row>
    <row r="24" spans="1:7" s="12" customFormat="1">
      <c r="A24" s="114" t="str">
        <f>+'Balances at 7-31-2022'!A21</f>
        <v>47WA.1823.47020478</v>
      </c>
      <c r="B24" s="114" t="str">
        <f>+'Balances at 7-31-2022'!C21</f>
        <v>Consolidated Technical Adjustments - Conservation</v>
      </c>
      <c r="C24" s="779">
        <f>ROUND('Balances at 7-31-2022'!D21*C$19,2)</f>
        <v>1949.29</v>
      </c>
      <c r="D24" s="779">
        <f>ROUND(EstimatedBalances!D24*D$19,2)</f>
        <v>1275.47</v>
      </c>
      <c r="E24" s="779">
        <f>ROUND(EstimatedBalances!E24*E$19,2)</f>
        <v>560.07000000000005</v>
      </c>
      <c r="F24" s="779">
        <f>ROUND([51]EstimatedBalances!E27*F$8,2)</f>
        <v>0</v>
      </c>
      <c r="G24" s="788">
        <f t="shared" si="2"/>
        <v>3784.8300000000004</v>
      </c>
    </row>
    <row r="25" spans="1:7" s="12" customFormat="1">
      <c r="A25" s="114"/>
      <c r="B25" s="114"/>
      <c r="C25" s="788"/>
      <c r="D25" s="788"/>
      <c r="E25" s="788"/>
      <c r="F25" s="788"/>
      <c r="G25" s="788"/>
    </row>
    <row r="26" spans="1:7" ht="15.75" thickBot="1">
      <c r="A26" s="115" t="s">
        <v>41</v>
      </c>
      <c r="B26" s="114" t="str">
        <f>+'Balances at 7-31-2022'!C24</f>
        <v>Consolidation of accounts related to core conservation.</v>
      </c>
      <c r="C26" s="876">
        <f>SUM(C20:C25)</f>
        <v>25146.770000000004</v>
      </c>
      <c r="D26" s="876">
        <f>SUM(D20:D25)</f>
        <v>23790.59</v>
      </c>
      <c r="E26" s="876">
        <f t="shared" ref="E26:F26" si="3">SUM(E20:E25)</f>
        <v>23897.33</v>
      </c>
      <c r="F26" s="876">
        <f t="shared" si="3"/>
        <v>0</v>
      </c>
      <c r="G26" s="876">
        <f>SUM(G20:G25)</f>
        <v>72834.69</v>
      </c>
    </row>
    <row r="27" spans="1:7" ht="15.75" thickTop="1"/>
  </sheetData>
  <mergeCells count="3">
    <mergeCell ref="B1:E1"/>
    <mergeCell ref="B2:E2"/>
    <mergeCell ref="B3:E3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0"/>
  <sheetViews>
    <sheetView workbookViewId="0">
      <selection activeCell="C6" sqref="C6:J31"/>
    </sheetView>
  </sheetViews>
  <sheetFormatPr defaultColWidth="9.33203125" defaultRowHeight="15"/>
  <cols>
    <col min="1" max="1" width="24.6640625" style="114" customWidth="1"/>
    <col min="2" max="2" width="11.1640625" style="114" bestFit="1" customWidth="1"/>
    <col min="3" max="3" width="15.1640625" style="114" customWidth="1"/>
    <col min="4" max="6" width="17.6640625" style="114" bestFit="1" customWidth="1"/>
    <col min="7" max="7" width="2.83203125" style="114" customWidth="1"/>
    <col min="8" max="8" width="20" style="114" customWidth="1"/>
    <col min="9" max="9" width="12.6640625" style="114" customWidth="1"/>
    <col min="10" max="10" width="11.83203125" style="114" bestFit="1" customWidth="1"/>
    <col min="11" max="11" width="9.33203125" style="12"/>
    <col min="12" max="16384" width="9.33203125" style="114"/>
  </cols>
  <sheetData>
    <row r="1" spans="1:10">
      <c r="B1" s="1058" t="s">
        <v>47</v>
      </c>
      <c r="C1" s="1058"/>
      <c r="D1" s="1058"/>
      <c r="E1" s="1058"/>
      <c r="G1" s="21"/>
      <c r="H1" s="22"/>
      <c r="I1" s="22"/>
    </row>
    <row r="2" spans="1:10">
      <c r="A2" s="1059" t="s">
        <v>282</v>
      </c>
      <c r="B2" s="1059"/>
      <c r="C2" s="1059"/>
      <c r="D2" s="1059"/>
      <c r="E2" s="1059"/>
      <c r="F2" s="1059"/>
      <c r="G2" s="23"/>
      <c r="H2" s="13"/>
      <c r="I2" s="24"/>
    </row>
    <row r="3" spans="1:10">
      <c r="B3" s="1058" t="s">
        <v>48</v>
      </c>
      <c r="C3" s="1058"/>
      <c r="D3" s="1058"/>
      <c r="E3" s="1058"/>
      <c r="G3" s="23"/>
      <c r="I3" s="24"/>
    </row>
    <row r="4" spans="1:10">
      <c r="D4" s="164" t="s">
        <v>40</v>
      </c>
      <c r="E4" s="164" t="s">
        <v>40</v>
      </c>
      <c r="F4" s="164" t="s">
        <v>40</v>
      </c>
      <c r="G4" s="25"/>
      <c r="I4" s="24"/>
    </row>
    <row r="5" spans="1:10">
      <c r="D5" s="783">
        <v>44804</v>
      </c>
      <c r="E5" s="783">
        <v>44834</v>
      </c>
      <c r="F5" s="783">
        <v>44865</v>
      </c>
      <c r="G5" s="25"/>
      <c r="H5" s="13"/>
      <c r="I5" s="24"/>
    </row>
    <row r="6" spans="1:10">
      <c r="A6" s="116" t="s">
        <v>1</v>
      </c>
      <c r="D6" s="9">
        <f>+'Test Period Volumes'!C19+'Test Period Volumes'!D19+'Test Period Volumes'!E19+'Test Period Volumes'!F19</f>
        <v>7142806.7427950148</v>
      </c>
      <c r="E6" s="9">
        <f>+'Test Period Volumes'!C20+'Test Period Volumes'!D20+'Test Period Volumes'!E20+'Test Period Volumes'!F20</f>
        <v>8526990.5546797346</v>
      </c>
      <c r="F6" s="9">
        <f>+'Test Period Volumes'!C21+'Test Period Volumes'!D21+'Test Period Volumes'!E21+'Test Period Volumes'!F21</f>
        <v>18147275.144163515</v>
      </c>
      <c r="G6" s="13"/>
      <c r="H6" s="13"/>
      <c r="I6" s="23"/>
    </row>
    <row r="7" spans="1:10">
      <c r="A7" s="116" t="s">
        <v>2</v>
      </c>
      <c r="D7" s="9">
        <f>+'Test Period Volumes'!I19</f>
        <v>7259277</v>
      </c>
      <c r="E7" s="9">
        <f>+'Test Period Volumes'!I20</f>
        <v>8682025</v>
      </c>
      <c r="F7" s="9">
        <f>+'Test Period Volumes'!I21</f>
        <v>18448098</v>
      </c>
      <c r="G7" s="13"/>
      <c r="H7" s="13"/>
      <c r="I7" s="23"/>
    </row>
    <row r="8" spans="1:10">
      <c r="A8" s="116" t="s">
        <v>3</v>
      </c>
      <c r="D8" s="9">
        <f>+'Test Period Volumes'!H19+'Test Period Volumes'!I19</f>
        <v>71601693</v>
      </c>
      <c r="E8" s="9">
        <f>+'Test Period Volumes'!H20+'Test Period Volumes'!I20</f>
        <v>73406096</v>
      </c>
      <c r="F8" s="9">
        <f>+'Test Period Volumes'!H21+'Test Period Volumes'!I21</f>
        <v>79240339</v>
      </c>
      <c r="G8" s="13"/>
      <c r="H8" s="13"/>
      <c r="I8" s="26"/>
    </row>
    <row r="9" spans="1:10">
      <c r="C9" s="4"/>
    </row>
    <row r="10" spans="1:10">
      <c r="C10" s="784">
        <v>44501</v>
      </c>
      <c r="D10" s="164" t="s">
        <v>40</v>
      </c>
      <c r="E10" s="164" t="s">
        <v>40</v>
      </c>
      <c r="F10" s="164" t="s">
        <v>40</v>
      </c>
      <c r="G10" s="115"/>
      <c r="H10" s="65" t="s">
        <v>40</v>
      </c>
    </row>
    <row r="11" spans="1:10">
      <c r="C11" s="165" t="s">
        <v>25</v>
      </c>
      <c r="D11" s="783">
        <v>44804</v>
      </c>
      <c r="E11" s="783">
        <v>44834</v>
      </c>
      <c r="F11" s="783">
        <v>44865</v>
      </c>
      <c r="G11" s="115"/>
      <c r="H11" s="65" t="s">
        <v>39</v>
      </c>
    </row>
    <row r="12" spans="1:10">
      <c r="A12" s="10" t="s">
        <v>27</v>
      </c>
      <c r="B12" s="5" t="s">
        <v>45</v>
      </c>
      <c r="C12" s="160" t="s">
        <v>30</v>
      </c>
      <c r="D12" s="60" t="s">
        <v>10</v>
      </c>
      <c r="E12" s="60" t="s">
        <v>10</v>
      </c>
      <c r="F12" s="60" t="s">
        <v>10</v>
      </c>
      <c r="G12" s="56"/>
      <c r="H12" s="785">
        <v>44865</v>
      </c>
    </row>
    <row r="13" spans="1:10">
      <c r="A13" s="116" t="str">
        <f>+'Balances at 7-31-2022'!A8</f>
        <v>47WA.1910.01253</v>
      </c>
      <c r="B13" s="27" t="str">
        <f>+'Balances at 7-31-2022'!E8</f>
        <v>Core</v>
      </c>
      <c r="C13" s="68"/>
      <c r="D13" s="64">
        <f t="shared" ref="D13:E13" si="0">+$C13*D$7</f>
        <v>0</v>
      </c>
      <c r="E13" s="64">
        <f t="shared" si="0"/>
        <v>0</v>
      </c>
      <c r="F13" s="64"/>
      <c r="G13" s="64"/>
      <c r="H13" s="64">
        <f>SUM(D13:G13)</f>
        <v>0</v>
      </c>
    </row>
    <row r="14" spans="1:10">
      <c r="A14" s="116" t="str">
        <f>+'Balances at 7-31-2022'!A9</f>
        <v>47WA.1910.01254</v>
      </c>
      <c r="B14" s="27" t="str">
        <f>+'Balances at 7-31-2022'!E9</f>
        <v>Core</v>
      </c>
      <c r="C14" s="68"/>
      <c r="D14" s="779">
        <f t="shared" ref="D14:F15" si="1">+$C14*D$7</f>
        <v>0</v>
      </c>
      <c r="E14" s="779">
        <f t="shared" si="1"/>
        <v>0</v>
      </c>
      <c r="F14" s="779"/>
      <c r="G14" s="779"/>
      <c r="H14" s="779">
        <f>SUM(D14:G14)</f>
        <v>0</v>
      </c>
      <c r="I14" s="867"/>
    </row>
    <row r="15" spans="1:10">
      <c r="A15" s="116" t="str">
        <f>+'Balances at 7-31-2022'!A10</f>
        <v>47WA.1910.01286</v>
      </c>
      <c r="B15" s="27" t="str">
        <f>+'Balances at 7-31-2022'!E10</f>
        <v>Core</v>
      </c>
      <c r="C15" s="68">
        <v>-0.12953999999999999</v>
      </c>
      <c r="D15" s="779">
        <f>+$C15*D$7</f>
        <v>-940366.74257999996</v>
      </c>
      <c r="E15" s="779">
        <f t="shared" si="1"/>
        <v>-1124669.5185</v>
      </c>
      <c r="F15" s="779">
        <f t="shared" si="1"/>
        <v>-2389766.6149199996</v>
      </c>
      <c r="G15" s="779"/>
      <c r="H15" s="779">
        <f>SUM(D15:G15)</f>
        <v>-4454802.8760000002</v>
      </c>
      <c r="J15" s="865"/>
    </row>
    <row r="16" spans="1:10">
      <c r="A16" s="116"/>
      <c r="B16" s="27"/>
      <c r="C16" s="68"/>
      <c r="D16" s="779">
        <f>+$C16*D$8</f>
        <v>0</v>
      </c>
      <c r="E16" s="779">
        <f>+$C16*E$8</f>
        <v>0</v>
      </c>
      <c r="F16" s="779"/>
      <c r="G16" s="779"/>
      <c r="H16" s="779">
        <f>SUM(D16:G16)</f>
        <v>0</v>
      </c>
    </row>
    <row r="17" spans="1:11">
      <c r="A17" s="116"/>
      <c r="B17" s="27"/>
      <c r="C17" s="68"/>
      <c r="D17" s="779"/>
      <c r="E17" s="779"/>
      <c r="F17" s="779"/>
      <c r="G17" s="779"/>
      <c r="H17" s="779">
        <f>SUM(D17:G17)</f>
        <v>0</v>
      </c>
    </row>
    <row r="18" spans="1:11">
      <c r="A18" s="116"/>
      <c r="B18" s="27"/>
      <c r="C18" s="68"/>
      <c r="D18" s="779"/>
      <c r="E18" s="779"/>
      <c r="F18" s="779"/>
      <c r="G18" s="779"/>
      <c r="H18" s="779"/>
    </row>
    <row r="19" spans="1:11" s="115" customFormat="1" ht="15.75" thickBot="1">
      <c r="A19" s="115" t="s">
        <v>283</v>
      </c>
      <c r="D19" s="787">
        <f>SUM(D13:D18)</f>
        <v>-940366.74257999996</v>
      </c>
      <c r="E19" s="787">
        <f>SUM(E13:E18)</f>
        <v>-1124669.5185</v>
      </c>
      <c r="F19" s="787">
        <f>SUM(F13:F18)</f>
        <v>-2389766.6149199996</v>
      </c>
      <c r="G19" s="787"/>
      <c r="H19" s="787">
        <f>SUM(H13:H18)</f>
        <v>-4454802.8760000002</v>
      </c>
      <c r="K19" s="55"/>
    </row>
    <row r="20" spans="1:11" ht="15.75" thickTop="1"/>
    <row r="21" spans="1:11">
      <c r="C21" s="784">
        <f>+C10</f>
        <v>44501</v>
      </c>
      <c r="D21" s="164" t="s">
        <v>40</v>
      </c>
      <c r="E21" s="164" t="s">
        <v>40</v>
      </c>
      <c r="F21" s="164" t="s">
        <v>40</v>
      </c>
      <c r="H21" s="786" t="s">
        <v>40</v>
      </c>
    </row>
    <row r="22" spans="1:11">
      <c r="C22" s="165" t="s">
        <v>25</v>
      </c>
      <c r="D22" s="783">
        <f>+D11</f>
        <v>44804</v>
      </c>
      <c r="E22" s="783">
        <f>+E11</f>
        <v>44834</v>
      </c>
      <c r="F22" s="783">
        <f>+F11</f>
        <v>44865</v>
      </c>
      <c r="H22" s="786" t="s">
        <v>39</v>
      </c>
    </row>
    <row r="23" spans="1:11">
      <c r="C23" s="160" t="s">
        <v>30</v>
      </c>
      <c r="D23" s="60" t="s">
        <v>10</v>
      </c>
      <c r="E23" s="60" t="s">
        <v>10</v>
      </c>
      <c r="F23" s="60" t="s">
        <v>10</v>
      </c>
      <c r="H23" s="785">
        <f>+H12</f>
        <v>44865</v>
      </c>
    </row>
    <row r="24" spans="1:11">
      <c r="A24" s="114" t="str">
        <f>+'Balances at 7-31-2022'!A17</f>
        <v>47WA.1823.47020430</v>
      </c>
      <c r="B24" s="114" t="s">
        <v>36</v>
      </c>
      <c r="C24" s="68"/>
      <c r="D24" s="64">
        <f>+$C24*D$7</f>
        <v>0</v>
      </c>
      <c r="E24" s="64">
        <f t="shared" ref="E24:F28" si="2">+$C24*E$7</f>
        <v>0</v>
      </c>
      <c r="F24" s="64">
        <f t="shared" si="2"/>
        <v>0</v>
      </c>
      <c r="H24" s="64">
        <f>SUM(D24:F24)</f>
        <v>0</v>
      </c>
    </row>
    <row r="25" spans="1:11">
      <c r="A25" s="114" t="str">
        <f>+'Balances at 7-31-2022'!A18</f>
        <v>47WA.1823.47020431</v>
      </c>
      <c r="B25" s="114" t="s">
        <v>36</v>
      </c>
      <c r="C25" s="68"/>
      <c r="D25" s="64">
        <f>+$C25*D$7</f>
        <v>0</v>
      </c>
      <c r="E25" s="64">
        <f t="shared" si="2"/>
        <v>0</v>
      </c>
      <c r="F25" s="64">
        <f t="shared" si="2"/>
        <v>0</v>
      </c>
      <c r="H25" s="64">
        <f>SUM(D25:F25)</f>
        <v>0</v>
      </c>
    </row>
    <row r="26" spans="1:11">
      <c r="A26" s="114" t="str">
        <f>+'Balances at 7-31-2022'!A19</f>
        <v>47WA.1823.47020444</v>
      </c>
      <c r="B26" s="114" t="s">
        <v>36</v>
      </c>
      <c r="C26" s="68"/>
      <c r="D26" s="64">
        <f>+$C26*D$7</f>
        <v>0</v>
      </c>
      <c r="E26" s="64">
        <f t="shared" si="2"/>
        <v>0</v>
      </c>
      <c r="F26" s="64">
        <f t="shared" si="2"/>
        <v>0</v>
      </c>
      <c r="H26" s="64">
        <f>SUM(D26:F26)</f>
        <v>0</v>
      </c>
    </row>
    <row r="27" spans="1:11">
      <c r="A27" s="114" t="str">
        <f>+'Balances at 7-31-2022'!A20</f>
        <v>47WA.1823.47020449</v>
      </c>
      <c r="B27" s="114" t="s">
        <v>36</v>
      </c>
      <c r="C27" s="68"/>
      <c r="D27" s="64">
        <f>+$C27*D$7</f>
        <v>0</v>
      </c>
      <c r="E27" s="64">
        <f t="shared" si="2"/>
        <v>0</v>
      </c>
      <c r="F27" s="64">
        <f t="shared" si="2"/>
        <v>0</v>
      </c>
      <c r="H27" s="64">
        <f>SUM(D27:F27)</f>
        <v>0</v>
      </c>
    </row>
    <row r="28" spans="1:11">
      <c r="A28" s="114" t="str">
        <f>+'Balances at 7-31-2022'!A21</f>
        <v>47WA.1823.47020478</v>
      </c>
      <c r="B28" s="114" t="s">
        <v>36</v>
      </c>
      <c r="C28" s="68">
        <v>-2.87E-2</v>
      </c>
      <c r="D28" s="779">
        <f>+$C28*D$7</f>
        <v>-208341.2499</v>
      </c>
      <c r="E28" s="779">
        <f t="shared" si="2"/>
        <v>-249174.11749999999</v>
      </c>
      <c r="F28" s="779">
        <f t="shared" si="2"/>
        <v>-529460.41260000004</v>
      </c>
      <c r="G28" s="788"/>
      <c r="H28" s="779">
        <f>SUM(D28:F28)</f>
        <v>-986975.78</v>
      </c>
    </row>
    <row r="29" spans="1:11" ht="15.75" thickBot="1">
      <c r="A29" s="115" t="s">
        <v>284</v>
      </c>
      <c r="C29" s="115"/>
      <c r="D29" s="787">
        <f>SUM(D24:D28)</f>
        <v>-208341.2499</v>
      </c>
      <c r="E29" s="787">
        <f>SUM(E24:E28)</f>
        <v>-249174.11749999999</v>
      </c>
      <c r="F29" s="787">
        <f>SUM(F24:F28)</f>
        <v>-529460.41260000004</v>
      </c>
      <c r="G29" s="788"/>
      <c r="H29" s="787">
        <f>SUM(H24:H28)</f>
        <v>-986975.78</v>
      </c>
    </row>
    <row r="30" spans="1:11" ht="15.75" thickTop="1"/>
  </sheetData>
  <mergeCells count="3">
    <mergeCell ref="B1:E1"/>
    <mergeCell ref="B3:E3"/>
    <mergeCell ref="A2:F2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28"/>
  <sheetViews>
    <sheetView workbookViewId="0">
      <selection activeCell="B8" sqref="B8:M28"/>
    </sheetView>
  </sheetViews>
  <sheetFormatPr defaultColWidth="9.33203125" defaultRowHeight="15"/>
  <cols>
    <col min="1" max="1" width="23.33203125" style="114" customWidth="1"/>
    <col min="2" max="2" width="66.1640625" style="114" bestFit="1" customWidth="1"/>
    <col min="3" max="6" width="20.6640625" style="114" bestFit="1" customWidth="1"/>
    <col min="7" max="7" width="2.6640625" style="114" customWidth="1"/>
    <col min="8" max="8" width="18.6640625" style="114" customWidth="1"/>
    <col min="9" max="10" width="9.33203125" style="114"/>
    <col min="11" max="11" width="9.33203125" style="12"/>
    <col min="12" max="16384" width="9.33203125" style="114"/>
  </cols>
  <sheetData>
    <row r="1" spans="1:11">
      <c r="B1" s="1058" t="s">
        <v>47</v>
      </c>
      <c r="C1" s="1058"/>
      <c r="D1" s="1058"/>
      <c r="E1" s="1058"/>
      <c r="F1" s="1058"/>
    </row>
    <row r="2" spans="1:11">
      <c r="B2" s="1060" t="s">
        <v>393</v>
      </c>
      <c r="C2" s="1060"/>
      <c r="D2" s="1060"/>
      <c r="E2" s="1060"/>
      <c r="F2" s="1060"/>
    </row>
    <row r="3" spans="1:11">
      <c r="B3" s="1058" t="s">
        <v>48</v>
      </c>
      <c r="C3" s="1058"/>
      <c r="D3" s="1058"/>
      <c r="E3" s="1058"/>
      <c r="F3" s="1058"/>
    </row>
    <row r="5" spans="1:11">
      <c r="C5" s="789">
        <v>44773</v>
      </c>
      <c r="D5" s="789">
        <v>44804</v>
      </c>
      <c r="E5" s="789">
        <v>44834</v>
      </c>
      <c r="F5" s="789">
        <v>44865</v>
      </c>
      <c r="G5" s="783"/>
      <c r="H5" s="790" t="s">
        <v>92</v>
      </c>
    </row>
    <row r="6" spans="1:11">
      <c r="C6" s="165" t="s">
        <v>26</v>
      </c>
      <c r="D6" s="165" t="s">
        <v>26</v>
      </c>
      <c r="E6" s="165" t="s">
        <v>26</v>
      </c>
      <c r="F6" s="165" t="s">
        <v>26</v>
      </c>
      <c r="G6" s="165"/>
      <c r="H6" s="165" t="s">
        <v>93</v>
      </c>
    </row>
    <row r="7" spans="1:11">
      <c r="A7" s="3" t="s">
        <v>27</v>
      </c>
      <c r="B7" s="54" t="s">
        <v>95</v>
      </c>
      <c r="C7" s="165" t="s">
        <v>28</v>
      </c>
      <c r="D7" s="165" t="s">
        <v>28</v>
      </c>
      <c r="E7" s="165" t="s">
        <v>28</v>
      </c>
      <c r="F7" s="165" t="s">
        <v>28</v>
      </c>
      <c r="G7" s="165"/>
      <c r="H7" s="789">
        <v>44865</v>
      </c>
    </row>
    <row r="8" spans="1:11">
      <c r="A8" s="28" t="s">
        <v>29</v>
      </c>
      <c r="C8" s="28" t="s">
        <v>29</v>
      </c>
      <c r="D8" s="28" t="s">
        <v>29</v>
      </c>
      <c r="E8" s="28" t="s">
        <v>29</v>
      </c>
      <c r="F8" s="28"/>
      <c r="G8" s="28"/>
      <c r="H8" s="28"/>
    </row>
    <row r="9" spans="1:11">
      <c r="A9" s="116"/>
      <c r="C9" s="29"/>
      <c r="D9" s="20"/>
      <c r="E9" s="20"/>
      <c r="F9" s="20"/>
      <c r="G9" s="30"/>
      <c r="H9" s="20"/>
    </row>
    <row r="10" spans="1:11">
      <c r="A10" s="116" t="str">
        <f>+'Amort Calc thru 10-31-2022'!A13</f>
        <v>47WA.1910.01253</v>
      </c>
      <c r="B10" s="116" t="str">
        <f>+'Balances at 7-31-2022'!C8</f>
        <v>Core Market Commodity Changes</v>
      </c>
      <c r="C10" s="779">
        <f>+'Balances at 7-31-2022'!D8</f>
        <v>42303713.020000003</v>
      </c>
      <c r="D10" s="779">
        <f>+C10+'Int calc thru 10-31-2022'!C10+'Amort Calc thru 10-31-2022'!D13</f>
        <v>42433077.770000003</v>
      </c>
      <c r="E10" s="779">
        <f>+D10+'Int calc thru 10-31-2022'!D10+'Amort Calc thru 10-31-2022'!E13</f>
        <v>42558637.25</v>
      </c>
      <c r="F10" s="779">
        <f>+E10+'Int calc thru 10-31-2022'!E10+'Amort Calc thru 10-31-2022'!F13</f>
        <v>42688781.560000002</v>
      </c>
      <c r="G10" s="62"/>
      <c r="H10" s="779">
        <f>+F10-C10</f>
        <v>385068.53999999911</v>
      </c>
    </row>
    <row r="11" spans="1:11">
      <c r="A11" s="116" t="str">
        <f>+'Amort Calc thru 10-31-2022'!A14</f>
        <v>47WA.1910.01254</v>
      </c>
      <c r="B11" s="116" t="str">
        <f>+'Balances at 7-31-2022'!C9</f>
        <v>Core Market Demand Cost Changes</v>
      </c>
      <c r="C11" s="779">
        <f>+'Balances at 7-31-2022'!D9</f>
        <v>-103682.12</v>
      </c>
      <c r="D11" s="779">
        <f>+C11+'Int calc thru 10-31-2022'!C11+'Amort Calc thru 10-31-2022'!D14</f>
        <v>-103999.18</v>
      </c>
      <c r="E11" s="779">
        <f>+D11+'Int calc thru 10-31-2022'!D11+'Amort Calc thru 10-31-2022'!E14</f>
        <v>-104306.90999999999</v>
      </c>
      <c r="F11" s="779">
        <f>+E11+'Int calc thru 10-31-2022'!E11+'Amort Calc thru 10-31-2022'!F14</f>
        <v>-104625.87999999999</v>
      </c>
      <c r="G11" s="62"/>
      <c r="H11" s="779">
        <f t="shared" ref="H11:H12" si="0">+F11-C11</f>
        <v>-943.75999999999476</v>
      </c>
    </row>
    <row r="12" spans="1:11">
      <c r="A12" s="116" t="str">
        <f>+'Amort Calc thru 10-31-2022'!A15</f>
        <v>47WA.1910.01286</v>
      </c>
      <c r="B12" s="116" t="str">
        <f>+'Balances at 7-31-2022'!C10</f>
        <v>WA Consolidated Technical Adjustments-Gas Cost</v>
      </c>
      <c r="C12" s="779">
        <f>+'Balances at 7-31-2022'!D10</f>
        <v>2989974.83</v>
      </c>
      <c r="D12" s="779">
        <f>+C12+'Int calc thru 10-31-2022'!C12+'Amort Calc thru 10-31-2022'!D15</f>
        <v>2058751.4274200001</v>
      </c>
      <c r="E12" s="779">
        <f>+D12+'Int calc thru 10-31-2022'!D12+'Amort Calc thru 10-31-2022'!E15</f>
        <v>940173.75892000017</v>
      </c>
      <c r="F12" s="779">
        <f>+E12+'Int calc thru 10-31-2022'!E12+'Amort Calc thru 10-31-2022'!F15</f>
        <v>-1446717.8059999994</v>
      </c>
      <c r="G12" s="802"/>
      <c r="H12" s="779">
        <f t="shared" si="0"/>
        <v>-4436692.6359999999</v>
      </c>
    </row>
    <row r="13" spans="1:11" s="115" customFormat="1" ht="15.75" thickBot="1">
      <c r="A13" s="165" t="s">
        <v>24</v>
      </c>
      <c r="B13" s="3"/>
      <c r="C13" s="803">
        <f t="shared" ref="C13:H13" si="1">SUM(C10:C12)</f>
        <v>45190005.730000004</v>
      </c>
      <c r="D13" s="803">
        <f t="shared" si="1"/>
        <v>44387830.017420001</v>
      </c>
      <c r="E13" s="803">
        <f t="shared" si="1"/>
        <v>43394504.098920003</v>
      </c>
      <c r="F13" s="803">
        <f t="shared" si="1"/>
        <v>41137437.873999998</v>
      </c>
      <c r="G13" s="803">
        <f t="shared" si="1"/>
        <v>0</v>
      </c>
      <c r="H13" s="803">
        <f t="shared" si="1"/>
        <v>-4052567.8560000006</v>
      </c>
      <c r="K13" s="55"/>
    </row>
    <row r="14" spans="1:11" ht="15.75" thickTop="1">
      <c r="A14" s="4"/>
      <c r="B14" s="116"/>
      <c r="C14" s="135"/>
      <c r="D14" s="31"/>
      <c r="E14" s="31"/>
      <c r="F14" s="31"/>
      <c r="G14" s="31"/>
      <c r="H14" s="31"/>
    </row>
    <row r="16" spans="1:11" s="12" customFormat="1">
      <c r="A16" s="114"/>
      <c r="B16" s="114"/>
      <c r="C16" s="789">
        <f>+C5</f>
        <v>44773</v>
      </c>
      <c r="D16" s="789">
        <f t="shared" ref="D16:F16" si="2">+D5</f>
        <v>44804</v>
      </c>
      <c r="E16" s="789">
        <f t="shared" si="2"/>
        <v>44834</v>
      </c>
      <c r="F16" s="789">
        <f t="shared" si="2"/>
        <v>44865</v>
      </c>
      <c r="G16" s="783"/>
      <c r="H16" s="790" t="s">
        <v>92</v>
      </c>
    </row>
    <row r="17" spans="1:8" s="12" customFormat="1">
      <c r="A17" s="3" t="s">
        <v>27</v>
      </c>
      <c r="B17" s="54" t="s">
        <v>263</v>
      </c>
      <c r="C17" s="165" t="s">
        <v>26</v>
      </c>
      <c r="D17" s="165" t="s">
        <v>26</v>
      </c>
      <c r="E17" s="165" t="s">
        <v>26</v>
      </c>
      <c r="F17" s="165" t="s">
        <v>26</v>
      </c>
      <c r="G17" s="165"/>
      <c r="H17" s="165" t="s">
        <v>93</v>
      </c>
    </row>
    <row r="18" spans="1:8" s="12" customFormat="1">
      <c r="A18" s="28" t="s">
        <v>29</v>
      </c>
      <c r="B18" s="114"/>
      <c r="C18" s="165" t="s">
        <v>28</v>
      </c>
      <c r="D18" s="165" t="s">
        <v>28</v>
      </c>
      <c r="E18" s="165" t="s">
        <v>28</v>
      </c>
      <c r="F18" s="165" t="s">
        <v>28</v>
      </c>
      <c r="G18" s="165"/>
      <c r="H18" s="789">
        <f>+H7</f>
        <v>44865</v>
      </c>
    </row>
    <row r="19" spans="1:8" s="12" customFormat="1">
      <c r="A19" s="114"/>
      <c r="B19" s="114"/>
      <c r="C19" s="28" t="s">
        <v>29</v>
      </c>
      <c r="D19" s="28" t="s">
        <v>29</v>
      </c>
      <c r="E19" s="28" t="s">
        <v>29</v>
      </c>
      <c r="F19" s="28"/>
      <c r="G19" s="28"/>
      <c r="H19" s="28"/>
    </row>
    <row r="20" spans="1:8" s="12" customFormat="1">
      <c r="A20" s="114" t="str">
        <f>+'Balances at 7-31-2022'!A17</f>
        <v>47WA.1823.47020430</v>
      </c>
      <c r="B20" s="114" t="str">
        <f>+'Balances at 7-31-2022'!C17</f>
        <v xml:space="preserve">Commercial Conservation Program </v>
      </c>
      <c r="C20" s="62">
        <f>+'Balances at 7-31-2022'!D17</f>
        <v>1676753.31</v>
      </c>
      <c r="D20" s="62">
        <f>+C20+'Int calc thru 10-31-2022'!C20+'Amort Calc thru 10-31-2022'!D24</f>
        <v>1681880.82</v>
      </c>
      <c r="E20" s="62">
        <f>+D20+'Int calc thru 10-31-2022'!D20+'Amort Calc thru 10-31-2022'!E24</f>
        <v>1686857.51</v>
      </c>
      <c r="F20" s="62">
        <f>+E20+'Int calc thru 10-31-2022'!E20+'Amort Calc thru 10-31-2022'!F24</f>
        <v>1692015.92</v>
      </c>
      <c r="G20" s="804"/>
      <c r="H20" s="62">
        <f>+F20-C20</f>
        <v>15262.60999999987</v>
      </c>
    </row>
    <row r="21" spans="1:8" s="12" customFormat="1">
      <c r="A21" s="114" t="str">
        <f>+'Balances at 7-31-2022'!A18</f>
        <v>47WA.1823.47020431</v>
      </c>
      <c r="B21" s="114" t="str">
        <f>+'Balances at 7-31-2022'!C18</f>
        <v>Low Income Weatherization Program</v>
      </c>
      <c r="C21" s="62">
        <f>+'Balances at 7-31-2022'!D18</f>
        <v>541999.81999999995</v>
      </c>
      <c r="D21" s="62">
        <f>+C21+'Int calc thru 10-31-2022'!C21+'Amort Calc thru 10-31-2022'!D25</f>
        <v>543657.25999999989</v>
      </c>
      <c r="E21" s="62">
        <f>+D21+'Int calc thru 10-31-2022'!D21+'Amort Calc thru 10-31-2022'!E25</f>
        <v>545265.93999999994</v>
      </c>
      <c r="F21" s="62">
        <f>+E21+'Int calc thru 10-31-2022'!E21+'Amort Calc thru 10-31-2022'!F25</f>
        <v>546933.36</v>
      </c>
      <c r="G21" s="804"/>
      <c r="H21" s="62">
        <f>+F21-C21</f>
        <v>4933.5400000000373</v>
      </c>
    </row>
    <row r="22" spans="1:8" s="12" customFormat="1">
      <c r="A22" s="114" t="str">
        <f>+'Balances at 7-31-2022'!A19</f>
        <v>47WA.1823.47020444</v>
      </c>
      <c r="B22" s="114" t="str">
        <f>+'Balances at 7-31-2022'!C19</f>
        <v>Washington Conservation Administration &amp; Program Delivery Fees</v>
      </c>
      <c r="C22" s="62">
        <f>+'Balances at 7-31-2022'!D19</f>
        <v>2741038.68</v>
      </c>
      <c r="D22" s="62">
        <f>+C22+'Int calc thru 10-31-2022'!C22+'Amort Calc thru 10-31-2022'!D26</f>
        <v>2749420.7800000003</v>
      </c>
      <c r="E22" s="62">
        <f>+D22+'Int calc thru 10-31-2022'!D22+'Amort Calc thru 10-31-2022'!E26</f>
        <v>2757556.3200000003</v>
      </c>
      <c r="F22" s="62">
        <f>+E22+'Int calc thru 10-31-2022'!E22+'Amort Calc thru 10-31-2022'!F26</f>
        <v>2765988.93</v>
      </c>
      <c r="G22" s="804"/>
      <c r="H22" s="62">
        <f>+F22-C22</f>
        <v>24950.25</v>
      </c>
    </row>
    <row r="23" spans="1:8" s="12" customFormat="1">
      <c r="A23" s="114" t="str">
        <f>+'Balances at 7-31-2022'!A20</f>
        <v>47WA.1823.47020449</v>
      </c>
      <c r="B23" s="114" t="str">
        <f>+'Balances at 7-31-2022'!C20</f>
        <v xml:space="preserve">Washington Residential Conservation Program </v>
      </c>
      <c r="C23" s="62">
        <f>+'Balances at 7-31-2022'!D20</f>
        <v>2626039.2400000002</v>
      </c>
      <c r="D23" s="62">
        <f>+C23+'Int calc thru 10-31-2022'!C23+'Amort Calc thru 10-31-2022'!D27</f>
        <v>2634069.6700000004</v>
      </c>
      <c r="E23" s="62">
        <f>+D23+'Int calc thru 10-31-2022'!D23+'Amort Calc thru 10-31-2022'!E27</f>
        <v>2641863.8800000004</v>
      </c>
      <c r="F23" s="62">
        <f>+E23+'Int calc thru 10-31-2022'!E23+'Amort Calc thru 10-31-2022'!F27</f>
        <v>2649942.7000000002</v>
      </c>
      <c r="G23" s="804"/>
      <c r="H23" s="62">
        <f>+F23-C23</f>
        <v>23903.459999999963</v>
      </c>
    </row>
    <row r="24" spans="1:8" s="12" customFormat="1">
      <c r="A24" s="114" t="str">
        <f>+'Balances at 7-31-2022'!A21</f>
        <v>47WA.1823.47020478</v>
      </c>
      <c r="B24" s="114" t="str">
        <f>+'Balances at 7-31-2022'!C21</f>
        <v>Consolidated Technical Adjustments - Conservation</v>
      </c>
      <c r="C24" s="62">
        <f>+'Balances at 7-31-2022'!D21</f>
        <v>637440.01</v>
      </c>
      <c r="D24" s="62">
        <f>+C24+'Int calc thru 10-31-2022'!C24+'Amort Calc thru 10-31-2022'!D28</f>
        <v>431048.05010000005</v>
      </c>
      <c r="E24" s="62">
        <f>+D24+'Int calc thru 10-31-2022'!D24+'Amort Calc thru 10-31-2022'!E28</f>
        <v>183149.40260000003</v>
      </c>
      <c r="F24" s="62">
        <f>+E24+'Int calc thru 10-31-2022'!E24+'Amort Calc thru 10-31-2022'!F28</f>
        <v>-345750.94</v>
      </c>
      <c r="G24" s="806"/>
      <c r="H24" s="62">
        <f>+F24-C24</f>
        <v>-983190.95</v>
      </c>
    </row>
    <row r="25" spans="1:8" s="12" customFormat="1" ht="15.75" thickBot="1">
      <c r="A25" s="165" t="s">
        <v>24</v>
      </c>
      <c r="B25" s="114"/>
      <c r="C25" s="803">
        <f>SUM(C20:C24)</f>
        <v>8223271.0600000005</v>
      </c>
      <c r="D25" s="803">
        <f t="shared" ref="D25" si="3">SUM(D20:D24)</f>
        <v>8040076.5801000008</v>
      </c>
      <c r="E25" s="803">
        <f>SUM(E20:E24)</f>
        <v>7814693.0526000001</v>
      </c>
      <c r="F25" s="803">
        <f>SUM(F20:F24)</f>
        <v>7309129.9699999997</v>
      </c>
      <c r="G25" s="805"/>
      <c r="H25" s="803">
        <f>SUM(H20:H24)</f>
        <v>-914141.09000000008</v>
      </c>
    </row>
    <row r="26" spans="1:8" s="12" customFormat="1" ht="15.75" thickTop="1"/>
    <row r="27" spans="1:8" s="12" customFormat="1">
      <c r="C27" s="149"/>
      <c r="D27" s="149"/>
      <c r="E27" s="149"/>
      <c r="F27" s="149"/>
      <c r="G27" s="149"/>
      <c r="H27" s="150"/>
    </row>
    <row r="28" spans="1:8" s="12" customFormat="1"/>
  </sheetData>
  <mergeCells count="3">
    <mergeCell ref="B1:F1"/>
    <mergeCell ref="B2:F2"/>
    <mergeCell ref="B3:F3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44"/>
  <sheetViews>
    <sheetView topLeftCell="C19" workbookViewId="0">
      <selection activeCell="E33" sqref="E33"/>
    </sheetView>
  </sheetViews>
  <sheetFormatPr defaultColWidth="9.33203125" defaultRowHeight="15"/>
  <cols>
    <col min="1" max="1" width="23.83203125" style="114" customWidth="1"/>
    <col min="2" max="2" width="74.83203125" style="114" bestFit="1" customWidth="1"/>
    <col min="3" max="3" width="9.33203125" style="114" bestFit="1" customWidth="1"/>
    <col min="4" max="4" width="5.83203125" style="457" customWidth="1"/>
    <col min="5" max="5" width="16.1640625" style="114" bestFit="1" customWidth="1"/>
    <col min="6" max="6" width="16.6640625" style="114" bestFit="1" customWidth="1"/>
    <col min="7" max="7" width="22" style="114" customWidth="1"/>
    <col min="8" max="8" width="24" style="12" bestFit="1" customWidth="1"/>
    <col min="9" max="9" width="17.6640625" style="114" bestFit="1" customWidth="1"/>
    <col min="10" max="12" width="16" style="114" bestFit="1" customWidth="1"/>
    <col min="13" max="18" width="15.6640625" style="114" bestFit="1" customWidth="1"/>
    <col min="19" max="19" width="17.6640625" style="114" bestFit="1" customWidth="1"/>
    <col min="20" max="20" width="16.6640625" style="114" bestFit="1" customWidth="1"/>
    <col min="21" max="16384" width="9.33203125" style="114"/>
  </cols>
  <sheetData>
    <row r="1" spans="1:20">
      <c r="G1" s="1058" t="s">
        <v>47</v>
      </c>
      <c r="H1" s="1058"/>
      <c r="I1" s="1058"/>
      <c r="J1" s="1058"/>
      <c r="K1" s="1058"/>
    </row>
    <row r="2" spans="1:20">
      <c r="G2" s="441" t="s">
        <v>285</v>
      </c>
      <c r="H2" s="441"/>
      <c r="I2" s="441"/>
      <c r="J2" s="441"/>
      <c r="K2" s="441"/>
      <c r="L2" s="441"/>
    </row>
    <row r="3" spans="1:20">
      <c r="G3" s="1058" t="s">
        <v>48</v>
      </c>
      <c r="H3" s="1058"/>
      <c r="I3" s="1058"/>
      <c r="J3" s="1058"/>
      <c r="K3" s="1058"/>
    </row>
    <row r="5" spans="1:20">
      <c r="B5" s="115"/>
    </row>
    <row r="6" spans="1:20">
      <c r="B6" s="115" t="s">
        <v>89</v>
      </c>
      <c r="G6" s="1061" t="s">
        <v>94</v>
      </c>
      <c r="H6" s="1061"/>
      <c r="I6" s="1061"/>
    </row>
    <row r="7" spans="1:20" s="457" customFormat="1" ht="45">
      <c r="B7" s="609" t="s">
        <v>95</v>
      </c>
      <c r="C7" s="119" t="s">
        <v>45</v>
      </c>
      <c r="D7" s="119"/>
      <c r="E7" s="74" t="s">
        <v>86</v>
      </c>
      <c r="F7" s="75" t="s">
        <v>286</v>
      </c>
      <c r="G7" s="791">
        <v>44866</v>
      </c>
      <c r="H7" s="791">
        <v>44896</v>
      </c>
      <c r="I7" s="791">
        <v>44927</v>
      </c>
      <c r="J7" s="791">
        <v>44958</v>
      </c>
      <c r="K7" s="791">
        <v>44986</v>
      </c>
      <c r="L7" s="791">
        <v>45017</v>
      </c>
      <c r="M7" s="791">
        <v>45047</v>
      </c>
      <c r="N7" s="791">
        <v>45078</v>
      </c>
      <c r="O7" s="791">
        <v>45108</v>
      </c>
      <c r="P7" s="791">
        <v>45139</v>
      </c>
      <c r="Q7" s="791">
        <v>45170</v>
      </c>
      <c r="R7" s="791">
        <v>45200</v>
      </c>
      <c r="S7" s="75" t="s">
        <v>130</v>
      </c>
      <c r="T7" s="76" t="s">
        <v>87</v>
      </c>
    </row>
    <row r="8" spans="1:20">
      <c r="A8" s="116" t="str">
        <f>+'Balances at 7-31-2022'!A8</f>
        <v>47WA.1910.01253</v>
      </c>
      <c r="B8" s="116" t="str">
        <f>+'Balances at 7-31-2022'!C8</f>
        <v>Core Market Commodity Changes</v>
      </c>
      <c r="C8" s="116" t="str">
        <f>+'Balances at 7-31-2022'!E8</f>
        <v>Core</v>
      </c>
      <c r="D8" s="4">
        <f>+'Test Period Volumes'!I35</f>
        <v>7</v>
      </c>
      <c r="E8" s="32">
        <v>-0.16652590318041838</v>
      </c>
      <c r="F8" s="62">
        <f>+EstimatedBalances!F10</f>
        <v>42688781.560000002</v>
      </c>
      <c r="G8" s="62">
        <f>+$E8*'Test Period Volumes'!$I22</f>
        <v>-5078981.5964107439</v>
      </c>
      <c r="H8" s="62">
        <f>+E8*'Test Period Volumes'!I23</f>
        <v>-7022017.4915330885</v>
      </c>
      <c r="I8" s="62">
        <f>+E8*'Test Period Volumes'!I24</f>
        <v>-6854172.7031994816</v>
      </c>
      <c r="J8" s="62">
        <f>+E8*'Test Period Volumes'!I25</f>
        <v>-5606539.3212561794</v>
      </c>
      <c r="K8" s="62">
        <f>+E8*'Test Period Volumes'!I26</f>
        <v>-4755707.5249810489</v>
      </c>
      <c r="L8" s="62">
        <f>+E8*'Test Period Volumes'!I27</f>
        <v>-3066438.2888786029</v>
      </c>
      <c r="M8" s="62">
        <f>+E8*'Test Period Volumes'!I28</f>
        <v>-1869895.0540310536</v>
      </c>
      <c r="N8" s="62">
        <f>+E8*'Test Period Volumes'!I29</f>
        <v>-1343664.5406339662</v>
      </c>
      <c r="O8" s="62">
        <f>+E8*'Test Period Volumes'!I30</f>
        <v>-1224205.5187284613</v>
      </c>
      <c r="P8" s="62">
        <f>+E8*'Test Period Volumes'!I31</f>
        <v>-1251371.3888919924</v>
      </c>
      <c r="Q8" s="62">
        <f>+E8*'Test Period Volumes'!I32</f>
        <v>-1476561.5368225181</v>
      </c>
      <c r="R8" s="62">
        <f>+$E$8*'Test Period Volumes'!I33</f>
        <v>-3139226.5946328607</v>
      </c>
      <c r="S8" s="62">
        <f>+SUM(G8:R8)</f>
        <v>-42688781.56000001</v>
      </c>
      <c r="T8" s="62">
        <f>+S8+F8</f>
        <v>0</v>
      </c>
    </row>
    <row r="9" spans="1:20">
      <c r="A9" s="116" t="str">
        <f>+'Balances at 7-31-2022'!A9</f>
        <v>47WA.1910.01254</v>
      </c>
      <c r="B9" s="116" t="str">
        <f>+'Balances at 7-31-2022'!C9</f>
        <v>Core Market Demand Cost Changes</v>
      </c>
      <c r="C9" s="116" t="str">
        <f>+'Balances at 7-31-2022'!E9</f>
        <v>Core</v>
      </c>
      <c r="D9" s="4">
        <f>+'Test Period Volumes'!I35</f>
        <v>7</v>
      </c>
      <c r="E9" s="32">
        <v>4.0813812262497555E-4</v>
      </c>
      <c r="F9" s="62">
        <f>+EstimatedBalances!F11</f>
        <v>-104625.87999999999</v>
      </c>
      <c r="G9" s="62">
        <f>+$E9*'Test Period Volumes'!$I22</f>
        <v>12448.069483580713</v>
      </c>
      <c r="H9" s="62">
        <f>+E9*'Test Period Volumes'!I23</f>
        <v>17210.253668037512</v>
      </c>
      <c r="I9" s="62">
        <f>+E9*'Test Period Volumes'!I24</f>
        <v>16798.883091481344</v>
      </c>
      <c r="J9" s="62">
        <f>+E9*'Test Period Volumes'!I25</f>
        <v>13741.060035095334</v>
      </c>
      <c r="K9" s="62">
        <f>+E9*'Test Period Volumes'!I26</f>
        <v>11655.757476338809</v>
      </c>
      <c r="L9" s="62">
        <f>+E9*'Test Period Volumes'!I27</f>
        <v>7515.529671154618</v>
      </c>
      <c r="M9" s="62">
        <f>+E9*'Test Period Volumes'!I28</f>
        <v>4582.923390789947</v>
      </c>
      <c r="N9" s="62">
        <f>+E9*'Test Period Volumes'!I29</f>
        <v>3293.1857001126482</v>
      </c>
      <c r="O9" s="62">
        <f>+E9*'Test Period Volumes'!I30</f>
        <v>3000.4037364663955</v>
      </c>
      <c r="P9" s="62">
        <f>+E9*'Test Period Volumes'!I31</f>
        <v>3066.9845328245756</v>
      </c>
      <c r="Q9" s="62">
        <f>+E9*'Test Period Volumes'!I32</f>
        <v>3618.9027777022457</v>
      </c>
      <c r="R9" s="62">
        <f>+E9*'Test Period Volumes'!I33</f>
        <v>7693.9264364158716</v>
      </c>
      <c r="S9" s="62">
        <f>+SUM(G9:R9)</f>
        <v>104625.88</v>
      </c>
      <c r="T9" s="62">
        <f>+S9+F9</f>
        <v>0</v>
      </c>
    </row>
    <row r="10" spans="1:20">
      <c r="A10" s="116" t="str">
        <f>+'Balances at 7-31-2022'!A10</f>
        <v>47WA.1910.01286</v>
      </c>
      <c r="B10" s="116" t="str">
        <f>+'Balances at 7-31-2022'!C10</f>
        <v>WA Consolidated Technical Adjustments-Gas Cost</v>
      </c>
      <c r="C10" s="116" t="str">
        <f>+'Balances at 7-31-2022'!E10</f>
        <v>Core</v>
      </c>
      <c r="D10" s="4">
        <f>+'Test Period Volumes'!I35</f>
        <v>7</v>
      </c>
      <c r="E10" s="32">
        <v>5.6435433499719499E-3</v>
      </c>
      <c r="F10" s="62">
        <f>+EstimatedBalances!F12</f>
        <v>-1446717.8059999994</v>
      </c>
      <c r="G10" s="62">
        <f>+$E10*'Test Period Volumes'!$I22</f>
        <v>172126.09129042862</v>
      </c>
      <c r="H10" s="62">
        <f>+E10*'Test Period Volumes'!I23</f>
        <v>237975.35014593584</v>
      </c>
      <c r="I10" s="62">
        <f>+E10*'Test Period Volumes'!I24</f>
        <v>232287.1099326321</v>
      </c>
      <c r="J10" s="62">
        <f>+E10*'Test Period Volumes'!I25</f>
        <v>190004.96078109345</v>
      </c>
      <c r="K10" s="62">
        <f>+E10*'Test Period Volumes'!I26</f>
        <v>161170.37088182167</v>
      </c>
      <c r="L10" s="62">
        <f>+E10*'Test Period Volumes'!I27</f>
        <v>103921.23437127318</v>
      </c>
      <c r="M10" s="62">
        <f>+E10*'Test Period Volumes'!I28</f>
        <v>63370.52431950593</v>
      </c>
      <c r="N10" s="62">
        <f>+E10*'Test Period Volumes'!I29</f>
        <v>45536.633869340367</v>
      </c>
      <c r="O10" s="62">
        <f>+E10*'Test Period Volumes'!I30</f>
        <v>41488.181611804488</v>
      </c>
      <c r="P10" s="62">
        <f>+E10*'Test Period Volumes'!I31</f>
        <v>42408.829769115466</v>
      </c>
      <c r="Q10" s="62">
        <f>+E10*'Test Period Volumes'!I32</f>
        <v>50040.497501045582</v>
      </c>
      <c r="R10" s="62">
        <f>+E10*'Test Period Volumes'!I33</f>
        <v>106388.02152600257</v>
      </c>
      <c r="S10" s="62">
        <f>+SUM(G10:R10)</f>
        <v>1446717.8059999992</v>
      </c>
      <c r="T10" s="62">
        <f>+S10+F10</f>
        <v>0</v>
      </c>
    </row>
    <row r="11" spans="1:20">
      <c r="A11" s="116"/>
      <c r="B11" s="116"/>
      <c r="C11" s="116"/>
      <c r="D11" s="4"/>
      <c r="E11" s="3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1:20">
      <c r="A12" s="116"/>
      <c r="B12" s="116"/>
      <c r="C12" s="116"/>
      <c r="D12" s="4"/>
      <c r="E12" s="32"/>
      <c r="F12" s="62"/>
      <c r="G12" s="62">
        <f>+SUM(G8:G11)+F13</f>
        <v>36243030.438363262</v>
      </c>
      <c r="H12" s="62">
        <f>+SUM(H8:H11)+G12</f>
        <v>29476198.550644144</v>
      </c>
      <c r="I12" s="62">
        <f t="shared" ref="I12:R12" si="0">+SUM(I8:I11)+H12</f>
        <v>22871111.840468775</v>
      </c>
      <c r="J12" s="62">
        <f>+SUM(J8:J11)+I12</f>
        <v>17468318.540028784</v>
      </c>
      <c r="K12" s="62">
        <f t="shared" si="0"/>
        <v>12885437.143405896</v>
      </c>
      <c r="L12" s="62">
        <f t="shared" si="0"/>
        <v>9930435.6185697205</v>
      </c>
      <c r="M12" s="62">
        <f t="shared" si="0"/>
        <v>8128494.0122489631</v>
      </c>
      <c r="N12" s="62">
        <f t="shared" si="0"/>
        <v>6833659.2911844496</v>
      </c>
      <c r="O12" s="62">
        <f t="shared" si="0"/>
        <v>5653942.3578042593</v>
      </c>
      <c r="P12" s="62">
        <f t="shared" si="0"/>
        <v>4448046.7832142068</v>
      </c>
      <c r="Q12" s="62">
        <f t="shared" si="0"/>
        <v>3025144.6466704365</v>
      </c>
      <c r="R12" s="62">
        <f t="shared" si="0"/>
        <v>-5.5879354476928711E-9</v>
      </c>
      <c r="S12" s="62">
        <f>SUM(S8:S11)</f>
        <v>-41137437.874000005</v>
      </c>
      <c r="T12" s="66"/>
    </row>
    <row r="13" spans="1:20" s="115" customFormat="1">
      <c r="A13" s="116" t="str">
        <f>+'Balances at 7-31-2022'!A13</f>
        <v>CORE Gas Cost</v>
      </c>
      <c r="B13" s="3" t="str">
        <f>+'Balances at 7-31-2022'!C13</f>
        <v>Consolidation of accounts related to core gas costs.</v>
      </c>
      <c r="D13" s="164"/>
      <c r="E13" s="139">
        <f t="shared" ref="E13:R13" si="1">+SUM(E8:E11)</f>
        <v>-0.16047422170782147</v>
      </c>
      <c r="F13" s="140">
        <f t="shared" si="1"/>
        <v>41137437.873999998</v>
      </c>
      <c r="G13" s="140">
        <f t="shared" si="1"/>
        <v>-4894407.4356367346</v>
      </c>
      <c r="H13" s="133">
        <f t="shared" si="1"/>
        <v>-6766831.8877191152</v>
      </c>
      <c r="I13" s="140">
        <f t="shared" si="1"/>
        <v>-6605086.710175368</v>
      </c>
      <c r="J13" s="140">
        <f t="shared" si="1"/>
        <v>-5402793.3004399901</v>
      </c>
      <c r="K13" s="140">
        <f t="shared" si="1"/>
        <v>-4582881.3966228878</v>
      </c>
      <c r="L13" s="140">
        <f t="shared" si="1"/>
        <v>-2955001.5248361751</v>
      </c>
      <c r="M13" s="140">
        <f t="shared" si="1"/>
        <v>-1801941.6063207577</v>
      </c>
      <c r="N13" s="140">
        <f t="shared" si="1"/>
        <v>-1294834.7210645131</v>
      </c>
      <c r="O13" s="140">
        <f t="shared" si="1"/>
        <v>-1179716.9333801905</v>
      </c>
      <c r="P13" s="140">
        <f t="shared" si="1"/>
        <v>-1205895.5745900525</v>
      </c>
      <c r="Q13" s="140">
        <f t="shared" si="1"/>
        <v>-1422902.1365437703</v>
      </c>
      <c r="R13" s="140">
        <f t="shared" si="1"/>
        <v>-3025144.6466704421</v>
      </c>
      <c r="S13" s="871">
        <f>SUM(G13:R13)</f>
        <v>-41137437.873999998</v>
      </c>
      <c r="T13" s="140">
        <f>+SUM(T8:T10)</f>
        <v>0</v>
      </c>
    </row>
    <row r="14" spans="1:20" s="115" customFormat="1">
      <c r="D14" s="164"/>
      <c r="E14" s="139"/>
      <c r="F14" s="140"/>
      <c r="G14" s="140"/>
      <c r="H14" s="133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1"/>
      <c r="T14" s="140"/>
    </row>
    <row r="15" spans="1:20">
      <c r="F15" s="14"/>
      <c r="G15" s="14"/>
      <c r="H15" s="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B16" s="115" t="s">
        <v>88</v>
      </c>
      <c r="F16" s="14"/>
      <c r="G16" s="14"/>
      <c r="H16" s="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15" customFormat="1">
      <c r="B17" s="77" t="s">
        <v>90</v>
      </c>
      <c r="C17" s="50">
        <f>+'Int calc thru 10-31-2022'!D7</f>
        <v>3.5999999999999997E-2</v>
      </c>
      <c r="D17" s="164"/>
      <c r="E17" s="142"/>
      <c r="F17" s="142"/>
      <c r="G17" s="142">
        <f t="shared" ref="G17:R17" si="2">$C17*DAY(DATE(YEAR(G7),MONTH(G7)+1,DAY(1))-1)/365</f>
        <v>2.9589041095890406E-3</v>
      </c>
      <c r="H17" s="872">
        <f t="shared" si="2"/>
        <v>3.0575342465753419E-3</v>
      </c>
      <c r="I17" s="142">
        <f t="shared" si="2"/>
        <v>3.0575342465753419E-3</v>
      </c>
      <c r="J17" s="142">
        <f t="shared" si="2"/>
        <v>2.7616438356164383E-3</v>
      </c>
      <c r="K17" s="142">
        <f t="shared" si="2"/>
        <v>3.0575342465753419E-3</v>
      </c>
      <c r="L17" s="142">
        <f t="shared" si="2"/>
        <v>2.9589041095890406E-3</v>
      </c>
      <c r="M17" s="142">
        <f t="shared" si="2"/>
        <v>3.0575342465753419E-3</v>
      </c>
      <c r="N17" s="142">
        <f t="shared" si="2"/>
        <v>2.9589041095890406E-3</v>
      </c>
      <c r="O17" s="142">
        <f t="shared" si="2"/>
        <v>3.0575342465753419E-3</v>
      </c>
      <c r="P17" s="142">
        <f t="shared" si="2"/>
        <v>3.0575342465753419E-3</v>
      </c>
      <c r="Q17" s="142">
        <f t="shared" si="2"/>
        <v>2.9589041095890406E-3</v>
      </c>
      <c r="R17" s="142">
        <f t="shared" si="2"/>
        <v>3.0575342465753419E-3</v>
      </c>
      <c r="S17" s="873" t="s">
        <v>41</v>
      </c>
      <c r="T17" s="51"/>
    </row>
    <row r="18" spans="1:20">
      <c r="B18" s="115"/>
      <c r="F18" s="14"/>
      <c r="G18" s="14"/>
      <c r="H18" s="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114" t="str">
        <f t="shared" ref="A19:D21" si="3">+A8</f>
        <v>47WA.1910.01253</v>
      </c>
      <c r="B19" s="114" t="str">
        <f t="shared" si="3"/>
        <v>Core Market Commodity Changes</v>
      </c>
      <c r="C19" s="116" t="str">
        <f t="shared" si="3"/>
        <v>Core</v>
      </c>
      <c r="D19" s="457">
        <f t="shared" si="3"/>
        <v>7</v>
      </c>
      <c r="F19" s="14"/>
      <c r="G19" s="62">
        <f>+G$17*F8</f>
        <v>126312.01119123286</v>
      </c>
      <c r="H19" s="943">
        <f>+H$17*(G8+F8)</f>
        <v>114993.25139552221</v>
      </c>
      <c r="I19" s="943">
        <f>+I$17*(H8+G8+F8)</f>
        <v>93523.192435108707</v>
      </c>
      <c r="J19" s="943">
        <f>+J$17*(I8+H8+G8+F8)</f>
        <v>65543.777115089149</v>
      </c>
      <c r="K19" s="943">
        <f>+K$17*(J8+I8+H8+G8+F8)</f>
        <v>55424.138683622368</v>
      </c>
      <c r="L19" s="943">
        <f>+L$17*(K8+J8+I8+H8+G8+F8)</f>
        <v>39564.580702545238</v>
      </c>
      <c r="M19" s="943">
        <f>+M$17*(L8+K8+J8+I8+F8+G8+H8)</f>
        <v>31507.659976040522</v>
      </c>
      <c r="N19" s="943">
        <f>+N$17*(M8+L8+K8+J8+I8+H8+G8+F8)</f>
        <v>24958.443687908439</v>
      </c>
      <c r="O19" s="943">
        <f>+O$17*(N8+M8+L8+K8+J8+I8+H8+G8+F8)</f>
        <v>21682.091461941458</v>
      </c>
      <c r="P19" s="943">
        <f>+P$17*(O8+N8+M8+L8+K8+J8+I8+H8+G8+F8)</f>
        <v>17939.041163582646</v>
      </c>
      <c r="Q19" s="943">
        <f>+Q$17*(P8+O8+N8+M8+L8+K8+J8+I8+H8+G8+F8)</f>
        <v>13657.674471155633</v>
      </c>
      <c r="R19" s="943">
        <f>+R$17*(Q8+P8+O8+N8+M8+L8+K8+J8+I8+H8+G8+F8)</f>
        <v>9598.2928208500925</v>
      </c>
      <c r="S19" s="62">
        <f>+SUM(G19:R19)</f>
        <v>614704.15510459919</v>
      </c>
      <c r="T19" s="14"/>
    </row>
    <row r="20" spans="1:20">
      <c r="A20" s="114" t="str">
        <f t="shared" si="3"/>
        <v>47WA.1910.01254</v>
      </c>
      <c r="B20" s="114" t="str">
        <f t="shared" si="3"/>
        <v>Core Market Demand Cost Changes</v>
      </c>
      <c r="C20" s="116" t="str">
        <f t="shared" si="3"/>
        <v>Core</v>
      </c>
      <c r="D20" s="457">
        <f t="shared" si="3"/>
        <v>7</v>
      </c>
      <c r="F20" s="14"/>
      <c r="G20" s="62">
        <f>+G$17*F9</f>
        <v>-309.57794630136976</v>
      </c>
      <c r="H20" s="943">
        <f>+H$17*(G9+F9)</f>
        <v>-281.83681242828465</v>
      </c>
      <c r="I20" s="943">
        <f>+I$17*(H9+G9+F9)</f>
        <v>-229.21587244601105</v>
      </c>
      <c r="J20" s="943">
        <f>+J$17*(I9+H9+G9+F9)</f>
        <v>-160.64115930672773</v>
      </c>
      <c r="K20" s="943">
        <f>+K$17*(J9+I9+H9+G9+F9)</f>
        <v>-135.83895044803964</v>
      </c>
      <c r="L20" s="943">
        <f>+L$17*(K9+J9+I9+H9+G9+F9)</f>
        <v>-96.96878012357142</v>
      </c>
      <c r="M20" s="943">
        <f>+M$17*(L9+K9+J9+I9+F9+G9+H9)</f>
        <v>-77.222083443648785</v>
      </c>
      <c r="N20" s="943">
        <f>+N$17*(M9+L9+K9+J9+I9+H9+G9+F9)</f>
        <v>-61.170617638913562</v>
      </c>
      <c r="O20" s="943">
        <f>+O$17*(N9+M9+L9+K9+J9+I9+H9+G9+F9)</f>
        <v>-53.140610168450735</v>
      </c>
      <c r="P20" s="943">
        <f>+P$17*(O9+N9+M9+L9+K9+J9+I9+H9+G9+F9)</f>
        <v>-43.96677299065211</v>
      </c>
      <c r="Q20" s="943">
        <f>+Q$17*(P9+O9+N9+M9+L9+K9+J9+I9+H9+G9+F9)</f>
        <v>-33.473576852733004</v>
      </c>
      <c r="R20" s="943">
        <f>+R$17*(Q9+P9+O9+N9+M9+L9+K9+J9+I9+H9+G9+F9)</f>
        <v>-23.52444356997287</v>
      </c>
      <c r="S20" s="62">
        <f>+SUM(G20:R20)</f>
        <v>-1506.5776257183754</v>
      </c>
      <c r="T20" s="14"/>
    </row>
    <row r="21" spans="1:20">
      <c r="A21" s="114" t="str">
        <f t="shared" si="3"/>
        <v>47WA.1910.01286</v>
      </c>
      <c r="B21" s="114" t="str">
        <f t="shared" si="3"/>
        <v>WA Consolidated Technical Adjustments-Gas Cost</v>
      </c>
      <c r="C21" s="116" t="str">
        <f t="shared" si="3"/>
        <v>Core</v>
      </c>
      <c r="D21" s="457">
        <f t="shared" si="3"/>
        <v>7</v>
      </c>
      <c r="F21" s="14"/>
      <c r="G21" s="62">
        <f>+G$17*F10</f>
        <v>-4280.6992615890385</v>
      </c>
      <c r="H21" s="943">
        <f>+H$17*(G10+F10)</f>
        <v>-3897.1078181257008</v>
      </c>
      <c r="I21" s="943">
        <f>+I$17*(H10+G10+F10)</f>
        <v>-3169.4900352137438</v>
      </c>
      <c r="J21" s="943">
        <f>+J$17*(I10+H10+G10+F10)</f>
        <v>-2221.2709278576735</v>
      </c>
      <c r="K21" s="943">
        <f>+K$17*(J10+I10+H10+G10+F10)</f>
        <v>-1878.3175669493114</v>
      </c>
      <c r="L21" s="943">
        <f>+L$17*(K10+J10+I10+H10+G10+F10)</f>
        <v>-1340.83900494667</v>
      </c>
      <c r="M21" s="943">
        <f>+M$17*(L10+K10+J10+I10+F10+G10+H10)</f>
        <v>-1067.790905408342</v>
      </c>
      <c r="N21" s="943">
        <f>+N$17*(M10+L10+K10+J10+I10+H10+G10+F10)</f>
        <v>-845.83873265614591</v>
      </c>
      <c r="O21" s="943">
        <f>+O$17*(N10+M10+L10+K10+J10+I10+H10+G10+F10)</f>
        <v>-734.80353954874727</v>
      </c>
      <c r="P21" s="943">
        <f>+P$17*(O10+N10+M10+L10+K10+J10+I10+H10+G10+F10)</f>
        <v>-607.95200344251748</v>
      </c>
      <c r="Q21" s="943">
        <f>+Q$17*(P10+O10+N10+M10+L10+K10+J10+I10+H10+G10+F10)</f>
        <v>-462.85698780606049</v>
      </c>
      <c r="R21" s="943">
        <f>+R$17*(Q10+P10+O10+N10+M10+L10+K10+J10+I10+H10+G10+F10)</f>
        <v>-325.28501924114818</v>
      </c>
      <c r="S21" s="62">
        <f>+SUM(G21:R21)</f>
        <v>-20832.2518027851</v>
      </c>
      <c r="T21" s="14"/>
    </row>
    <row r="22" spans="1:20">
      <c r="C22" s="116"/>
      <c r="F22" s="14"/>
      <c r="G22" s="66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66"/>
      <c r="T22" s="14"/>
    </row>
    <row r="23" spans="1:20" s="115" customFormat="1">
      <c r="A23" s="114" t="str">
        <f>+A13</f>
        <v>CORE Gas Cost</v>
      </c>
      <c r="B23" s="114" t="str">
        <f>+B13</f>
        <v>Consolidation of accounts related to core gas costs.</v>
      </c>
      <c r="D23" s="164"/>
      <c r="F23" s="51"/>
      <c r="G23" s="133">
        <f t="shared" ref="G23:S23" si="4">+SUM(G19:G22)</f>
        <v>121721.73398334245</v>
      </c>
      <c r="H23" s="133">
        <f t="shared" si="4"/>
        <v>110814.30676496822</v>
      </c>
      <c r="I23" s="133">
        <f t="shared" si="4"/>
        <v>90124.486527448942</v>
      </c>
      <c r="J23" s="133">
        <f t="shared" si="4"/>
        <v>63161.865027924752</v>
      </c>
      <c r="K23" s="133">
        <f t="shared" si="4"/>
        <v>53409.982166225018</v>
      </c>
      <c r="L23" s="133">
        <f t="shared" si="4"/>
        <v>38126.772917474998</v>
      </c>
      <c r="M23" s="133">
        <f t="shared" si="4"/>
        <v>30362.646987188531</v>
      </c>
      <c r="N23" s="133">
        <f t="shared" si="4"/>
        <v>24051.43433761338</v>
      </c>
      <c r="O23" s="133">
        <f t="shared" si="4"/>
        <v>20894.147312224261</v>
      </c>
      <c r="P23" s="133">
        <f t="shared" si="4"/>
        <v>17287.122387149477</v>
      </c>
      <c r="Q23" s="133">
        <f t="shared" si="4"/>
        <v>13161.343906496839</v>
      </c>
      <c r="R23" s="133">
        <f t="shared" si="4"/>
        <v>9249.4833580389713</v>
      </c>
      <c r="S23" s="133">
        <f t="shared" si="4"/>
        <v>592365.32567609567</v>
      </c>
      <c r="T23" s="944"/>
    </row>
    <row r="24" spans="1:20">
      <c r="F24" s="14"/>
      <c r="G24" s="945"/>
      <c r="H24" s="945"/>
      <c r="I24" s="945"/>
      <c r="J24" s="945"/>
      <c r="K24" s="945"/>
      <c r="L24" s="945"/>
      <c r="M24" s="945"/>
      <c r="N24" s="945"/>
      <c r="O24" s="945"/>
      <c r="P24" s="945"/>
      <c r="Q24" s="945"/>
      <c r="R24" s="945"/>
      <c r="S24" s="945"/>
      <c r="T24" s="946"/>
    </row>
    <row r="25" spans="1:20" ht="15.75" thickBot="1">
      <c r="A25" s="607"/>
      <c r="B25" s="607"/>
      <c r="C25" s="607"/>
      <c r="D25" s="608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</row>
    <row r="26" spans="1:20" ht="44.25" customHeight="1" thickBot="1">
      <c r="B26" s="600" t="s">
        <v>274</v>
      </c>
      <c r="C26" s="601"/>
      <c r="D26" s="602"/>
      <c r="E26" s="965" t="str">
        <f t="shared" ref="E26:R26" si="5">+E7</f>
        <v>Proposed Amortization
Rate</v>
      </c>
      <c r="F26" s="75" t="str">
        <f t="shared" si="5"/>
        <v>10/31/2022
Balance</v>
      </c>
      <c r="G26" s="791">
        <f t="shared" si="5"/>
        <v>44866</v>
      </c>
      <c r="H26" s="791">
        <f t="shared" si="5"/>
        <v>44896</v>
      </c>
      <c r="I26" s="791">
        <f t="shared" si="5"/>
        <v>44927</v>
      </c>
      <c r="J26" s="791">
        <f t="shared" si="5"/>
        <v>44958</v>
      </c>
      <c r="K26" s="791">
        <f t="shared" si="5"/>
        <v>44986</v>
      </c>
      <c r="L26" s="791">
        <f t="shared" si="5"/>
        <v>45017</v>
      </c>
      <c r="M26" s="791">
        <f t="shared" si="5"/>
        <v>45047</v>
      </c>
      <c r="N26" s="791">
        <f t="shared" si="5"/>
        <v>45078</v>
      </c>
      <c r="O26" s="791">
        <f t="shared" si="5"/>
        <v>45108</v>
      </c>
      <c r="P26" s="791">
        <f t="shared" si="5"/>
        <v>45139</v>
      </c>
      <c r="Q26" s="791">
        <f t="shared" si="5"/>
        <v>45170</v>
      </c>
      <c r="R26" s="791">
        <f t="shared" si="5"/>
        <v>45200</v>
      </c>
      <c r="S26" s="75" t="s">
        <v>130</v>
      </c>
      <c r="T26" s="603" t="s">
        <v>87</v>
      </c>
    </row>
    <row r="27" spans="1:20">
      <c r="A27" s="598" t="str">
        <f>+'Balances at 7-31-2022'!A17</f>
        <v>47WA.1823.47020430</v>
      </c>
      <c r="B27" s="598" t="str">
        <f>+'Balances at 7-31-2022'!C17</f>
        <v xml:space="preserve">Commercial Conservation Program </v>
      </c>
      <c r="C27" s="598" t="s">
        <v>36</v>
      </c>
      <c r="D27" s="493">
        <v>7</v>
      </c>
      <c r="E27" s="874">
        <v>-6.6004338605359465E-3</v>
      </c>
      <c r="F27" s="62">
        <f>+EstimatedBalances!F20</f>
        <v>1692015.92</v>
      </c>
      <c r="G27" s="62">
        <f>+$E27*'Test Period Volumes'!I22</f>
        <v>-201310.91599406133</v>
      </c>
      <c r="H27" s="62">
        <f>+$E27*'Test Period Volumes'!I23</f>
        <v>-278325.24030916498</v>
      </c>
      <c r="I27" s="62">
        <f>+$E27*'Test Period Volumes'!I24</f>
        <v>-271672.5310124536</v>
      </c>
      <c r="J27" s="62">
        <f>+$E27*'Test Period Volumes'!$I25</f>
        <v>-222221.23567378413</v>
      </c>
      <c r="K27" s="62">
        <f>+$E27*'Test Period Volumes'!$I26</f>
        <v>-188497.59934754466</v>
      </c>
      <c r="L27" s="62">
        <f>+$E27*'Test Period Volumes'!$I27</f>
        <v>-121541.59038687154</v>
      </c>
      <c r="M27" s="62">
        <f>+$E27*'Test Period Volumes'!$I28</f>
        <v>-74115.308156614512</v>
      </c>
      <c r="N27" s="62">
        <f>+$E27*'Test Period Volumes'!$I29</f>
        <v>-53257.593934760167</v>
      </c>
      <c r="O27" s="62">
        <f>+$E27*'Test Period Volumes'!$I30</f>
        <v>-48522.706700566101</v>
      </c>
      <c r="P27" s="62">
        <f>+$E27*'Test Period Volumes'!$I31</f>
        <v>-49599.455277536908</v>
      </c>
      <c r="Q27" s="62">
        <f>+$E27*'Test Period Volumes'!$I32</f>
        <v>-58525.10977976404</v>
      </c>
      <c r="R27" s="62">
        <f>+$E27*'Test Period Volumes'!$I33</f>
        <v>-124426.63342687793</v>
      </c>
      <c r="S27" s="62">
        <f>SUM(G27:R27)</f>
        <v>-1692015.9199999997</v>
      </c>
      <c r="T27" s="948">
        <f>+S27+F27</f>
        <v>0</v>
      </c>
    </row>
    <row r="28" spans="1:20" s="115" customFormat="1">
      <c r="A28" s="598" t="str">
        <f>+'Balances at 7-31-2022'!A18</f>
        <v>47WA.1823.47020431</v>
      </c>
      <c r="B28" s="598" t="str">
        <f>+'Balances at 7-31-2022'!C18</f>
        <v>Low Income Weatherization Program</v>
      </c>
      <c r="C28" s="598" t="s">
        <v>36</v>
      </c>
      <c r="D28" s="493">
        <v>7</v>
      </c>
      <c r="E28" s="874">
        <v>-2.1335481694526237E-3</v>
      </c>
      <c r="F28" s="62">
        <f>+EstimatedBalances!F21</f>
        <v>546933.36</v>
      </c>
      <c r="G28" s="62">
        <f>+$E28*'Test Period Volumes'!I22</f>
        <v>-65072.470292897546</v>
      </c>
      <c r="H28" s="62">
        <f>+$E28*'Test Period Volumes'!I23</f>
        <v>-89966.85968244262</v>
      </c>
      <c r="I28" s="62">
        <f>+$E28*'Test Period Volumes'!I24</f>
        <v>-87816.413811487932</v>
      </c>
      <c r="J28" s="62">
        <f>+$E28*'Test Period Volumes'!$I25</f>
        <v>-71831.59783178319</v>
      </c>
      <c r="K28" s="62">
        <f>+$E28*'Test Period Volumes'!$I26</f>
        <v>-60930.647368309874</v>
      </c>
      <c r="L28" s="62">
        <f>+$E28*'Test Period Volumes'!$I27</f>
        <v>-39287.544298067456</v>
      </c>
      <c r="M28" s="62">
        <f>+$E28*'Test Period Volumes'!$I28</f>
        <v>-23957.30089675077</v>
      </c>
      <c r="N28" s="62">
        <f>+$E28*'Test Period Volumes'!$I29</f>
        <v>-17215.177736775669</v>
      </c>
      <c r="O28" s="62">
        <f>+$E28*'Test Period Volumes'!$I30</f>
        <v>-15684.655621937134</v>
      </c>
      <c r="P28" s="62">
        <f>+$E28*'Test Period Volumes'!$I31</f>
        <v>-16032.70773546445</v>
      </c>
      <c r="Q28" s="62">
        <f>+$E28*'Test Period Volumes'!$I32</f>
        <v>-18917.868654696351</v>
      </c>
      <c r="R28" s="62">
        <f>+$E28*'Test Period Volumes'!$I33</f>
        <v>-40220.116069387026</v>
      </c>
      <c r="S28" s="62">
        <f>SUM(G28:R28)</f>
        <v>-546933.36</v>
      </c>
      <c r="T28" s="948">
        <f>+S28+F28</f>
        <v>0</v>
      </c>
    </row>
    <row r="29" spans="1:20">
      <c r="A29" s="598" t="str">
        <f>+'Balances at 7-31-2022'!A19</f>
        <v>47WA.1823.47020444</v>
      </c>
      <c r="B29" s="598" t="str">
        <f>+'Balances at 7-31-2022'!C19</f>
        <v>Washington Conservation Administration &amp; Program Delivery Fees</v>
      </c>
      <c r="C29" s="598" t="s">
        <v>36</v>
      </c>
      <c r="D29" s="493">
        <v>7</v>
      </c>
      <c r="E29" s="874">
        <v>-1.07899262504809E-2</v>
      </c>
      <c r="F29" s="62">
        <f>+EstimatedBalances!F22</f>
        <v>2765988.93</v>
      </c>
      <c r="G29" s="62">
        <f>+$E29*'Test Period Volumes'!I22</f>
        <v>-329088.96337555355</v>
      </c>
      <c r="H29" s="62">
        <f>+$E29*'Test Period Volumes'!I23</f>
        <v>-454986.57816100219</v>
      </c>
      <c r="I29" s="62">
        <f>+$E29*'Test Period Volumes'!I24</f>
        <v>-444111.19569461752</v>
      </c>
      <c r="J29" s="62">
        <f>+$E29*'Test Period Volumes'!$I25</f>
        <v>-363271.68711545452</v>
      </c>
      <c r="K29" s="62">
        <f>+$E29*'Test Period Volumes'!$I26</f>
        <v>-308142.65218431497</v>
      </c>
      <c r="L29" s="62">
        <f>+$E29*'Test Period Volumes'!$I27</f>
        <v>-198687.66574293288</v>
      </c>
      <c r="M29" s="62">
        <f>+$E29*'Test Period Volumes'!$I28</f>
        <v>-121158.50653741746</v>
      </c>
      <c r="N29" s="62">
        <f>+$E29*'Test Period Volumes'!$I29</f>
        <v>-87061.778509732787</v>
      </c>
      <c r="O29" s="62">
        <f>+$E29*'Test Period Volumes'!$I30</f>
        <v>-79321.517014687808</v>
      </c>
      <c r="P29" s="62">
        <f>+$E29*'Test Period Volumes'!$I31</f>
        <v>-81081.710053707502</v>
      </c>
      <c r="Q29" s="62">
        <f>+$E29*'Test Period Volumes'!$I32</f>
        <v>-95672.743893486579</v>
      </c>
      <c r="R29" s="62">
        <f>+$E29*'Test Period Volumes'!$I33</f>
        <v>-203403.93171709182</v>
      </c>
      <c r="S29" s="62">
        <f>SUM(G29:R29)</f>
        <v>-2765988.9299999997</v>
      </c>
      <c r="T29" s="948">
        <f>+S29+F29</f>
        <v>0</v>
      </c>
    </row>
    <row r="30" spans="1:20">
      <c r="A30" s="598" t="str">
        <f>+'Balances at 7-31-2022'!A20</f>
        <v>47WA.1823.47020449</v>
      </c>
      <c r="B30" s="598" t="str">
        <f>+'Balances at 7-31-2022'!C20</f>
        <v xml:space="preserve">Washington Residential Conservation Program </v>
      </c>
      <c r="C30" s="598" t="s">
        <v>36</v>
      </c>
      <c r="D30" s="493">
        <v>7</v>
      </c>
      <c r="E30" s="874">
        <v>-1.033723815409494E-2</v>
      </c>
      <c r="F30" s="62">
        <f>+EstimatedBalances!F23</f>
        <v>2649942.7000000002</v>
      </c>
      <c r="G30" s="62">
        <f>+$E30*'Test Period Volumes'!I22</f>
        <v>-315282.13532930356</v>
      </c>
      <c r="H30" s="62">
        <f>+$E30*'Test Period Volumes'!I23</f>
        <v>-435897.75371795415</v>
      </c>
      <c r="I30" s="62">
        <f>+$E30*'Test Period Volumes'!I24</f>
        <v>-425478.64463767875</v>
      </c>
      <c r="J30" s="62">
        <f>+$E30*'Test Period Volumes'!$I25</f>
        <v>-348030.73322071577</v>
      </c>
      <c r="K30" s="62">
        <f>+$E30*'Test Period Volumes'!$I26</f>
        <v>-295214.62029656954</v>
      </c>
      <c r="L30" s="62">
        <f>+$E30*'Test Period Volumes'!$I27</f>
        <v>-190351.78474684828</v>
      </c>
      <c r="M30" s="62">
        <f>+$E30*'Test Period Volumes'!$I28</f>
        <v>-116075.33799556158</v>
      </c>
      <c r="N30" s="62">
        <f>+$E30*'Test Period Volumes'!$I29</f>
        <v>-83409.127892237564</v>
      </c>
      <c r="O30" s="62">
        <f>+$E30*'Test Period Volumes'!$I30</f>
        <v>-75993.606730016021</v>
      </c>
      <c r="P30" s="62">
        <f>+$E30*'Test Period Volumes'!$I31</f>
        <v>-77679.951401807979</v>
      </c>
      <c r="Q30" s="62">
        <f>+$E30*'Test Period Volumes'!$I32</f>
        <v>-91658.82282454196</v>
      </c>
      <c r="R30" s="62">
        <f>+$E30*'Test Period Volumes'!$I33</f>
        <v>-194870.18120676503</v>
      </c>
      <c r="S30" s="62">
        <f>SUM(G30:R30)</f>
        <v>-2649942.7000000002</v>
      </c>
      <c r="T30" s="948">
        <f>+S30+F30</f>
        <v>0</v>
      </c>
    </row>
    <row r="31" spans="1:20">
      <c r="A31" s="598" t="str">
        <f>+'Balances at 7-31-2022'!A21</f>
        <v>47WA.1823.47020478</v>
      </c>
      <c r="B31" s="598" t="str">
        <f>+'Balances at 7-31-2022'!C21</f>
        <v>Consolidated Technical Adjustments - Conservation</v>
      </c>
      <c r="C31" s="598" t="s">
        <v>36</v>
      </c>
      <c r="D31" s="493">
        <v>7</v>
      </c>
      <c r="E31" s="874">
        <v>1.348749846093725E-3</v>
      </c>
      <c r="F31" s="62">
        <f>+EstimatedBalances!F24</f>
        <v>-345750.94</v>
      </c>
      <c r="G31" s="62">
        <f>+$E31*'Test Period Volumes'!I22</f>
        <v>41136.396894662634</v>
      </c>
      <c r="H31" s="62">
        <f>+$E31*'Test Period Volumes'!I23</f>
        <v>56873.704511373442</v>
      </c>
      <c r="I31" s="62">
        <f>+$E31*'Test Period Volumes'!I24</f>
        <v>55514.272566498657</v>
      </c>
      <c r="J31" s="62">
        <f>+$E31*'Test Period Volumes'!$I25</f>
        <v>45409.266079584173</v>
      </c>
      <c r="K31" s="62">
        <f>+$E31*'Test Period Volumes'!$I26</f>
        <v>38518.09039843842</v>
      </c>
      <c r="L31" s="62">
        <f>+$E31*'Test Period Volumes'!$I27</f>
        <v>24836.125138441843</v>
      </c>
      <c r="M31" s="62">
        <f>+$E31*'Test Period Volumes'!$I28</f>
        <v>15144.915104308908</v>
      </c>
      <c r="N31" s="62">
        <f>+$E31*'Test Period Volumes'!$I29</f>
        <v>10882.79545566074</v>
      </c>
      <c r="O31" s="62">
        <f>+$E31*'Test Period Volumes'!$I30</f>
        <v>9915.2562660669464</v>
      </c>
      <c r="P31" s="62">
        <f>+$E31*'Test Period Volumes'!$I31</f>
        <v>10135.281874709754</v>
      </c>
      <c r="Q31" s="62">
        <f>+$E31*'Test Period Volumes'!$I32</f>
        <v>11959.173362834914</v>
      </c>
      <c r="R31" s="62">
        <f>+$E31*'Test Period Volumes'!$I33</f>
        <v>25425.662347419562</v>
      </c>
      <c r="S31" s="62">
        <f>SUM(G31:R31)</f>
        <v>345750.93999999994</v>
      </c>
      <c r="T31" s="948">
        <f>+S31+F31</f>
        <v>0</v>
      </c>
    </row>
    <row r="32" spans="1:20">
      <c r="A32" s="598"/>
      <c r="B32" s="598"/>
      <c r="C32" s="598"/>
      <c r="D32" s="114"/>
      <c r="E32" s="598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948"/>
    </row>
    <row r="33" spans="1:20">
      <c r="A33" s="116" t="str">
        <f>+A13</f>
        <v>CORE Gas Cost</v>
      </c>
      <c r="B33" s="599" t="s">
        <v>273</v>
      </c>
      <c r="C33" s="598"/>
      <c r="D33" s="114"/>
      <c r="E33" s="966">
        <f t="shared" ref="E33:T33" si="6">SUM(E27:E31)</f>
        <v>-2.8512396588470684E-2</v>
      </c>
      <c r="F33" s="947">
        <f t="shared" si="6"/>
        <v>7309129.9699999997</v>
      </c>
      <c r="G33" s="947">
        <f t="shared" si="6"/>
        <v>-869618.08809715335</v>
      </c>
      <c r="H33" s="947">
        <f t="shared" si="6"/>
        <v>-1202302.7273591904</v>
      </c>
      <c r="I33" s="947">
        <f t="shared" si="6"/>
        <v>-1173564.5125897392</v>
      </c>
      <c r="J33" s="947">
        <f t="shared" si="6"/>
        <v>-959945.9877621535</v>
      </c>
      <c r="K33" s="947">
        <f t="shared" si="6"/>
        <v>-814267.42879830068</v>
      </c>
      <c r="L33" s="947">
        <f t="shared" si="6"/>
        <v>-525032.46003627835</v>
      </c>
      <c r="M33" s="947">
        <f t="shared" si="6"/>
        <v>-320161.53848203539</v>
      </c>
      <c r="N33" s="947">
        <f t="shared" si="6"/>
        <v>-230060.88261784546</v>
      </c>
      <c r="O33" s="947">
        <f t="shared" si="6"/>
        <v>-209607.22980114011</v>
      </c>
      <c r="P33" s="947">
        <f t="shared" si="6"/>
        <v>-214258.54259380707</v>
      </c>
      <c r="Q33" s="947">
        <f t="shared" si="6"/>
        <v>-252815.37178965402</v>
      </c>
      <c r="R33" s="947">
        <f t="shared" si="6"/>
        <v>-537495.20007270225</v>
      </c>
      <c r="S33" s="947">
        <f t="shared" si="6"/>
        <v>-7309129.9699999988</v>
      </c>
      <c r="T33" s="948">
        <f t="shared" si="6"/>
        <v>0</v>
      </c>
    </row>
    <row r="34" spans="1:20">
      <c r="A34" s="598"/>
      <c r="B34" s="598"/>
      <c r="C34" s="598"/>
      <c r="D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</row>
    <row r="35" spans="1:20">
      <c r="A35" s="599" t="s">
        <v>88</v>
      </c>
      <c r="B35" s="598"/>
      <c r="C35" s="598"/>
      <c r="D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</row>
    <row r="36" spans="1:20">
      <c r="A36" s="604" t="s">
        <v>90</v>
      </c>
      <c r="B36" s="605"/>
      <c r="C36" s="610">
        <f>+C17</f>
        <v>3.5999999999999997E-2</v>
      </c>
      <c r="D36" s="598"/>
      <c r="F36" s="598"/>
      <c r="G36" s="875">
        <f t="shared" ref="G36:R36" si="7">+G17</f>
        <v>2.9589041095890406E-3</v>
      </c>
      <c r="H36" s="875">
        <f t="shared" si="7"/>
        <v>3.0575342465753419E-3</v>
      </c>
      <c r="I36" s="875">
        <f t="shared" si="7"/>
        <v>3.0575342465753419E-3</v>
      </c>
      <c r="J36" s="875">
        <f t="shared" si="7"/>
        <v>2.7616438356164383E-3</v>
      </c>
      <c r="K36" s="875">
        <f t="shared" si="7"/>
        <v>3.0575342465753419E-3</v>
      </c>
      <c r="L36" s="875">
        <f t="shared" si="7"/>
        <v>2.9589041095890406E-3</v>
      </c>
      <c r="M36" s="875">
        <f t="shared" si="7"/>
        <v>3.0575342465753419E-3</v>
      </c>
      <c r="N36" s="875">
        <f t="shared" si="7"/>
        <v>2.9589041095890406E-3</v>
      </c>
      <c r="O36" s="875">
        <f t="shared" si="7"/>
        <v>3.0575342465753419E-3</v>
      </c>
      <c r="P36" s="875">
        <f t="shared" si="7"/>
        <v>3.0575342465753419E-3</v>
      </c>
      <c r="Q36" s="875">
        <f t="shared" si="7"/>
        <v>2.9589041095890406E-3</v>
      </c>
      <c r="R36" s="875">
        <f t="shared" si="7"/>
        <v>3.0575342465753419E-3</v>
      </c>
      <c r="S36" s="164" t="s">
        <v>41</v>
      </c>
      <c r="T36" s="598"/>
    </row>
    <row r="37" spans="1:20">
      <c r="A37" s="598" t="str">
        <f t="shared" ref="A37:B41" si="8">+A27</f>
        <v>47WA.1823.47020430</v>
      </c>
      <c r="B37" s="598" t="str">
        <f t="shared" si="8"/>
        <v xml:space="preserve">Commercial Conservation Program </v>
      </c>
      <c r="C37" s="598">
        <v>7</v>
      </c>
      <c r="D37" s="598"/>
      <c r="F37" s="598"/>
      <c r="G37" s="62">
        <f>+G$36*(SUM(F27:$F27))</f>
        <v>5006.5128591780813</v>
      </c>
      <c r="H37" s="62">
        <f>+H$36*(SUM($F27:G27))</f>
        <v>4557.8816012893894</v>
      </c>
      <c r="I37" s="62">
        <f>+I$36*(SUM($F27:H27))</f>
        <v>3706.8926473578053</v>
      </c>
      <c r="J37" s="62">
        <f>+J$36*(SUM($F27:I27))</f>
        <v>2597.8983302624501</v>
      </c>
      <c r="K37" s="62">
        <f>+K$36*(SUM($F27:J27))</f>
        <v>2196.7955415445417</v>
      </c>
      <c r="L37" s="62">
        <f>+L$36*(SUM($F27:K27))</f>
        <v>1568.1848478795346</v>
      </c>
      <c r="M37" s="62">
        <f>+M$36*(SUM($F27:L27))</f>
        <v>1248.8401011510937</v>
      </c>
      <c r="N37" s="62">
        <f>+N$36*(SUM($F27:M27))</f>
        <v>989.25484670976789</v>
      </c>
      <c r="O37" s="62">
        <f>+O$36*(SUM($F27:N27))</f>
        <v>859.39309092102758</v>
      </c>
      <c r="P37" s="62">
        <f>+P$36*(SUM($F27:O27))</f>
        <v>711.0332534475159</v>
      </c>
      <c r="Q37" s="62">
        <f>+Q$36*(SUM($F27:P27))</f>
        <v>541.33666483061108</v>
      </c>
      <c r="R37" s="62">
        <f>+R$36*(SUM($F27:Q27))</f>
        <v>380.4386928887547</v>
      </c>
      <c r="S37" s="62">
        <f>SUM(G37:R37)</f>
        <v>24364.462477460576</v>
      </c>
      <c r="T37" s="598"/>
    </row>
    <row r="38" spans="1:20">
      <c r="A38" s="598" t="str">
        <f t="shared" si="8"/>
        <v>47WA.1823.47020431</v>
      </c>
      <c r="B38" s="598" t="str">
        <f t="shared" si="8"/>
        <v>Low Income Weatherization Program</v>
      </c>
      <c r="C38" s="598">
        <v>7</v>
      </c>
      <c r="D38" s="598"/>
      <c r="F38" s="598"/>
      <c r="G38" s="62">
        <f>+G$36*(SUM(F28:$F28))</f>
        <v>1618.3233665753421</v>
      </c>
      <c r="H38" s="62">
        <f>+H$36*(SUM($F28:G28))</f>
        <v>1473.3061723647295</v>
      </c>
      <c r="I38" s="62">
        <f>+I$36*(SUM($F28:H28))</f>
        <v>1198.2294178288228</v>
      </c>
      <c r="J38" s="62">
        <f>+J$36*(SUM($F28:I28))</f>
        <v>839.75407436404714</v>
      </c>
      <c r="K38" s="62">
        <f>+K$36*(SUM($F28:J28))</f>
        <v>710.10015483186226</v>
      </c>
      <c r="L38" s="62">
        <f>+L$36*(SUM($F28:K28))</f>
        <v>506.90575532637007</v>
      </c>
      <c r="M38" s="62">
        <f>+M$36*(SUM($F28:L28))</f>
        <v>403.67960168206201</v>
      </c>
      <c r="N38" s="62">
        <f>+N$36*(SUM($F28:M28))</f>
        <v>319.77032296909977</v>
      </c>
      <c r="O38" s="62">
        <f>+O$36*(SUM($F28:N28))</f>
        <v>277.79333824366341</v>
      </c>
      <c r="P38" s="62">
        <f>+P$36*(SUM($F28:O28))</f>
        <v>229.83696653385016</v>
      </c>
      <c r="Q38" s="62">
        <f>+Q$36*(SUM($F28:P28))</f>
        <v>174.98362603290406</v>
      </c>
      <c r="R38" s="62">
        <f>+R$36*(SUM($F28:Q28))</f>
        <v>122.97438228338591</v>
      </c>
      <c r="S38" s="62">
        <f>SUM(G38:R38)</f>
        <v>7875.6571790361386</v>
      </c>
      <c r="T38" s="598"/>
    </row>
    <row r="39" spans="1:20">
      <c r="A39" s="598" t="str">
        <f t="shared" si="8"/>
        <v>47WA.1823.47020444</v>
      </c>
      <c r="B39" s="598" t="str">
        <f t="shared" si="8"/>
        <v>Washington Conservation Administration &amp; Program Delivery Fees</v>
      </c>
      <c r="C39" s="598">
        <v>7</v>
      </c>
      <c r="D39" s="598"/>
      <c r="F39" s="598"/>
      <c r="G39" s="62">
        <f>+G$36*(SUM(F29:$F29))</f>
        <v>8184.2960120547932</v>
      </c>
      <c r="H39" s="62">
        <f>+H$36*(SUM($F29:G29))</f>
        <v>7450.9051034325539</v>
      </c>
      <c r="I39" s="62">
        <f>+I$36*(SUM($F29:H29))</f>
        <v>6059.7680589731608</v>
      </c>
      <c r="J39" s="62">
        <f>+J$36*(SUM($F29:I29))</f>
        <v>4246.8619460574728</v>
      </c>
      <c r="K39" s="62">
        <f>+K$36*(SUM($F29:J29))</f>
        <v>3591.1672446826396</v>
      </c>
      <c r="L39" s="62">
        <f>+L$36*(SUM($F29:K29))</f>
        <v>2563.5585801276216</v>
      </c>
      <c r="M39" s="62">
        <f>+M$36*(SUM($F29:L29))</f>
        <v>2041.5161904174108</v>
      </c>
      <c r="N39" s="62">
        <f>+N$36*(SUM($F29:M29))</f>
        <v>1617.1644265309692</v>
      </c>
      <c r="O39" s="62">
        <f>+O$36*(SUM($F29:N29))</f>
        <v>1404.8755380540695</v>
      </c>
      <c r="P39" s="62">
        <f>+P$36*(SUM($F29:O29))</f>
        <v>1162.3472832913528</v>
      </c>
      <c r="Q39" s="62">
        <f>+Q$36*(SUM($F29:P29))</f>
        <v>884.93920454637089</v>
      </c>
      <c r="R39" s="62">
        <f>+R$36*(SUM($F29:Q29))</f>
        <v>621.91448711308283</v>
      </c>
      <c r="S39" s="62">
        <f>SUM(G39:R39)</f>
        <v>39829.314075281494</v>
      </c>
      <c r="T39" s="598"/>
    </row>
    <row r="40" spans="1:20">
      <c r="A40" s="598" t="str">
        <f t="shared" si="8"/>
        <v>47WA.1823.47020449</v>
      </c>
      <c r="B40" s="598" t="str">
        <f t="shared" si="8"/>
        <v xml:space="preserve">Washington Residential Conservation Program </v>
      </c>
      <c r="C40" s="598">
        <v>7</v>
      </c>
      <c r="D40" s="598"/>
      <c r="F40" s="598"/>
      <c r="G40" s="62">
        <f>+G$36*(SUM(F30:$F30))</f>
        <v>7840.9263452054784</v>
      </c>
      <c r="H40" s="62">
        <f>+H$36*(SUM($F30:G30))</f>
        <v>7138.3046306095812</v>
      </c>
      <c r="I40" s="62">
        <f>+I$36*(SUM($F30:H30))</f>
        <v>5805.5323206116718</v>
      </c>
      <c r="J40" s="62">
        <f>+J$36*(SUM($F30:I30))</f>
        <v>4068.6861360152993</v>
      </c>
      <c r="K40" s="62">
        <f>+K$36*(SUM($F30:J30))</f>
        <v>3440.5009077624445</v>
      </c>
      <c r="L40" s="62">
        <f>+L$36*(SUM($F30:K30))</f>
        <v>2456.005254305755</v>
      </c>
      <c r="M40" s="62">
        <f>+M$36*(SUM($F30:L30))</f>
        <v>1955.8649953557206</v>
      </c>
      <c r="N40" s="62">
        <f>+N$36*(SUM($F30:M30))</f>
        <v>1549.3167815336933</v>
      </c>
      <c r="O40" s="62">
        <f>+O$36*(SUM($F30:N30))</f>
        <v>1345.9344092439842</v>
      </c>
      <c r="P40" s="62">
        <f>+P$36*(SUM($F30:O30))</f>
        <v>1113.5813541461819</v>
      </c>
      <c r="Q40" s="62">
        <f>+Q$36*(SUM($F30:P30))</f>
        <v>847.81184754468927</v>
      </c>
      <c r="R40" s="62">
        <f>+R$36*(SUM($F30:Q30))</f>
        <v>595.82225267602689</v>
      </c>
      <c r="S40" s="62">
        <f>SUM(G40:R40)</f>
        <v>38158.287235010532</v>
      </c>
      <c r="T40" s="598"/>
    </row>
    <row r="41" spans="1:20">
      <c r="A41" s="598" t="str">
        <f t="shared" si="8"/>
        <v>47WA.1823.47020478</v>
      </c>
      <c r="B41" s="598" t="str">
        <f t="shared" si="8"/>
        <v>Consolidated Technical Adjustments - Conservation</v>
      </c>
      <c r="C41" s="598">
        <v>7</v>
      </c>
      <c r="D41" s="598"/>
      <c r="F41" s="598"/>
      <c r="G41" s="62">
        <f>+G$36*(SUM(F31:$F31))</f>
        <v>-1023.0438772602738</v>
      </c>
      <c r="H41" s="62">
        <f>+H$36*(SUM($F31:G31))</f>
        <v>-931.36939754946968</v>
      </c>
      <c r="I41" s="62">
        <f>+I$36*(SUM($F31:H31))</f>
        <v>-757.4760982763388</v>
      </c>
      <c r="J41" s="62">
        <f>+J$36*(SUM($F31:I31))</f>
        <v>-530.86131111146562</v>
      </c>
      <c r="K41" s="62">
        <f>+K$36*(SUM($F31:J31))</f>
        <v>-448.89892258037059</v>
      </c>
      <c r="L41" s="62">
        <f>+L$36*(SUM($F31:K31))</f>
        <v>-320.44697620109054</v>
      </c>
      <c r="M41" s="62">
        <f>+M$36*(SUM($F31:L31))</f>
        <v>-255.19123891144355</v>
      </c>
      <c r="N41" s="62">
        <f>+N$36*(SUM($F31:M31))</f>
        <v>-202.14691192117056</v>
      </c>
      <c r="O41" s="62">
        <f>+O$36*(SUM($F31:N31))</f>
        <v>-175.61062251438568</v>
      </c>
      <c r="P41" s="62">
        <f>+P$36*(SUM($F31:O31))</f>
        <v>-145.29438691731522</v>
      </c>
      <c r="Q41" s="62">
        <f>+Q$36*(SUM($F31:P31))</f>
        <v>-110.61814401938304</v>
      </c>
      <c r="R41" s="62">
        <f>+R$36*(SUM($F31:Q31))</f>
        <v>-77.739833369096473</v>
      </c>
      <c r="S41" s="62">
        <f>SUM(G41:R41)</f>
        <v>-4978.6977206318033</v>
      </c>
      <c r="T41" s="598"/>
    </row>
    <row r="42" spans="1:20">
      <c r="A42" s="598"/>
      <c r="B42" s="598"/>
      <c r="C42" s="598"/>
      <c r="D42" s="598"/>
      <c r="F42" s="598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598"/>
    </row>
    <row r="43" spans="1:20" s="115" customFormat="1">
      <c r="A43" s="115" t="str">
        <f>+A33</f>
        <v>CORE Gas Cost</v>
      </c>
      <c r="B43" s="599" t="s">
        <v>273</v>
      </c>
      <c r="C43" s="599"/>
      <c r="D43" s="599"/>
      <c r="F43" s="599"/>
      <c r="G43" s="140">
        <f t="shared" ref="G43:S43" si="9">SUM(G37:G41)</f>
        <v>21627.01470575342</v>
      </c>
      <c r="H43" s="140">
        <f t="shared" si="9"/>
        <v>19689.028110146788</v>
      </c>
      <c r="I43" s="140">
        <f t="shared" si="9"/>
        <v>16012.94634649512</v>
      </c>
      <c r="J43" s="140">
        <f t="shared" si="9"/>
        <v>11222.339175587804</v>
      </c>
      <c r="K43" s="140">
        <f t="shared" si="9"/>
        <v>9489.6649262411174</v>
      </c>
      <c r="L43" s="140">
        <f t="shared" si="9"/>
        <v>6774.2074614381909</v>
      </c>
      <c r="M43" s="140">
        <f t="shared" si="9"/>
        <v>5394.7096496948443</v>
      </c>
      <c r="N43" s="140">
        <f t="shared" si="9"/>
        <v>4273.3594658223592</v>
      </c>
      <c r="O43" s="140">
        <f t="shared" si="9"/>
        <v>3712.3857539483588</v>
      </c>
      <c r="P43" s="140">
        <f t="shared" si="9"/>
        <v>3071.5044705015862</v>
      </c>
      <c r="Q43" s="140">
        <f t="shared" si="9"/>
        <v>2338.4531989351917</v>
      </c>
      <c r="R43" s="140">
        <f t="shared" si="9"/>
        <v>1643.4099815921538</v>
      </c>
      <c r="S43" s="140">
        <f t="shared" si="9"/>
        <v>105249.02324615694</v>
      </c>
      <c r="T43" s="599"/>
    </row>
    <row r="44" spans="1:20">
      <c r="G44" s="946"/>
      <c r="H44" s="945"/>
      <c r="I44" s="945"/>
      <c r="J44" s="945"/>
      <c r="K44" s="945"/>
      <c r="L44" s="945"/>
      <c r="M44" s="945"/>
      <c r="N44" s="945"/>
      <c r="O44" s="945"/>
      <c r="P44" s="945"/>
      <c r="Q44" s="945"/>
      <c r="R44" s="945"/>
      <c r="S44" s="788"/>
    </row>
  </sheetData>
  <mergeCells count="3">
    <mergeCell ref="G6:I6"/>
    <mergeCell ref="G1:K1"/>
    <mergeCell ref="G3:K3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M49"/>
  <sheetViews>
    <sheetView topLeftCell="A14" workbookViewId="0">
      <selection activeCell="I44" sqref="I44:I47"/>
    </sheetView>
  </sheetViews>
  <sheetFormatPr defaultColWidth="12" defaultRowHeight="15"/>
  <cols>
    <col min="1" max="1" width="1.6640625" style="34" customWidth="1"/>
    <col min="2" max="2" width="5.83203125" style="45" customWidth="1"/>
    <col min="3" max="3" width="15.5" style="34" customWidth="1"/>
    <col min="4" max="4" width="20" style="34" customWidth="1"/>
    <col min="5" max="5" width="10.6640625" style="45" bestFit="1" customWidth="1"/>
    <col min="6" max="6" width="16" style="34" bestFit="1" customWidth="1"/>
    <col min="7" max="7" width="16.5" style="34" customWidth="1"/>
    <col min="8" max="8" width="2.33203125" style="39" customWidth="1"/>
    <col min="9" max="9" width="19.1640625" style="34" bestFit="1" customWidth="1"/>
    <col min="10" max="10" width="2.33203125" style="39" customWidth="1"/>
    <col min="11" max="12" width="15" style="39" bestFit="1" customWidth="1"/>
    <col min="13" max="13" width="5.6640625" style="39" customWidth="1"/>
    <col min="14" max="16384" width="12" style="34"/>
  </cols>
  <sheetData>
    <row r="1" spans="1:13" ht="18" customHeight="1">
      <c r="A1" s="41"/>
      <c r="C1" s="1058" t="s">
        <v>47</v>
      </c>
      <c r="D1" s="1058"/>
      <c r="E1" s="1058"/>
      <c r="F1" s="1058"/>
      <c r="G1" s="1058"/>
      <c r="H1" s="1058"/>
      <c r="I1" s="1058"/>
      <c r="J1" s="1058"/>
    </row>
    <row r="2" spans="1:13">
      <c r="C2" s="1062" t="s">
        <v>152</v>
      </c>
      <c r="D2" s="1063"/>
      <c r="E2" s="1063"/>
      <c r="F2" s="1063"/>
      <c r="G2" s="1063"/>
      <c r="H2" s="1063"/>
      <c r="I2" s="1063"/>
      <c r="J2" s="1063"/>
    </row>
    <row r="3" spans="1:13">
      <c r="C3" s="1062" t="s">
        <v>287</v>
      </c>
      <c r="D3" s="1063"/>
      <c r="E3" s="1063"/>
      <c r="F3" s="1063"/>
      <c r="G3" s="1063"/>
      <c r="H3" s="1063"/>
      <c r="I3" s="1063"/>
      <c r="J3" s="1063"/>
    </row>
    <row r="4" spans="1:13">
      <c r="C4" s="1058" t="s">
        <v>48</v>
      </c>
      <c r="D4" s="1063"/>
      <c r="E4" s="1063"/>
      <c r="F4" s="1063"/>
      <c r="G4" s="1063"/>
      <c r="H4" s="1063"/>
      <c r="I4" s="1063"/>
      <c r="J4" s="1063"/>
    </row>
    <row r="5" spans="1:13" ht="6" customHeight="1"/>
    <row r="6" spans="1:13">
      <c r="B6" s="80"/>
      <c r="C6" s="81"/>
      <c r="D6" s="81"/>
      <c r="E6" s="80"/>
      <c r="F6" s="82"/>
      <c r="G6" s="82"/>
      <c r="I6" s="82"/>
    </row>
    <row r="7" spans="1:13">
      <c r="B7" s="35" t="s">
        <v>7</v>
      </c>
      <c r="C7" s="36"/>
      <c r="D7" s="36"/>
      <c r="E7" s="35" t="s">
        <v>46</v>
      </c>
      <c r="F7" s="35" t="s">
        <v>51</v>
      </c>
      <c r="G7" s="35" t="s">
        <v>52</v>
      </c>
      <c r="H7" s="36"/>
      <c r="I7" s="35" t="s">
        <v>53</v>
      </c>
      <c r="J7" s="36"/>
      <c r="K7" s="36"/>
      <c r="L7" s="36"/>
    </row>
    <row r="8" spans="1:13">
      <c r="B8" s="35" t="s">
        <v>9</v>
      </c>
      <c r="C8" s="79"/>
      <c r="D8" s="36" t="s">
        <v>0</v>
      </c>
      <c r="E8" s="35" t="s">
        <v>56</v>
      </c>
      <c r="F8" s="35" t="s">
        <v>57</v>
      </c>
      <c r="G8" s="35" t="s">
        <v>58</v>
      </c>
      <c r="H8" s="36"/>
      <c r="I8" s="35" t="s">
        <v>59</v>
      </c>
      <c r="J8" s="36"/>
      <c r="K8" s="36"/>
      <c r="L8" s="36"/>
    </row>
    <row r="9" spans="1:13">
      <c r="B9" s="84"/>
      <c r="C9" s="79"/>
      <c r="D9" s="36" t="s">
        <v>14</v>
      </c>
      <c r="E9" s="85" t="s">
        <v>15</v>
      </c>
      <c r="F9" s="85" t="s">
        <v>16</v>
      </c>
      <c r="G9" s="85" t="s">
        <v>17</v>
      </c>
      <c r="H9" s="36"/>
      <c r="I9" s="85" t="s">
        <v>61</v>
      </c>
      <c r="J9" s="36"/>
      <c r="K9" s="36"/>
      <c r="L9" s="36"/>
    </row>
    <row r="10" spans="1:13" s="39" customFormat="1">
      <c r="B10" s="86"/>
      <c r="C10" s="87" t="s">
        <v>65</v>
      </c>
      <c r="D10" s="88"/>
      <c r="E10" s="86"/>
      <c r="F10" s="88"/>
      <c r="G10" s="88"/>
      <c r="I10" s="143"/>
    </row>
    <row r="11" spans="1:13">
      <c r="B11" s="80"/>
      <c r="C11" s="72" t="s">
        <v>66</v>
      </c>
      <c r="D11" s="89"/>
      <c r="E11" s="90"/>
      <c r="F11" s="81"/>
      <c r="G11" s="83"/>
      <c r="I11" s="83"/>
    </row>
    <row r="12" spans="1:13">
      <c r="B12" s="35">
        <v>1</v>
      </c>
      <c r="C12" s="91" t="s">
        <v>111</v>
      </c>
      <c r="D12" s="37"/>
      <c r="E12" s="38">
        <v>503</v>
      </c>
      <c r="F12" s="152">
        <v>200356</v>
      </c>
      <c r="G12" s="92">
        <v>134278058</v>
      </c>
      <c r="I12" s="949">
        <v>160686756.90000001</v>
      </c>
      <c r="K12" s="93"/>
      <c r="L12" s="145"/>
    </row>
    <row r="13" spans="1:13">
      <c r="B13" s="35">
        <v>2</v>
      </c>
      <c r="C13" s="91"/>
      <c r="D13" s="37"/>
      <c r="E13" s="38"/>
      <c r="F13" s="152"/>
      <c r="G13" s="92"/>
      <c r="I13" s="949"/>
      <c r="K13" s="93"/>
      <c r="L13" s="145"/>
    </row>
    <row r="14" spans="1:13">
      <c r="B14" s="35">
        <v>3</v>
      </c>
      <c r="C14" s="170" t="s">
        <v>148</v>
      </c>
      <c r="D14" s="39"/>
      <c r="E14" s="84">
        <v>503</v>
      </c>
      <c r="F14" s="152"/>
      <c r="G14" s="92">
        <v>1155568</v>
      </c>
      <c r="H14" s="93"/>
      <c r="I14" s="949">
        <v>1151142.17</v>
      </c>
      <c r="J14" s="93"/>
      <c r="K14" s="93"/>
      <c r="L14" s="145"/>
    </row>
    <row r="15" spans="1:13">
      <c r="B15" s="35">
        <v>4</v>
      </c>
      <c r="C15" s="171" t="s">
        <v>149</v>
      </c>
      <c r="D15" s="112"/>
      <c r="E15" s="172">
        <v>503</v>
      </c>
      <c r="F15" s="153"/>
      <c r="G15" s="94">
        <v>-1242836</v>
      </c>
      <c r="H15" s="93"/>
      <c r="I15" s="950">
        <v>-1140438.75</v>
      </c>
      <c r="J15" s="93"/>
      <c r="K15" s="93"/>
      <c r="L15" s="145"/>
    </row>
    <row r="16" spans="1:13" s="100" customFormat="1">
      <c r="B16" s="35">
        <v>5</v>
      </c>
      <c r="C16" s="95" t="s">
        <v>119</v>
      </c>
      <c r="D16" s="110"/>
      <c r="E16" s="97"/>
      <c r="F16" s="154">
        <f>SUM(F12:F15)</f>
        <v>200356</v>
      </c>
      <c r="G16" s="98">
        <f>SUM(G12:G15)</f>
        <v>134190790</v>
      </c>
      <c r="H16" s="99"/>
      <c r="I16" s="951">
        <f>SUM(I12:I15)</f>
        <v>160697460.31999999</v>
      </c>
      <c r="J16" s="99"/>
      <c r="K16" s="99"/>
      <c r="L16" s="146"/>
      <c r="M16" s="46"/>
    </row>
    <row r="17" spans="2:13">
      <c r="B17" s="84">
        <v>6</v>
      </c>
      <c r="C17" s="72" t="s">
        <v>68</v>
      </c>
      <c r="D17" s="37"/>
      <c r="E17" s="73"/>
      <c r="F17" s="93"/>
      <c r="G17" s="92"/>
      <c r="H17" s="93"/>
      <c r="I17" s="949"/>
      <c r="K17" s="93"/>
      <c r="L17" s="147"/>
    </row>
    <row r="18" spans="2:13">
      <c r="B18" s="35">
        <v>7</v>
      </c>
      <c r="C18" s="47" t="s">
        <v>111</v>
      </c>
      <c r="D18" s="37"/>
      <c r="E18" s="38" t="s">
        <v>69</v>
      </c>
      <c r="F18" s="93">
        <f>27210</f>
        <v>27210</v>
      </c>
      <c r="G18" s="92">
        <v>95604530</v>
      </c>
      <c r="H18" s="93"/>
      <c r="I18" s="949">
        <v>103944257.75</v>
      </c>
      <c r="K18" s="93"/>
      <c r="L18" s="145"/>
    </row>
    <row r="19" spans="2:13">
      <c r="B19" s="35">
        <v>8</v>
      </c>
      <c r="C19" s="47" t="s">
        <v>112</v>
      </c>
      <c r="D19" s="37"/>
      <c r="E19" s="38" t="s">
        <v>71</v>
      </c>
      <c r="F19" s="93">
        <v>75</v>
      </c>
      <c r="G19" s="92">
        <v>10770715</v>
      </c>
      <c r="I19" s="949">
        <v>9132349.6099999994</v>
      </c>
      <c r="K19" s="93"/>
      <c r="L19" s="145"/>
    </row>
    <row r="20" spans="2:13">
      <c r="B20" s="35">
        <v>9</v>
      </c>
      <c r="C20" s="47"/>
      <c r="D20" s="37"/>
      <c r="E20" s="38"/>
      <c r="F20" s="93"/>
      <c r="G20" s="92"/>
      <c r="I20" s="949"/>
      <c r="K20" s="93"/>
      <c r="L20" s="145"/>
    </row>
    <row r="21" spans="2:13">
      <c r="B21" s="35">
        <v>10</v>
      </c>
      <c r="C21" s="101" t="str">
        <f>C14</f>
        <v>EOM</v>
      </c>
      <c r="D21" s="37"/>
      <c r="E21" s="73">
        <v>504</v>
      </c>
      <c r="F21" s="39"/>
      <c r="G21" s="92">
        <v>1121403</v>
      </c>
      <c r="H21" s="93"/>
      <c r="I21" s="952">
        <v>1032325.42</v>
      </c>
      <c r="J21" s="93"/>
      <c r="K21" s="93"/>
      <c r="L21" s="145"/>
    </row>
    <row r="22" spans="2:13">
      <c r="B22" s="35">
        <v>11</v>
      </c>
      <c r="C22" s="101" t="str">
        <f>C15</f>
        <v>LM</v>
      </c>
      <c r="D22" s="37"/>
      <c r="E22" s="73">
        <v>504</v>
      </c>
      <c r="F22" s="39"/>
      <c r="G22" s="92">
        <v>-1248224</v>
      </c>
      <c r="H22" s="93"/>
      <c r="I22" s="952">
        <v>-1061305.83</v>
      </c>
      <c r="J22" s="93"/>
      <c r="K22" s="93"/>
      <c r="L22" s="145"/>
    </row>
    <row r="23" spans="2:13">
      <c r="B23" s="35">
        <v>12</v>
      </c>
      <c r="C23" s="101" t="s">
        <v>148</v>
      </c>
      <c r="D23" s="37"/>
      <c r="E23" s="73">
        <v>511</v>
      </c>
      <c r="F23" s="39"/>
      <c r="G23" s="92">
        <v>8798</v>
      </c>
      <c r="H23" s="93"/>
      <c r="I23" s="952">
        <v>7669.79</v>
      </c>
      <c r="J23" s="93"/>
      <c r="K23" s="93"/>
      <c r="L23" s="145"/>
    </row>
    <row r="24" spans="2:13">
      <c r="B24" s="35">
        <v>13</v>
      </c>
      <c r="C24" s="101" t="s">
        <v>149</v>
      </c>
      <c r="D24" s="37"/>
      <c r="E24" s="73">
        <v>511</v>
      </c>
      <c r="F24" s="39"/>
      <c r="G24" s="92">
        <v>-4542</v>
      </c>
      <c r="H24" s="93"/>
      <c r="I24" s="952">
        <v>-4019.29</v>
      </c>
      <c r="J24" s="93"/>
      <c r="K24" s="93"/>
      <c r="L24" s="145"/>
    </row>
    <row r="25" spans="2:13">
      <c r="B25" s="35">
        <v>14</v>
      </c>
      <c r="C25" s="47" t="s">
        <v>113</v>
      </c>
      <c r="D25" s="37"/>
      <c r="E25" s="73"/>
      <c r="F25" s="93"/>
      <c r="G25" s="92">
        <v>0</v>
      </c>
      <c r="H25" s="93"/>
      <c r="I25" s="950"/>
      <c r="K25" s="93"/>
      <c r="L25" s="148"/>
    </row>
    <row r="26" spans="2:13" s="100" customFormat="1">
      <c r="B26" s="35">
        <v>15</v>
      </c>
      <c r="C26" s="95" t="s">
        <v>118</v>
      </c>
      <c r="D26" s="96"/>
      <c r="E26" s="97"/>
      <c r="F26" s="154">
        <f>SUM(F18:F25)</f>
        <v>27285</v>
      </c>
      <c r="G26" s="98">
        <f>SUM(G18:G25)</f>
        <v>106252680</v>
      </c>
      <c r="H26" s="99"/>
      <c r="I26" s="951">
        <f>SUM(I18:I25)</f>
        <v>113051277.45</v>
      </c>
      <c r="J26" s="99"/>
      <c r="K26" s="99"/>
      <c r="L26" s="146"/>
      <c r="M26" s="46"/>
    </row>
    <row r="27" spans="2:13">
      <c r="B27" s="35">
        <v>16</v>
      </c>
      <c r="C27" s="72" t="s">
        <v>72</v>
      </c>
      <c r="D27" s="37"/>
      <c r="E27" s="73"/>
      <c r="F27" s="93"/>
      <c r="G27" s="92"/>
      <c r="H27" s="93"/>
      <c r="I27" s="949"/>
      <c r="K27" s="93"/>
      <c r="L27" s="148"/>
    </row>
    <row r="28" spans="2:13">
      <c r="B28" s="35">
        <v>17</v>
      </c>
      <c r="C28" s="47" t="s">
        <v>111</v>
      </c>
      <c r="D28" s="37"/>
      <c r="E28" s="38" t="s">
        <v>73</v>
      </c>
      <c r="F28" s="93">
        <v>487</v>
      </c>
      <c r="G28" s="92">
        <v>12498242</v>
      </c>
      <c r="H28" s="93"/>
      <c r="I28" s="949">
        <v>11638459.84</v>
      </c>
      <c r="K28" s="93"/>
      <c r="L28" s="148"/>
    </row>
    <row r="29" spans="2:13">
      <c r="B29" s="35">
        <v>18</v>
      </c>
      <c r="C29" s="47" t="s">
        <v>112</v>
      </c>
      <c r="D29" s="37"/>
      <c r="E29" s="38" t="s">
        <v>71</v>
      </c>
      <c r="F29" s="93">
        <v>24</v>
      </c>
      <c r="G29" s="92">
        <v>4695589</v>
      </c>
      <c r="I29" s="949">
        <v>3801586.5</v>
      </c>
      <c r="K29" s="93"/>
      <c r="L29" s="148"/>
    </row>
    <row r="30" spans="2:13">
      <c r="B30" s="35">
        <v>19</v>
      </c>
      <c r="C30" s="103" t="str">
        <f>+C21</f>
        <v>EOM</v>
      </c>
      <c r="D30" s="37"/>
      <c r="E30" s="38">
        <v>511</v>
      </c>
      <c r="F30" s="93"/>
      <c r="G30" s="92"/>
      <c r="I30" s="949">
        <v>0</v>
      </c>
      <c r="K30" s="93"/>
      <c r="L30" s="148"/>
    </row>
    <row r="31" spans="2:13">
      <c r="B31" s="35">
        <v>20</v>
      </c>
      <c r="C31" s="104" t="str">
        <f>+C22</f>
        <v>LM</v>
      </c>
      <c r="D31" s="37"/>
      <c r="E31" s="38">
        <v>511</v>
      </c>
      <c r="F31" s="93"/>
      <c r="G31" s="155">
        <v>0</v>
      </c>
      <c r="I31" s="949">
        <v>0</v>
      </c>
      <c r="K31" s="93"/>
      <c r="L31" s="148"/>
    </row>
    <row r="32" spans="2:13" s="100" customFormat="1">
      <c r="B32" s="35">
        <v>21</v>
      </c>
      <c r="C32" s="95" t="s">
        <v>117</v>
      </c>
      <c r="D32" s="96"/>
      <c r="E32" s="97"/>
      <c r="F32" s="98">
        <f>SUM(F28:F31)</f>
        <v>511</v>
      </c>
      <c r="G32" s="98">
        <f>SUM(G28:G31)</f>
        <v>17193831</v>
      </c>
      <c r="H32" s="99"/>
      <c r="I32" s="953">
        <f>SUM(I28:I31)</f>
        <v>15440046.34</v>
      </c>
      <c r="J32" s="99"/>
      <c r="K32" s="99"/>
      <c r="L32" s="146"/>
      <c r="M32" s="46"/>
    </row>
    <row r="33" spans="2:13">
      <c r="B33" s="35">
        <v>22</v>
      </c>
      <c r="C33" s="72" t="s">
        <v>12</v>
      </c>
      <c r="D33" s="37"/>
      <c r="E33" s="73"/>
      <c r="F33" s="93"/>
      <c r="G33" s="92"/>
      <c r="H33" s="93"/>
      <c r="I33" s="949"/>
      <c r="K33" s="93"/>
      <c r="L33" s="148"/>
    </row>
    <row r="34" spans="2:13">
      <c r="B34" s="35">
        <v>23</v>
      </c>
      <c r="C34" s="47" t="s">
        <v>108</v>
      </c>
      <c r="D34" s="37"/>
      <c r="E34" s="38" t="s">
        <v>74</v>
      </c>
      <c r="F34" s="93">
        <v>7</v>
      </c>
      <c r="G34" s="92">
        <v>2206553</v>
      </c>
      <c r="H34" s="93"/>
      <c r="I34" s="949">
        <f>1675890.01+540</f>
        <v>1676430.01</v>
      </c>
      <c r="K34" s="93"/>
      <c r="L34" s="148"/>
    </row>
    <row r="35" spans="2:13">
      <c r="B35" s="35">
        <v>24</v>
      </c>
      <c r="C35" s="47" t="str">
        <f>+C30</f>
        <v>EOM</v>
      </c>
      <c r="D35" s="37"/>
      <c r="E35" s="38"/>
      <c r="F35" s="93"/>
      <c r="G35" s="92">
        <v>88882</v>
      </c>
      <c r="I35" s="949">
        <v>66972.600000000006</v>
      </c>
      <c r="K35" s="93"/>
      <c r="L35" s="148"/>
    </row>
    <row r="36" spans="2:13">
      <c r="B36" s="35">
        <v>25</v>
      </c>
      <c r="C36" s="47" t="str">
        <f>+C31</f>
        <v>LM</v>
      </c>
      <c r="D36" s="37"/>
      <c r="E36" s="38"/>
      <c r="F36" s="93"/>
      <c r="G36" s="92">
        <v>-88811</v>
      </c>
      <c r="I36" s="949">
        <f>-60-61321.08</f>
        <v>-61381.08</v>
      </c>
      <c r="K36" s="93"/>
      <c r="L36" s="148"/>
    </row>
    <row r="37" spans="2:13">
      <c r="B37" s="35">
        <v>26</v>
      </c>
      <c r="C37" s="47"/>
      <c r="D37" s="37"/>
      <c r="E37" s="38"/>
      <c r="F37" s="93"/>
      <c r="G37" s="92"/>
      <c r="I37" s="949"/>
      <c r="K37" s="93"/>
      <c r="L37" s="148"/>
    </row>
    <row r="38" spans="2:13">
      <c r="B38" s="35">
        <v>27</v>
      </c>
      <c r="C38" s="47"/>
      <c r="D38" s="37"/>
      <c r="E38" s="38"/>
      <c r="F38" s="93"/>
      <c r="G38" s="92"/>
      <c r="I38" s="949"/>
      <c r="K38" s="93"/>
      <c r="L38" s="148"/>
    </row>
    <row r="39" spans="2:13" s="100" customFormat="1">
      <c r="B39" s="35">
        <v>28</v>
      </c>
      <c r="C39" s="87" t="s">
        <v>114</v>
      </c>
      <c r="D39" s="96"/>
      <c r="E39" s="97"/>
      <c r="F39" s="154">
        <f>SUM(F34:F34)</f>
        <v>7</v>
      </c>
      <c r="G39" s="98">
        <f>SUM(G34:G36)</f>
        <v>2206624</v>
      </c>
      <c r="H39" s="99"/>
      <c r="I39" s="951">
        <f>+I34+I35+I36</f>
        <v>1682021.53</v>
      </c>
      <c r="J39" s="99"/>
      <c r="K39" s="99"/>
      <c r="L39" s="146"/>
      <c r="M39" s="46"/>
    </row>
    <row r="40" spans="2:13" s="100" customFormat="1">
      <c r="B40" s="35">
        <v>29</v>
      </c>
      <c r="C40" s="105" t="s">
        <v>115</v>
      </c>
      <c r="D40" s="46"/>
      <c r="E40" s="106"/>
      <c r="F40" s="99">
        <f>+F39+F32+F26+F16</f>
        <v>228159</v>
      </c>
      <c r="G40" s="98">
        <f>G16+G26+G32+G39</f>
        <v>259843925</v>
      </c>
      <c r="H40" s="99"/>
      <c r="I40" s="951">
        <f>I16+I26+I32+I39</f>
        <v>290870805.63999993</v>
      </c>
      <c r="J40" s="99"/>
      <c r="K40" s="99"/>
      <c r="L40" s="146"/>
      <c r="M40" s="46"/>
    </row>
    <row r="41" spans="2:13" s="39" customFormat="1">
      <c r="B41" s="86"/>
      <c r="C41" s="87" t="s">
        <v>76</v>
      </c>
      <c r="D41" s="88"/>
      <c r="E41" s="86"/>
      <c r="F41" s="143"/>
      <c r="G41" s="143"/>
      <c r="H41" s="93"/>
      <c r="I41" s="869"/>
      <c r="K41" s="107"/>
      <c r="L41" s="148"/>
    </row>
    <row r="42" spans="2:13">
      <c r="B42" s="82">
        <v>30</v>
      </c>
      <c r="C42" s="104"/>
      <c r="D42" s="37"/>
      <c r="E42" s="38"/>
      <c r="F42" s="93"/>
      <c r="G42" s="92"/>
      <c r="H42" s="108"/>
      <c r="I42" s="870"/>
      <c r="J42" s="104"/>
      <c r="K42" s="93"/>
      <c r="L42" s="148"/>
    </row>
    <row r="43" spans="2:13">
      <c r="B43" s="35">
        <v>31</v>
      </c>
      <c r="C43" s="102" t="s">
        <v>110</v>
      </c>
      <c r="D43" s="37"/>
      <c r="E43" s="73"/>
      <c r="F43" s="93"/>
      <c r="G43" s="92"/>
      <c r="H43" s="108"/>
      <c r="I43" s="868"/>
      <c r="K43" s="93"/>
      <c r="L43" s="148"/>
    </row>
    <row r="44" spans="2:13">
      <c r="B44" s="35">
        <v>32</v>
      </c>
      <c r="C44" s="47" t="s">
        <v>108</v>
      </c>
      <c r="D44" s="37"/>
      <c r="E44" s="38" t="s">
        <v>77</v>
      </c>
      <c r="F44" s="93">
        <v>198</v>
      </c>
      <c r="G44" s="92">
        <v>623152191</v>
      </c>
      <c r="H44" s="93"/>
      <c r="I44" s="949">
        <v>22879391.52</v>
      </c>
      <c r="J44" s="104"/>
      <c r="K44" s="93"/>
      <c r="L44" s="148"/>
    </row>
    <row r="45" spans="2:13">
      <c r="B45" s="35">
        <v>33</v>
      </c>
      <c r="C45" s="47" t="s">
        <v>109</v>
      </c>
      <c r="D45" s="37"/>
      <c r="E45" s="38" t="s">
        <v>137</v>
      </c>
      <c r="F45" s="156">
        <v>6</v>
      </c>
      <c r="G45" s="94">
        <v>199641395</v>
      </c>
      <c r="I45" s="950">
        <v>4265482.95</v>
      </c>
      <c r="K45" s="93"/>
      <c r="L45" s="148"/>
    </row>
    <row r="46" spans="2:13" s="100" customFormat="1">
      <c r="B46" s="35">
        <v>34</v>
      </c>
      <c r="C46" s="109" t="s">
        <v>116</v>
      </c>
      <c r="D46" s="96"/>
      <c r="E46" s="106"/>
      <c r="F46" s="157">
        <f>SUM(F42:F45)</f>
        <v>204</v>
      </c>
      <c r="G46" s="69">
        <f>SUM(G42:G45)</f>
        <v>822793586</v>
      </c>
      <c r="H46" s="46"/>
      <c r="I46" s="967">
        <f>SUM(I42:I45)</f>
        <v>27144874.469999999</v>
      </c>
      <c r="J46" s="46"/>
      <c r="K46" s="46"/>
      <c r="L46" s="146"/>
      <c r="M46" s="46"/>
    </row>
    <row r="47" spans="2:13" s="100" customFormat="1">
      <c r="B47" s="85">
        <v>35</v>
      </c>
      <c r="C47" s="109" t="s">
        <v>78</v>
      </c>
      <c r="D47" s="111"/>
      <c r="E47" s="106"/>
      <c r="F47" s="157">
        <f>+F46+F40</f>
        <v>228363</v>
      </c>
      <c r="G47" s="69">
        <f>G40+G46</f>
        <v>1082637511</v>
      </c>
      <c r="H47" s="99"/>
      <c r="I47" s="951">
        <f>I40+I46</f>
        <v>318015680.1099999</v>
      </c>
      <c r="J47" s="99"/>
      <c r="K47" s="99"/>
      <c r="L47" s="146"/>
      <c r="M47" s="46"/>
    </row>
    <row r="48" spans="2:13">
      <c r="B48" s="44"/>
      <c r="C48" s="42"/>
      <c r="D48" s="40"/>
      <c r="E48" s="61"/>
      <c r="F48" s="40"/>
      <c r="G48" s="40"/>
      <c r="H48" s="104"/>
      <c r="I48" s="40"/>
    </row>
    <row r="49" spans="2:10">
      <c r="B49" s="44"/>
      <c r="C49" s="42"/>
      <c r="D49" s="42"/>
      <c r="E49" s="44"/>
      <c r="F49" s="144"/>
      <c r="G49" s="144"/>
      <c r="H49" s="113"/>
      <c r="I49" s="144"/>
      <c r="J49" s="46"/>
    </row>
  </sheetData>
  <mergeCells count="4">
    <mergeCell ref="C1:J1"/>
    <mergeCell ref="C2:J2"/>
    <mergeCell ref="C3:J3"/>
    <mergeCell ref="C4:J4"/>
  </mergeCells>
  <phoneticPr fontId="14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2"/>
  <sheetViews>
    <sheetView workbookViewId="0">
      <selection activeCell="F21" sqref="F21"/>
    </sheetView>
  </sheetViews>
  <sheetFormatPr defaultRowHeight="10.5"/>
  <cols>
    <col min="1" max="1" width="9.33203125" style="173"/>
    <col min="2" max="2" width="12.6640625" style="173" customWidth="1"/>
    <col min="3" max="3" width="22.5" style="173" customWidth="1"/>
    <col min="4" max="4" width="22.6640625" style="173" bestFit="1" customWidth="1"/>
    <col min="5" max="5" width="3" style="173" customWidth="1"/>
    <col min="6" max="6" width="22" style="173" bestFit="1" customWidth="1"/>
    <col min="7" max="7" width="2.83203125" style="173" customWidth="1"/>
    <col min="8" max="8" width="16.5" style="173" bestFit="1" customWidth="1"/>
    <col min="9" max="9" width="3.33203125" style="173" customWidth="1"/>
    <col min="10" max="10" width="18.5" style="173" bestFit="1" customWidth="1"/>
    <col min="11" max="11" width="3" style="173" customWidth="1"/>
    <col min="12" max="12" width="16.33203125" style="173" bestFit="1" customWidth="1"/>
    <col min="13" max="13" width="2.83203125" style="173" customWidth="1"/>
    <col min="14" max="14" width="15.83203125" style="173" bestFit="1" customWidth="1"/>
    <col min="15" max="15" width="4.1640625" style="173" customWidth="1"/>
    <col min="16" max="16" width="10.83203125" style="173" customWidth="1"/>
    <col min="17" max="17" width="3.1640625" style="173" customWidth="1"/>
    <col min="18" max="18" width="11" style="173" customWidth="1"/>
    <col min="19" max="19" width="3" style="173" customWidth="1"/>
    <col min="20" max="20" width="11.1640625" style="173" customWidth="1"/>
    <col min="21" max="21" width="3.5" style="173" customWidth="1"/>
    <col min="22" max="257" width="9.33203125" style="173"/>
    <col min="258" max="258" width="12.6640625" style="173" customWidth="1"/>
    <col min="259" max="259" width="20.6640625" style="173" customWidth="1"/>
    <col min="260" max="260" width="13" style="173" customWidth="1"/>
    <col min="261" max="261" width="3" style="173" customWidth="1"/>
    <col min="262" max="262" width="16.1640625" style="173" customWidth="1"/>
    <col min="263" max="263" width="2.83203125" style="173" customWidth="1"/>
    <col min="264" max="264" width="13.33203125" style="173" customWidth="1"/>
    <col min="265" max="265" width="3.33203125" style="173" customWidth="1"/>
    <col min="266" max="266" width="11.83203125" style="173" customWidth="1"/>
    <col min="267" max="267" width="3" style="173" customWidth="1"/>
    <col min="268" max="268" width="16" style="173" customWidth="1"/>
    <col min="269" max="269" width="2.83203125" style="173" customWidth="1"/>
    <col min="270" max="270" width="10.5" style="173" customWidth="1"/>
    <col min="271" max="271" width="4.1640625" style="173" customWidth="1"/>
    <col min="272" max="272" width="10.83203125" style="173" customWidth="1"/>
    <col min="273" max="273" width="3.1640625" style="173" customWidth="1"/>
    <col min="274" max="274" width="11" style="173" customWidth="1"/>
    <col min="275" max="275" width="3" style="173" customWidth="1"/>
    <col min="276" max="276" width="11.1640625" style="173" customWidth="1"/>
    <col min="277" max="277" width="3.5" style="173" customWidth="1"/>
    <col min="278" max="513" width="9.33203125" style="173"/>
    <col min="514" max="514" width="12.6640625" style="173" customWidth="1"/>
    <col min="515" max="515" width="20.6640625" style="173" customWidth="1"/>
    <col min="516" max="516" width="13" style="173" customWidth="1"/>
    <col min="517" max="517" width="3" style="173" customWidth="1"/>
    <col min="518" max="518" width="16.1640625" style="173" customWidth="1"/>
    <col min="519" max="519" width="2.83203125" style="173" customWidth="1"/>
    <col min="520" max="520" width="13.33203125" style="173" customWidth="1"/>
    <col min="521" max="521" width="3.33203125" style="173" customWidth="1"/>
    <col min="522" max="522" width="11.83203125" style="173" customWidth="1"/>
    <col min="523" max="523" width="3" style="173" customWidth="1"/>
    <col min="524" max="524" width="16" style="173" customWidth="1"/>
    <col min="525" max="525" width="2.83203125" style="173" customWidth="1"/>
    <col min="526" max="526" width="10.5" style="173" customWidth="1"/>
    <col min="527" max="527" width="4.1640625" style="173" customWidth="1"/>
    <col min="528" max="528" width="10.83203125" style="173" customWidth="1"/>
    <col min="529" max="529" width="3.1640625" style="173" customWidth="1"/>
    <col min="530" max="530" width="11" style="173" customWidth="1"/>
    <col min="531" max="531" width="3" style="173" customWidth="1"/>
    <col min="532" max="532" width="11.1640625" style="173" customWidth="1"/>
    <col min="533" max="533" width="3.5" style="173" customWidth="1"/>
    <col min="534" max="769" width="9.33203125" style="173"/>
    <col min="770" max="770" width="12.6640625" style="173" customWidth="1"/>
    <col min="771" max="771" width="20.6640625" style="173" customWidth="1"/>
    <col min="772" max="772" width="13" style="173" customWidth="1"/>
    <col min="773" max="773" width="3" style="173" customWidth="1"/>
    <col min="774" max="774" width="16.1640625" style="173" customWidth="1"/>
    <col min="775" max="775" width="2.83203125" style="173" customWidth="1"/>
    <col min="776" max="776" width="13.33203125" style="173" customWidth="1"/>
    <col min="777" max="777" width="3.33203125" style="173" customWidth="1"/>
    <col min="778" max="778" width="11.83203125" style="173" customWidth="1"/>
    <col min="779" max="779" width="3" style="173" customWidth="1"/>
    <col min="780" max="780" width="16" style="173" customWidth="1"/>
    <col min="781" max="781" width="2.83203125" style="173" customWidth="1"/>
    <col min="782" max="782" width="10.5" style="173" customWidth="1"/>
    <col min="783" max="783" width="4.1640625" style="173" customWidth="1"/>
    <col min="784" max="784" width="10.83203125" style="173" customWidth="1"/>
    <col min="785" max="785" width="3.1640625" style="173" customWidth="1"/>
    <col min="786" max="786" width="11" style="173" customWidth="1"/>
    <col min="787" max="787" width="3" style="173" customWidth="1"/>
    <col min="788" max="788" width="11.1640625" style="173" customWidth="1"/>
    <col min="789" max="789" width="3.5" style="173" customWidth="1"/>
    <col min="790" max="1025" width="9.33203125" style="173"/>
    <col min="1026" max="1026" width="12.6640625" style="173" customWidth="1"/>
    <col min="1027" max="1027" width="20.6640625" style="173" customWidth="1"/>
    <col min="1028" max="1028" width="13" style="173" customWidth="1"/>
    <col min="1029" max="1029" width="3" style="173" customWidth="1"/>
    <col min="1030" max="1030" width="16.1640625" style="173" customWidth="1"/>
    <col min="1031" max="1031" width="2.83203125" style="173" customWidth="1"/>
    <col min="1032" max="1032" width="13.33203125" style="173" customWidth="1"/>
    <col min="1033" max="1033" width="3.33203125" style="173" customWidth="1"/>
    <col min="1034" max="1034" width="11.83203125" style="173" customWidth="1"/>
    <col min="1035" max="1035" width="3" style="173" customWidth="1"/>
    <col min="1036" max="1036" width="16" style="173" customWidth="1"/>
    <col min="1037" max="1037" width="2.83203125" style="173" customWidth="1"/>
    <col min="1038" max="1038" width="10.5" style="173" customWidth="1"/>
    <col min="1039" max="1039" width="4.1640625" style="173" customWidth="1"/>
    <col min="1040" max="1040" width="10.83203125" style="173" customWidth="1"/>
    <col min="1041" max="1041" width="3.1640625" style="173" customWidth="1"/>
    <col min="1042" max="1042" width="11" style="173" customWidth="1"/>
    <col min="1043" max="1043" width="3" style="173" customWidth="1"/>
    <col min="1044" max="1044" width="11.1640625" style="173" customWidth="1"/>
    <col min="1045" max="1045" width="3.5" style="173" customWidth="1"/>
    <col min="1046" max="1281" width="9.33203125" style="173"/>
    <col min="1282" max="1282" width="12.6640625" style="173" customWidth="1"/>
    <col min="1283" max="1283" width="20.6640625" style="173" customWidth="1"/>
    <col min="1284" max="1284" width="13" style="173" customWidth="1"/>
    <col min="1285" max="1285" width="3" style="173" customWidth="1"/>
    <col min="1286" max="1286" width="16.1640625" style="173" customWidth="1"/>
    <col min="1287" max="1287" width="2.83203125" style="173" customWidth="1"/>
    <col min="1288" max="1288" width="13.33203125" style="173" customWidth="1"/>
    <col min="1289" max="1289" width="3.33203125" style="173" customWidth="1"/>
    <col min="1290" max="1290" width="11.83203125" style="173" customWidth="1"/>
    <col min="1291" max="1291" width="3" style="173" customWidth="1"/>
    <col min="1292" max="1292" width="16" style="173" customWidth="1"/>
    <col min="1293" max="1293" width="2.83203125" style="173" customWidth="1"/>
    <col min="1294" max="1294" width="10.5" style="173" customWidth="1"/>
    <col min="1295" max="1295" width="4.1640625" style="173" customWidth="1"/>
    <col min="1296" max="1296" width="10.83203125" style="173" customWidth="1"/>
    <col min="1297" max="1297" width="3.1640625" style="173" customWidth="1"/>
    <col min="1298" max="1298" width="11" style="173" customWidth="1"/>
    <col min="1299" max="1299" width="3" style="173" customWidth="1"/>
    <col min="1300" max="1300" width="11.1640625" style="173" customWidth="1"/>
    <col min="1301" max="1301" width="3.5" style="173" customWidth="1"/>
    <col min="1302" max="1537" width="9.33203125" style="173"/>
    <col min="1538" max="1538" width="12.6640625" style="173" customWidth="1"/>
    <col min="1539" max="1539" width="20.6640625" style="173" customWidth="1"/>
    <col min="1540" max="1540" width="13" style="173" customWidth="1"/>
    <col min="1541" max="1541" width="3" style="173" customWidth="1"/>
    <col min="1542" max="1542" width="16.1640625" style="173" customWidth="1"/>
    <col min="1543" max="1543" width="2.83203125" style="173" customWidth="1"/>
    <col min="1544" max="1544" width="13.33203125" style="173" customWidth="1"/>
    <col min="1545" max="1545" width="3.33203125" style="173" customWidth="1"/>
    <col min="1546" max="1546" width="11.83203125" style="173" customWidth="1"/>
    <col min="1547" max="1547" width="3" style="173" customWidth="1"/>
    <col min="1548" max="1548" width="16" style="173" customWidth="1"/>
    <col min="1549" max="1549" width="2.83203125" style="173" customWidth="1"/>
    <col min="1550" max="1550" width="10.5" style="173" customWidth="1"/>
    <col min="1551" max="1551" width="4.1640625" style="173" customWidth="1"/>
    <col min="1552" max="1552" width="10.83203125" style="173" customWidth="1"/>
    <col min="1553" max="1553" width="3.1640625" style="173" customWidth="1"/>
    <col min="1554" max="1554" width="11" style="173" customWidth="1"/>
    <col min="1555" max="1555" width="3" style="173" customWidth="1"/>
    <col min="1556" max="1556" width="11.1640625" style="173" customWidth="1"/>
    <col min="1557" max="1557" width="3.5" style="173" customWidth="1"/>
    <col min="1558" max="1793" width="9.33203125" style="173"/>
    <col min="1794" max="1794" width="12.6640625" style="173" customWidth="1"/>
    <col min="1795" max="1795" width="20.6640625" style="173" customWidth="1"/>
    <col min="1796" max="1796" width="13" style="173" customWidth="1"/>
    <col min="1797" max="1797" width="3" style="173" customWidth="1"/>
    <col min="1798" max="1798" width="16.1640625" style="173" customWidth="1"/>
    <col min="1799" max="1799" width="2.83203125" style="173" customWidth="1"/>
    <col min="1800" max="1800" width="13.33203125" style="173" customWidth="1"/>
    <col min="1801" max="1801" width="3.33203125" style="173" customWidth="1"/>
    <col min="1802" max="1802" width="11.83203125" style="173" customWidth="1"/>
    <col min="1803" max="1803" width="3" style="173" customWidth="1"/>
    <col min="1804" max="1804" width="16" style="173" customWidth="1"/>
    <col min="1805" max="1805" width="2.83203125" style="173" customWidth="1"/>
    <col min="1806" max="1806" width="10.5" style="173" customWidth="1"/>
    <col min="1807" max="1807" width="4.1640625" style="173" customWidth="1"/>
    <col min="1808" max="1808" width="10.83203125" style="173" customWidth="1"/>
    <col min="1809" max="1809" width="3.1640625" style="173" customWidth="1"/>
    <col min="1810" max="1810" width="11" style="173" customWidth="1"/>
    <col min="1811" max="1811" width="3" style="173" customWidth="1"/>
    <col min="1812" max="1812" width="11.1640625" style="173" customWidth="1"/>
    <col min="1813" max="1813" width="3.5" style="173" customWidth="1"/>
    <col min="1814" max="2049" width="9.33203125" style="173"/>
    <col min="2050" max="2050" width="12.6640625" style="173" customWidth="1"/>
    <col min="2051" max="2051" width="20.6640625" style="173" customWidth="1"/>
    <col min="2052" max="2052" width="13" style="173" customWidth="1"/>
    <col min="2053" max="2053" width="3" style="173" customWidth="1"/>
    <col min="2054" max="2054" width="16.1640625" style="173" customWidth="1"/>
    <col min="2055" max="2055" width="2.83203125" style="173" customWidth="1"/>
    <col min="2056" max="2056" width="13.33203125" style="173" customWidth="1"/>
    <col min="2057" max="2057" width="3.33203125" style="173" customWidth="1"/>
    <col min="2058" max="2058" width="11.83203125" style="173" customWidth="1"/>
    <col min="2059" max="2059" width="3" style="173" customWidth="1"/>
    <col min="2060" max="2060" width="16" style="173" customWidth="1"/>
    <col min="2061" max="2061" width="2.83203125" style="173" customWidth="1"/>
    <col min="2062" max="2062" width="10.5" style="173" customWidth="1"/>
    <col min="2063" max="2063" width="4.1640625" style="173" customWidth="1"/>
    <col min="2064" max="2064" width="10.83203125" style="173" customWidth="1"/>
    <col min="2065" max="2065" width="3.1640625" style="173" customWidth="1"/>
    <col min="2066" max="2066" width="11" style="173" customWidth="1"/>
    <col min="2067" max="2067" width="3" style="173" customWidth="1"/>
    <col min="2068" max="2068" width="11.1640625" style="173" customWidth="1"/>
    <col min="2069" max="2069" width="3.5" style="173" customWidth="1"/>
    <col min="2070" max="2305" width="9.33203125" style="173"/>
    <col min="2306" max="2306" width="12.6640625" style="173" customWidth="1"/>
    <col min="2307" max="2307" width="20.6640625" style="173" customWidth="1"/>
    <col min="2308" max="2308" width="13" style="173" customWidth="1"/>
    <col min="2309" max="2309" width="3" style="173" customWidth="1"/>
    <col min="2310" max="2310" width="16.1640625" style="173" customWidth="1"/>
    <col min="2311" max="2311" width="2.83203125" style="173" customWidth="1"/>
    <col min="2312" max="2312" width="13.33203125" style="173" customWidth="1"/>
    <col min="2313" max="2313" width="3.33203125" style="173" customWidth="1"/>
    <col min="2314" max="2314" width="11.83203125" style="173" customWidth="1"/>
    <col min="2315" max="2315" width="3" style="173" customWidth="1"/>
    <col min="2316" max="2316" width="16" style="173" customWidth="1"/>
    <col min="2317" max="2317" width="2.83203125" style="173" customWidth="1"/>
    <col min="2318" max="2318" width="10.5" style="173" customWidth="1"/>
    <col min="2319" max="2319" width="4.1640625" style="173" customWidth="1"/>
    <col min="2320" max="2320" width="10.83203125" style="173" customWidth="1"/>
    <col min="2321" max="2321" width="3.1640625" style="173" customWidth="1"/>
    <col min="2322" max="2322" width="11" style="173" customWidth="1"/>
    <col min="2323" max="2323" width="3" style="173" customWidth="1"/>
    <col min="2324" max="2324" width="11.1640625" style="173" customWidth="1"/>
    <col min="2325" max="2325" width="3.5" style="173" customWidth="1"/>
    <col min="2326" max="2561" width="9.33203125" style="173"/>
    <col min="2562" max="2562" width="12.6640625" style="173" customWidth="1"/>
    <col min="2563" max="2563" width="20.6640625" style="173" customWidth="1"/>
    <col min="2564" max="2564" width="13" style="173" customWidth="1"/>
    <col min="2565" max="2565" width="3" style="173" customWidth="1"/>
    <col min="2566" max="2566" width="16.1640625" style="173" customWidth="1"/>
    <col min="2567" max="2567" width="2.83203125" style="173" customWidth="1"/>
    <col min="2568" max="2568" width="13.33203125" style="173" customWidth="1"/>
    <col min="2569" max="2569" width="3.33203125" style="173" customWidth="1"/>
    <col min="2570" max="2570" width="11.83203125" style="173" customWidth="1"/>
    <col min="2571" max="2571" width="3" style="173" customWidth="1"/>
    <col min="2572" max="2572" width="16" style="173" customWidth="1"/>
    <col min="2573" max="2573" width="2.83203125" style="173" customWidth="1"/>
    <col min="2574" max="2574" width="10.5" style="173" customWidth="1"/>
    <col min="2575" max="2575" width="4.1640625" style="173" customWidth="1"/>
    <col min="2576" max="2576" width="10.83203125" style="173" customWidth="1"/>
    <col min="2577" max="2577" width="3.1640625" style="173" customWidth="1"/>
    <col min="2578" max="2578" width="11" style="173" customWidth="1"/>
    <col min="2579" max="2579" width="3" style="173" customWidth="1"/>
    <col min="2580" max="2580" width="11.1640625" style="173" customWidth="1"/>
    <col min="2581" max="2581" width="3.5" style="173" customWidth="1"/>
    <col min="2582" max="2817" width="9.33203125" style="173"/>
    <col min="2818" max="2818" width="12.6640625" style="173" customWidth="1"/>
    <col min="2819" max="2819" width="20.6640625" style="173" customWidth="1"/>
    <col min="2820" max="2820" width="13" style="173" customWidth="1"/>
    <col min="2821" max="2821" width="3" style="173" customWidth="1"/>
    <col min="2822" max="2822" width="16.1640625" style="173" customWidth="1"/>
    <col min="2823" max="2823" width="2.83203125" style="173" customWidth="1"/>
    <col min="2824" max="2824" width="13.33203125" style="173" customWidth="1"/>
    <col min="2825" max="2825" width="3.33203125" style="173" customWidth="1"/>
    <col min="2826" max="2826" width="11.83203125" style="173" customWidth="1"/>
    <col min="2827" max="2827" width="3" style="173" customWidth="1"/>
    <col min="2828" max="2828" width="16" style="173" customWidth="1"/>
    <col min="2829" max="2829" width="2.83203125" style="173" customWidth="1"/>
    <col min="2830" max="2830" width="10.5" style="173" customWidth="1"/>
    <col min="2831" max="2831" width="4.1640625" style="173" customWidth="1"/>
    <col min="2832" max="2832" width="10.83203125" style="173" customWidth="1"/>
    <col min="2833" max="2833" width="3.1640625" style="173" customWidth="1"/>
    <col min="2834" max="2834" width="11" style="173" customWidth="1"/>
    <col min="2835" max="2835" width="3" style="173" customWidth="1"/>
    <col min="2836" max="2836" width="11.1640625" style="173" customWidth="1"/>
    <col min="2837" max="2837" width="3.5" style="173" customWidth="1"/>
    <col min="2838" max="3073" width="9.33203125" style="173"/>
    <col min="3074" max="3074" width="12.6640625" style="173" customWidth="1"/>
    <col min="3075" max="3075" width="20.6640625" style="173" customWidth="1"/>
    <col min="3076" max="3076" width="13" style="173" customWidth="1"/>
    <col min="3077" max="3077" width="3" style="173" customWidth="1"/>
    <col min="3078" max="3078" width="16.1640625" style="173" customWidth="1"/>
    <col min="3079" max="3079" width="2.83203125" style="173" customWidth="1"/>
    <col min="3080" max="3080" width="13.33203125" style="173" customWidth="1"/>
    <col min="3081" max="3081" width="3.33203125" style="173" customWidth="1"/>
    <col min="3082" max="3082" width="11.83203125" style="173" customWidth="1"/>
    <col min="3083" max="3083" width="3" style="173" customWidth="1"/>
    <col min="3084" max="3084" width="16" style="173" customWidth="1"/>
    <col min="3085" max="3085" width="2.83203125" style="173" customWidth="1"/>
    <col min="3086" max="3086" width="10.5" style="173" customWidth="1"/>
    <col min="3087" max="3087" width="4.1640625" style="173" customWidth="1"/>
    <col min="3088" max="3088" width="10.83203125" style="173" customWidth="1"/>
    <col min="3089" max="3089" width="3.1640625" style="173" customWidth="1"/>
    <col min="3090" max="3090" width="11" style="173" customWidth="1"/>
    <col min="3091" max="3091" width="3" style="173" customWidth="1"/>
    <col min="3092" max="3092" width="11.1640625" style="173" customWidth="1"/>
    <col min="3093" max="3093" width="3.5" style="173" customWidth="1"/>
    <col min="3094" max="3329" width="9.33203125" style="173"/>
    <col min="3330" max="3330" width="12.6640625" style="173" customWidth="1"/>
    <col min="3331" max="3331" width="20.6640625" style="173" customWidth="1"/>
    <col min="3332" max="3332" width="13" style="173" customWidth="1"/>
    <col min="3333" max="3333" width="3" style="173" customWidth="1"/>
    <col min="3334" max="3334" width="16.1640625" style="173" customWidth="1"/>
    <col min="3335" max="3335" width="2.83203125" style="173" customWidth="1"/>
    <col min="3336" max="3336" width="13.33203125" style="173" customWidth="1"/>
    <col min="3337" max="3337" width="3.33203125" style="173" customWidth="1"/>
    <col min="3338" max="3338" width="11.83203125" style="173" customWidth="1"/>
    <col min="3339" max="3339" width="3" style="173" customWidth="1"/>
    <col min="3340" max="3340" width="16" style="173" customWidth="1"/>
    <col min="3341" max="3341" width="2.83203125" style="173" customWidth="1"/>
    <col min="3342" max="3342" width="10.5" style="173" customWidth="1"/>
    <col min="3343" max="3343" width="4.1640625" style="173" customWidth="1"/>
    <col min="3344" max="3344" width="10.83203125" style="173" customWidth="1"/>
    <col min="3345" max="3345" width="3.1640625" style="173" customWidth="1"/>
    <col min="3346" max="3346" width="11" style="173" customWidth="1"/>
    <col min="3347" max="3347" width="3" style="173" customWidth="1"/>
    <col min="3348" max="3348" width="11.1640625" style="173" customWidth="1"/>
    <col min="3349" max="3349" width="3.5" style="173" customWidth="1"/>
    <col min="3350" max="3585" width="9.33203125" style="173"/>
    <col min="3586" max="3586" width="12.6640625" style="173" customWidth="1"/>
    <col min="3587" max="3587" width="20.6640625" style="173" customWidth="1"/>
    <col min="3588" max="3588" width="13" style="173" customWidth="1"/>
    <col min="3589" max="3589" width="3" style="173" customWidth="1"/>
    <col min="3590" max="3590" width="16.1640625" style="173" customWidth="1"/>
    <col min="3591" max="3591" width="2.83203125" style="173" customWidth="1"/>
    <col min="3592" max="3592" width="13.33203125" style="173" customWidth="1"/>
    <col min="3593" max="3593" width="3.33203125" style="173" customWidth="1"/>
    <col min="3594" max="3594" width="11.83203125" style="173" customWidth="1"/>
    <col min="3595" max="3595" width="3" style="173" customWidth="1"/>
    <col min="3596" max="3596" width="16" style="173" customWidth="1"/>
    <col min="3597" max="3597" width="2.83203125" style="173" customWidth="1"/>
    <col min="3598" max="3598" width="10.5" style="173" customWidth="1"/>
    <col min="3599" max="3599" width="4.1640625" style="173" customWidth="1"/>
    <col min="3600" max="3600" width="10.83203125" style="173" customWidth="1"/>
    <col min="3601" max="3601" width="3.1640625" style="173" customWidth="1"/>
    <col min="3602" max="3602" width="11" style="173" customWidth="1"/>
    <col min="3603" max="3603" width="3" style="173" customWidth="1"/>
    <col min="3604" max="3604" width="11.1640625" style="173" customWidth="1"/>
    <col min="3605" max="3605" width="3.5" style="173" customWidth="1"/>
    <col min="3606" max="3841" width="9.33203125" style="173"/>
    <col min="3842" max="3842" width="12.6640625" style="173" customWidth="1"/>
    <col min="3843" max="3843" width="20.6640625" style="173" customWidth="1"/>
    <col min="3844" max="3844" width="13" style="173" customWidth="1"/>
    <col min="3845" max="3845" width="3" style="173" customWidth="1"/>
    <col min="3846" max="3846" width="16.1640625" style="173" customWidth="1"/>
    <col min="3847" max="3847" width="2.83203125" style="173" customWidth="1"/>
    <col min="3848" max="3848" width="13.33203125" style="173" customWidth="1"/>
    <col min="3849" max="3849" width="3.33203125" style="173" customWidth="1"/>
    <col min="3850" max="3850" width="11.83203125" style="173" customWidth="1"/>
    <col min="3851" max="3851" width="3" style="173" customWidth="1"/>
    <col min="3852" max="3852" width="16" style="173" customWidth="1"/>
    <col min="3853" max="3853" width="2.83203125" style="173" customWidth="1"/>
    <col min="3854" max="3854" width="10.5" style="173" customWidth="1"/>
    <col min="3855" max="3855" width="4.1640625" style="173" customWidth="1"/>
    <col min="3856" max="3856" width="10.83203125" style="173" customWidth="1"/>
    <col min="3857" max="3857" width="3.1640625" style="173" customWidth="1"/>
    <col min="3858" max="3858" width="11" style="173" customWidth="1"/>
    <col min="3859" max="3859" width="3" style="173" customWidth="1"/>
    <col min="3860" max="3860" width="11.1640625" style="173" customWidth="1"/>
    <col min="3861" max="3861" width="3.5" style="173" customWidth="1"/>
    <col min="3862" max="4097" width="9.33203125" style="173"/>
    <col min="4098" max="4098" width="12.6640625" style="173" customWidth="1"/>
    <col min="4099" max="4099" width="20.6640625" style="173" customWidth="1"/>
    <col min="4100" max="4100" width="13" style="173" customWidth="1"/>
    <col min="4101" max="4101" width="3" style="173" customWidth="1"/>
    <col min="4102" max="4102" width="16.1640625" style="173" customWidth="1"/>
    <col min="4103" max="4103" width="2.83203125" style="173" customWidth="1"/>
    <col min="4104" max="4104" width="13.33203125" style="173" customWidth="1"/>
    <col min="4105" max="4105" width="3.33203125" style="173" customWidth="1"/>
    <col min="4106" max="4106" width="11.83203125" style="173" customWidth="1"/>
    <col min="4107" max="4107" width="3" style="173" customWidth="1"/>
    <col min="4108" max="4108" width="16" style="173" customWidth="1"/>
    <col min="4109" max="4109" width="2.83203125" style="173" customWidth="1"/>
    <col min="4110" max="4110" width="10.5" style="173" customWidth="1"/>
    <col min="4111" max="4111" width="4.1640625" style="173" customWidth="1"/>
    <col min="4112" max="4112" width="10.83203125" style="173" customWidth="1"/>
    <col min="4113" max="4113" width="3.1640625" style="173" customWidth="1"/>
    <col min="4114" max="4114" width="11" style="173" customWidth="1"/>
    <col min="4115" max="4115" width="3" style="173" customWidth="1"/>
    <col min="4116" max="4116" width="11.1640625" style="173" customWidth="1"/>
    <col min="4117" max="4117" width="3.5" style="173" customWidth="1"/>
    <col min="4118" max="4353" width="9.33203125" style="173"/>
    <col min="4354" max="4354" width="12.6640625" style="173" customWidth="1"/>
    <col min="4355" max="4355" width="20.6640625" style="173" customWidth="1"/>
    <col min="4356" max="4356" width="13" style="173" customWidth="1"/>
    <col min="4357" max="4357" width="3" style="173" customWidth="1"/>
    <col min="4358" max="4358" width="16.1640625" style="173" customWidth="1"/>
    <col min="4359" max="4359" width="2.83203125" style="173" customWidth="1"/>
    <col min="4360" max="4360" width="13.33203125" style="173" customWidth="1"/>
    <col min="4361" max="4361" width="3.33203125" style="173" customWidth="1"/>
    <col min="4362" max="4362" width="11.83203125" style="173" customWidth="1"/>
    <col min="4363" max="4363" width="3" style="173" customWidth="1"/>
    <col min="4364" max="4364" width="16" style="173" customWidth="1"/>
    <col min="4365" max="4365" width="2.83203125" style="173" customWidth="1"/>
    <col min="4366" max="4366" width="10.5" style="173" customWidth="1"/>
    <col min="4367" max="4367" width="4.1640625" style="173" customWidth="1"/>
    <col min="4368" max="4368" width="10.83203125" style="173" customWidth="1"/>
    <col min="4369" max="4369" width="3.1640625" style="173" customWidth="1"/>
    <col min="4370" max="4370" width="11" style="173" customWidth="1"/>
    <col min="4371" max="4371" width="3" style="173" customWidth="1"/>
    <col min="4372" max="4372" width="11.1640625" style="173" customWidth="1"/>
    <col min="4373" max="4373" width="3.5" style="173" customWidth="1"/>
    <col min="4374" max="4609" width="9.33203125" style="173"/>
    <col min="4610" max="4610" width="12.6640625" style="173" customWidth="1"/>
    <col min="4611" max="4611" width="20.6640625" style="173" customWidth="1"/>
    <col min="4612" max="4612" width="13" style="173" customWidth="1"/>
    <col min="4613" max="4613" width="3" style="173" customWidth="1"/>
    <col min="4614" max="4614" width="16.1640625" style="173" customWidth="1"/>
    <col min="4615" max="4615" width="2.83203125" style="173" customWidth="1"/>
    <col min="4616" max="4616" width="13.33203125" style="173" customWidth="1"/>
    <col min="4617" max="4617" width="3.33203125" style="173" customWidth="1"/>
    <col min="4618" max="4618" width="11.83203125" style="173" customWidth="1"/>
    <col min="4619" max="4619" width="3" style="173" customWidth="1"/>
    <col min="4620" max="4620" width="16" style="173" customWidth="1"/>
    <col min="4621" max="4621" width="2.83203125" style="173" customWidth="1"/>
    <col min="4622" max="4622" width="10.5" style="173" customWidth="1"/>
    <col min="4623" max="4623" width="4.1640625" style="173" customWidth="1"/>
    <col min="4624" max="4624" width="10.83203125" style="173" customWidth="1"/>
    <col min="4625" max="4625" width="3.1640625" style="173" customWidth="1"/>
    <col min="4626" max="4626" width="11" style="173" customWidth="1"/>
    <col min="4627" max="4627" width="3" style="173" customWidth="1"/>
    <col min="4628" max="4628" width="11.1640625" style="173" customWidth="1"/>
    <col min="4629" max="4629" width="3.5" style="173" customWidth="1"/>
    <col min="4630" max="4865" width="9.33203125" style="173"/>
    <col min="4866" max="4866" width="12.6640625" style="173" customWidth="1"/>
    <col min="4867" max="4867" width="20.6640625" style="173" customWidth="1"/>
    <col min="4868" max="4868" width="13" style="173" customWidth="1"/>
    <col min="4869" max="4869" width="3" style="173" customWidth="1"/>
    <col min="4870" max="4870" width="16.1640625" style="173" customWidth="1"/>
    <col min="4871" max="4871" width="2.83203125" style="173" customWidth="1"/>
    <col min="4872" max="4872" width="13.33203125" style="173" customWidth="1"/>
    <col min="4873" max="4873" width="3.33203125" style="173" customWidth="1"/>
    <col min="4874" max="4874" width="11.83203125" style="173" customWidth="1"/>
    <col min="4875" max="4875" width="3" style="173" customWidth="1"/>
    <col min="4876" max="4876" width="16" style="173" customWidth="1"/>
    <col min="4877" max="4877" width="2.83203125" style="173" customWidth="1"/>
    <col min="4878" max="4878" width="10.5" style="173" customWidth="1"/>
    <col min="4879" max="4879" width="4.1640625" style="173" customWidth="1"/>
    <col min="4880" max="4880" width="10.83203125" style="173" customWidth="1"/>
    <col min="4881" max="4881" width="3.1640625" style="173" customWidth="1"/>
    <col min="4882" max="4882" width="11" style="173" customWidth="1"/>
    <col min="4883" max="4883" width="3" style="173" customWidth="1"/>
    <col min="4884" max="4884" width="11.1640625" style="173" customWidth="1"/>
    <col min="4885" max="4885" width="3.5" style="173" customWidth="1"/>
    <col min="4886" max="5121" width="9.33203125" style="173"/>
    <col min="5122" max="5122" width="12.6640625" style="173" customWidth="1"/>
    <col min="5123" max="5123" width="20.6640625" style="173" customWidth="1"/>
    <col min="5124" max="5124" width="13" style="173" customWidth="1"/>
    <col min="5125" max="5125" width="3" style="173" customWidth="1"/>
    <col min="5126" max="5126" width="16.1640625" style="173" customWidth="1"/>
    <col min="5127" max="5127" width="2.83203125" style="173" customWidth="1"/>
    <col min="5128" max="5128" width="13.33203125" style="173" customWidth="1"/>
    <col min="5129" max="5129" width="3.33203125" style="173" customWidth="1"/>
    <col min="5130" max="5130" width="11.83203125" style="173" customWidth="1"/>
    <col min="5131" max="5131" width="3" style="173" customWidth="1"/>
    <col min="5132" max="5132" width="16" style="173" customWidth="1"/>
    <col min="5133" max="5133" width="2.83203125" style="173" customWidth="1"/>
    <col min="5134" max="5134" width="10.5" style="173" customWidth="1"/>
    <col min="5135" max="5135" width="4.1640625" style="173" customWidth="1"/>
    <col min="5136" max="5136" width="10.83203125" style="173" customWidth="1"/>
    <col min="5137" max="5137" width="3.1640625" style="173" customWidth="1"/>
    <col min="5138" max="5138" width="11" style="173" customWidth="1"/>
    <col min="5139" max="5139" width="3" style="173" customWidth="1"/>
    <col min="5140" max="5140" width="11.1640625" style="173" customWidth="1"/>
    <col min="5141" max="5141" width="3.5" style="173" customWidth="1"/>
    <col min="5142" max="5377" width="9.33203125" style="173"/>
    <col min="5378" max="5378" width="12.6640625" style="173" customWidth="1"/>
    <col min="5379" max="5379" width="20.6640625" style="173" customWidth="1"/>
    <col min="5380" max="5380" width="13" style="173" customWidth="1"/>
    <col min="5381" max="5381" width="3" style="173" customWidth="1"/>
    <col min="5382" max="5382" width="16.1640625" style="173" customWidth="1"/>
    <col min="5383" max="5383" width="2.83203125" style="173" customWidth="1"/>
    <col min="5384" max="5384" width="13.33203125" style="173" customWidth="1"/>
    <col min="5385" max="5385" width="3.33203125" style="173" customWidth="1"/>
    <col min="5386" max="5386" width="11.83203125" style="173" customWidth="1"/>
    <col min="5387" max="5387" width="3" style="173" customWidth="1"/>
    <col min="5388" max="5388" width="16" style="173" customWidth="1"/>
    <col min="5389" max="5389" width="2.83203125" style="173" customWidth="1"/>
    <col min="5390" max="5390" width="10.5" style="173" customWidth="1"/>
    <col min="5391" max="5391" width="4.1640625" style="173" customWidth="1"/>
    <col min="5392" max="5392" width="10.83203125" style="173" customWidth="1"/>
    <col min="5393" max="5393" width="3.1640625" style="173" customWidth="1"/>
    <col min="5394" max="5394" width="11" style="173" customWidth="1"/>
    <col min="5395" max="5395" width="3" style="173" customWidth="1"/>
    <col min="5396" max="5396" width="11.1640625" style="173" customWidth="1"/>
    <col min="5397" max="5397" width="3.5" style="173" customWidth="1"/>
    <col min="5398" max="5633" width="9.33203125" style="173"/>
    <col min="5634" max="5634" width="12.6640625" style="173" customWidth="1"/>
    <col min="5635" max="5635" width="20.6640625" style="173" customWidth="1"/>
    <col min="5636" max="5636" width="13" style="173" customWidth="1"/>
    <col min="5637" max="5637" width="3" style="173" customWidth="1"/>
    <col min="5638" max="5638" width="16.1640625" style="173" customWidth="1"/>
    <col min="5639" max="5639" width="2.83203125" style="173" customWidth="1"/>
    <col min="5640" max="5640" width="13.33203125" style="173" customWidth="1"/>
    <col min="5641" max="5641" width="3.33203125" style="173" customWidth="1"/>
    <col min="5642" max="5642" width="11.83203125" style="173" customWidth="1"/>
    <col min="5643" max="5643" width="3" style="173" customWidth="1"/>
    <col min="5644" max="5644" width="16" style="173" customWidth="1"/>
    <col min="5645" max="5645" width="2.83203125" style="173" customWidth="1"/>
    <col min="5646" max="5646" width="10.5" style="173" customWidth="1"/>
    <col min="5647" max="5647" width="4.1640625" style="173" customWidth="1"/>
    <col min="5648" max="5648" width="10.83203125" style="173" customWidth="1"/>
    <col min="5649" max="5649" width="3.1640625" style="173" customWidth="1"/>
    <col min="5650" max="5650" width="11" style="173" customWidth="1"/>
    <col min="5651" max="5651" width="3" style="173" customWidth="1"/>
    <col min="5652" max="5652" width="11.1640625" style="173" customWidth="1"/>
    <col min="5653" max="5653" width="3.5" style="173" customWidth="1"/>
    <col min="5654" max="5889" width="9.33203125" style="173"/>
    <col min="5890" max="5890" width="12.6640625" style="173" customWidth="1"/>
    <col min="5891" max="5891" width="20.6640625" style="173" customWidth="1"/>
    <col min="5892" max="5892" width="13" style="173" customWidth="1"/>
    <col min="5893" max="5893" width="3" style="173" customWidth="1"/>
    <col min="5894" max="5894" width="16.1640625" style="173" customWidth="1"/>
    <col min="5895" max="5895" width="2.83203125" style="173" customWidth="1"/>
    <col min="5896" max="5896" width="13.33203125" style="173" customWidth="1"/>
    <col min="5897" max="5897" width="3.33203125" style="173" customWidth="1"/>
    <col min="5898" max="5898" width="11.83203125" style="173" customWidth="1"/>
    <col min="5899" max="5899" width="3" style="173" customWidth="1"/>
    <col min="5900" max="5900" width="16" style="173" customWidth="1"/>
    <col min="5901" max="5901" width="2.83203125" style="173" customWidth="1"/>
    <col min="5902" max="5902" width="10.5" style="173" customWidth="1"/>
    <col min="5903" max="5903" width="4.1640625" style="173" customWidth="1"/>
    <col min="5904" max="5904" width="10.83203125" style="173" customWidth="1"/>
    <col min="5905" max="5905" width="3.1640625" style="173" customWidth="1"/>
    <col min="5906" max="5906" width="11" style="173" customWidth="1"/>
    <col min="5907" max="5907" width="3" style="173" customWidth="1"/>
    <col min="5908" max="5908" width="11.1640625" style="173" customWidth="1"/>
    <col min="5909" max="5909" width="3.5" style="173" customWidth="1"/>
    <col min="5910" max="6145" width="9.33203125" style="173"/>
    <col min="6146" max="6146" width="12.6640625" style="173" customWidth="1"/>
    <col min="6147" max="6147" width="20.6640625" style="173" customWidth="1"/>
    <col min="6148" max="6148" width="13" style="173" customWidth="1"/>
    <col min="6149" max="6149" width="3" style="173" customWidth="1"/>
    <col min="6150" max="6150" width="16.1640625" style="173" customWidth="1"/>
    <col min="6151" max="6151" width="2.83203125" style="173" customWidth="1"/>
    <col min="6152" max="6152" width="13.33203125" style="173" customWidth="1"/>
    <col min="6153" max="6153" width="3.33203125" style="173" customWidth="1"/>
    <col min="6154" max="6154" width="11.83203125" style="173" customWidth="1"/>
    <col min="6155" max="6155" width="3" style="173" customWidth="1"/>
    <col min="6156" max="6156" width="16" style="173" customWidth="1"/>
    <col min="6157" max="6157" width="2.83203125" style="173" customWidth="1"/>
    <col min="6158" max="6158" width="10.5" style="173" customWidth="1"/>
    <col min="6159" max="6159" width="4.1640625" style="173" customWidth="1"/>
    <col min="6160" max="6160" width="10.83203125" style="173" customWidth="1"/>
    <col min="6161" max="6161" width="3.1640625" style="173" customWidth="1"/>
    <col min="6162" max="6162" width="11" style="173" customWidth="1"/>
    <col min="6163" max="6163" width="3" style="173" customWidth="1"/>
    <col min="6164" max="6164" width="11.1640625" style="173" customWidth="1"/>
    <col min="6165" max="6165" width="3.5" style="173" customWidth="1"/>
    <col min="6166" max="6401" width="9.33203125" style="173"/>
    <col min="6402" max="6402" width="12.6640625" style="173" customWidth="1"/>
    <col min="6403" max="6403" width="20.6640625" style="173" customWidth="1"/>
    <col min="6404" max="6404" width="13" style="173" customWidth="1"/>
    <col min="6405" max="6405" width="3" style="173" customWidth="1"/>
    <col min="6406" max="6406" width="16.1640625" style="173" customWidth="1"/>
    <col min="6407" max="6407" width="2.83203125" style="173" customWidth="1"/>
    <col min="6408" max="6408" width="13.33203125" style="173" customWidth="1"/>
    <col min="6409" max="6409" width="3.33203125" style="173" customWidth="1"/>
    <col min="6410" max="6410" width="11.83203125" style="173" customWidth="1"/>
    <col min="6411" max="6411" width="3" style="173" customWidth="1"/>
    <col min="6412" max="6412" width="16" style="173" customWidth="1"/>
    <col min="6413" max="6413" width="2.83203125" style="173" customWidth="1"/>
    <col min="6414" max="6414" width="10.5" style="173" customWidth="1"/>
    <col min="6415" max="6415" width="4.1640625" style="173" customWidth="1"/>
    <col min="6416" max="6416" width="10.83203125" style="173" customWidth="1"/>
    <col min="6417" max="6417" width="3.1640625" style="173" customWidth="1"/>
    <col min="6418" max="6418" width="11" style="173" customWidth="1"/>
    <col min="6419" max="6419" width="3" style="173" customWidth="1"/>
    <col min="6420" max="6420" width="11.1640625" style="173" customWidth="1"/>
    <col min="6421" max="6421" width="3.5" style="173" customWidth="1"/>
    <col min="6422" max="6657" width="9.33203125" style="173"/>
    <col min="6658" max="6658" width="12.6640625" style="173" customWidth="1"/>
    <col min="6659" max="6659" width="20.6640625" style="173" customWidth="1"/>
    <col min="6660" max="6660" width="13" style="173" customWidth="1"/>
    <col min="6661" max="6661" width="3" style="173" customWidth="1"/>
    <col min="6662" max="6662" width="16.1640625" style="173" customWidth="1"/>
    <col min="6663" max="6663" width="2.83203125" style="173" customWidth="1"/>
    <col min="6664" max="6664" width="13.33203125" style="173" customWidth="1"/>
    <col min="6665" max="6665" width="3.33203125" style="173" customWidth="1"/>
    <col min="6666" max="6666" width="11.83203125" style="173" customWidth="1"/>
    <col min="6667" max="6667" width="3" style="173" customWidth="1"/>
    <col min="6668" max="6668" width="16" style="173" customWidth="1"/>
    <col min="6669" max="6669" width="2.83203125" style="173" customWidth="1"/>
    <col min="6670" max="6670" width="10.5" style="173" customWidth="1"/>
    <col min="6671" max="6671" width="4.1640625" style="173" customWidth="1"/>
    <col min="6672" max="6672" width="10.83203125" style="173" customWidth="1"/>
    <col min="6673" max="6673" width="3.1640625" style="173" customWidth="1"/>
    <col min="6674" max="6674" width="11" style="173" customWidth="1"/>
    <col min="6675" max="6675" width="3" style="173" customWidth="1"/>
    <col min="6676" max="6676" width="11.1640625" style="173" customWidth="1"/>
    <col min="6677" max="6677" width="3.5" style="173" customWidth="1"/>
    <col min="6678" max="6913" width="9.33203125" style="173"/>
    <col min="6914" max="6914" width="12.6640625" style="173" customWidth="1"/>
    <col min="6915" max="6915" width="20.6640625" style="173" customWidth="1"/>
    <col min="6916" max="6916" width="13" style="173" customWidth="1"/>
    <col min="6917" max="6917" width="3" style="173" customWidth="1"/>
    <col min="6918" max="6918" width="16.1640625" style="173" customWidth="1"/>
    <col min="6919" max="6919" width="2.83203125" style="173" customWidth="1"/>
    <col min="6920" max="6920" width="13.33203125" style="173" customWidth="1"/>
    <col min="6921" max="6921" width="3.33203125" style="173" customWidth="1"/>
    <col min="6922" max="6922" width="11.83203125" style="173" customWidth="1"/>
    <col min="6923" max="6923" width="3" style="173" customWidth="1"/>
    <col min="6924" max="6924" width="16" style="173" customWidth="1"/>
    <col min="6925" max="6925" width="2.83203125" style="173" customWidth="1"/>
    <col min="6926" max="6926" width="10.5" style="173" customWidth="1"/>
    <col min="6927" max="6927" width="4.1640625" style="173" customWidth="1"/>
    <col min="6928" max="6928" width="10.83203125" style="173" customWidth="1"/>
    <col min="6929" max="6929" width="3.1640625" style="173" customWidth="1"/>
    <col min="6930" max="6930" width="11" style="173" customWidth="1"/>
    <col min="6931" max="6931" width="3" style="173" customWidth="1"/>
    <col min="6932" max="6932" width="11.1640625" style="173" customWidth="1"/>
    <col min="6933" max="6933" width="3.5" style="173" customWidth="1"/>
    <col min="6934" max="7169" width="9.33203125" style="173"/>
    <col min="7170" max="7170" width="12.6640625" style="173" customWidth="1"/>
    <col min="7171" max="7171" width="20.6640625" style="173" customWidth="1"/>
    <col min="7172" max="7172" width="13" style="173" customWidth="1"/>
    <col min="7173" max="7173" width="3" style="173" customWidth="1"/>
    <col min="7174" max="7174" width="16.1640625" style="173" customWidth="1"/>
    <col min="7175" max="7175" width="2.83203125" style="173" customWidth="1"/>
    <col min="7176" max="7176" width="13.33203125" style="173" customWidth="1"/>
    <col min="7177" max="7177" width="3.33203125" style="173" customWidth="1"/>
    <col min="7178" max="7178" width="11.83203125" style="173" customWidth="1"/>
    <col min="7179" max="7179" width="3" style="173" customWidth="1"/>
    <col min="7180" max="7180" width="16" style="173" customWidth="1"/>
    <col min="7181" max="7181" width="2.83203125" style="173" customWidth="1"/>
    <col min="7182" max="7182" width="10.5" style="173" customWidth="1"/>
    <col min="7183" max="7183" width="4.1640625" style="173" customWidth="1"/>
    <col min="7184" max="7184" width="10.83203125" style="173" customWidth="1"/>
    <col min="7185" max="7185" width="3.1640625" style="173" customWidth="1"/>
    <col min="7186" max="7186" width="11" style="173" customWidth="1"/>
    <col min="7187" max="7187" width="3" style="173" customWidth="1"/>
    <col min="7188" max="7188" width="11.1640625" style="173" customWidth="1"/>
    <col min="7189" max="7189" width="3.5" style="173" customWidth="1"/>
    <col min="7190" max="7425" width="9.33203125" style="173"/>
    <col min="7426" max="7426" width="12.6640625" style="173" customWidth="1"/>
    <col min="7427" max="7427" width="20.6640625" style="173" customWidth="1"/>
    <col min="7428" max="7428" width="13" style="173" customWidth="1"/>
    <col min="7429" max="7429" width="3" style="173" customWidth="1"/>
    <col min="7430" max="7430" width="16.1640625" style="173" customWidth="1"/>
    <col min="7431" max="7431" width="2.83203125" style="173" customWidth="1"/>
    <col min="7432" max="7432" width="13.33203125" style="173" customWidth="1"/>
    <col min="7433" max="7433" width="3.33203125" style="173" customWidth="1"/>
    <col min="7434" max="7434" width="11.83203125" style="173" customWidth="1"/>
    <col min="7435" max="7435" width="3" style="173" customWidth="1"/>
    <col min="7436" max="7436" width="16" style="173" customWidth="1"/>
    <col min="7437" max="7437" width="2.83203125" style="173" customWidth="1"/>
    <col min="7438" max="7438" width="10.5" style="173" customWidth="1"/>
    <col min="7439" max="7439" width="4.1640625" style="173" customWidth="1"/>
    <col min="7440" max="7440" width="10.83203125" style="173" customWidth="1"/>
    <col min="7441" max="7441" width="3.1640625" style="173" customWidth="1"/>
    <col min="7442" max="7442" width="11" style="173" customWidth="1"/>
    <col min="7443" max="7443" width="3" style="173" customWidth="1"/>
    <col min="7444" max="7444" width="11.1640625" style="173" customWidth="1"/>
    <col min="7445" max="7445" width="3.5" style="173" customWidth="1"/>
    <col min="7446" max="7681" width="9.33203125" style="173"/>
    <col min="7682" max="7682" width="12.6640625" style="173" customWidth="1"/>
    <col min="7683" max="7683" width="20.6640625" style="173" customWidth="1"/>
    <col min="7684" max="7684" width="13" style="173" customWidth="1"/>
    <col min="7685" max="7685" width="3" style="173" customWidth="1"/>
    <col min="7686" max="7686" width="16.1640625" style="173" customWidth="1"/>
    <col min="7687" max="7687" width="2.83203125" style="173" customWidth="1"/>
    <col min="7688" max="7688" width="13.33203125" style="173" customWidth="1"/>
    <col min="7689" max="7689" width="3.33203125" style="173" customWidth="1"/>
    <col min="7690" max="7690" width="11.83203125" style="173" customWidth="1"/>
    <col min="7691" max="7691" width="3" style="173" customWidth="1"/>
    <col min="7692" max="7692" width="16" style="173" customWidth="1"/>
    <col min="7693" max="7693" width="2.83203125" style="173" customWidth="1"/>
    <col min="7694" max="7694" width="10.5" style="173" customWidth="1"/>
    <col min="7695" max="7695" width="4.1640625" style="173" customWidth="1"/>
    <col min="7696" max="7696" width="10.83203125" style="173" customWidth="1"/>
    <col min="7697" max="7697" width="3.1640625" style="173" customWidth="1"/>
    <col min="7698" max="7698" width="11" style="173" customWidth="1"/>
    <col min="7699" max="7699" width="3" style="173" customWidth="1"/>
    <col min="7700" max="7700" width="11.1640625" style="173" customWidth="1"/>
    <col min="7701" max="7701" width="3.5" style="173" customWidth="1"/>
    <col min="7702" max="7937" width="9.33203125" style="173"/>
    <col min="7938" max="7938" width="12.6640625" style="173" customWidth="1"/>
    <col min="7939" max="7939" width="20.6640625" style="173" customWidth="1"/>
    <col min="7940" max="7940" width="13" style="173" customWidth="1"/>
    <col min="7941" max="7941" width="3" style="173" customWidth="1"/>
    <col min="7942" max="7942" width="16.1640625" style="173" customWidth="1"/>
    <col min="7943" max="7943" width="2.83203125" style="173" customWidth="1"/>
    <col min="7944" max="7944" width="13.33203125" style="173" customWidth="1"/>
    <col min="7945" max="7945" width="3.33203125" style="173" customWidth="1"/>
    <col min="7946" max="7946" width="11.83203125" style="173" customWidth="1"/>
    <col min="7947" max="7947" width="3" style="173" customWidth="1"/>
    <col min="7948" max="7948" width="16" style="173" customWidth="1"/>
    <col min="7949" max="7949" width="2.83203125" style="173" customWidth="1"/>
    <col min="7950" max="7950" width="10.5" style="173" customWidth="1"/>
    <col min="7951" max="7951" width="4.1640625" style="173" customWidth="1"/>
    <col min="7952" max="7952" width="10.83203125" style="173" customWidth="1"/>
    <col min="7953" max="7953" width="3.1640625" style="173" customWidth="1"/>
    <col min="7954" max="7954" width="11" style="173" customWidth="1"/>
    <col min="7955" max="7955" width="3" style="173" customWidth="1"/>
    <col min="7956" max="7956" width="11.1640625" style="173" customWidth="1"/>
    <col min="7957" max="7957" width="3.5" style="173" customWidth="1"/>
    <col min="7958" max="8193" width="9.33203125" style="173"/>
    <col min="8194" max="8194" width="12.6640625" style="173" customWidth="1"/>
    <col min="8195" max="8195" width="20.6640625" style="173" customWidth="1"/>
    <col min="8196" max="8196" width="13" style="173" customWidth="1"/>
    <col min="8197" max="8197" width="3" style="173" customWidth="1"/>
    <col min="8198" max="8198" width="16.1640625" style="173" customWidth="1"/>
    <col min="8199" max="8199" width="2.83203125" style="173" customWidth="1"/>
    <col min="8200" max="8200" width="13.33203125" style="173" customWidth="1"/>
    <col min="8201" max="8201" width="3.33203125" style="173" customWidth="1"/>
    <col min="8202" max="8202" width="11.83203125" style="173" customWidth="1"/>
    <col min="8203" max="8203" width="3" style="173" customWidth="1"/>
    <col min="8204" max="8204" width="16" style="173" customWidth="1"/>
    <col min="8205" max="8205" width="2.83203125" style="173" customWidth="1"/>
    <col min="8206" max="8206" width="10.5" style="173" customWidth="1"/>
    <col min="8207" max="8207" width="4.1640625" style="173" customWidth="1"/>
    <col min="8208" max="8208" width="10.83203125" style="173" customWidth="1"/>
    <col min="8209" max="8209" width="3.1640625" style="173" customWidth="1"/>
    <col min="8210" max="8210" width="11" style="173" customWidth="1"/>
    <col min="8211" max="8211" width="3" style="173" customWidth="1"/>
    <col min="8212" max="8212" width="11.1640625" style="173" customWidth="1"/>
    <col min="8213" max="8213" width="3.5" style="173" customWidth="1"/>
    <col min="8214" max="8449" width="9.33203125" style="173"/>
    <col min="8450" max="8450" width="12.6640625" style="173" customWidth="1"/>
    <col min="8451" max="8451" width="20.6640625" style="173" customWidth="1"/>
    <col min="8452" max="8452" width="13" style="173" customWidth="1"/>
    <col min="8453" max="8453" width="3" style="173" customWidth="1"/>
    <col min="8454" max="8454" width="16.1640625" style="173" customWidth="1"/>
    <col min="8455" max="8455" width="2.83203125" style="173" customWidth="1"/>
    <col min="8456" max="8456" width="13.33203125" style="173" customWidth="1"/>
    <col min="8457" max="8457" width="3.33203125" style="173" customWidth="1"/>
    <col min="8458" max="8458" width="11.83203125" style="173" customWidth="1"/>
    <col min="8459" max="8459" width="3" style="173" customWidth="1"/>
    <col min="8460" max="8460" width="16" style="173" customWidth="1"/>
    <col min="8461" max="8461" width="2.83203125" style="173" customWidth="1"/>
    <col min="8462" max="8462" width="10.5" style="173" customWidth="1"/>
    <col min="8463" max="8463" width="4.1640625" style="173" customWidth="1"/>
    <col min="8464" max="8464" width="10.83203125" style="173" customWidth="1"/>
    <col min="8465" max="8465" width="3.1640625" style="173" customWidth="1"/>
    <col min="8466" max="8466" width="11" style="173" customWidth="1"/>
    <col min="8467" max="8467" width="3" style="173" customWidth="1"/>
    <col min="8468" max="8468" width="11.1640625" style="173" customWidth="1"/>
    <col min="8469" max="8469" width="3.5" style="173" customWidth="1"/>
    <col min="8470" max="8705" width="9.33203125" style="173"/>
    <col min="8706" max="8706" width="12.6640625" style="173" customWidth="1"/>
    <col min="8707" max="8707" width="20.6640625" style="173" customWidth="1"/>
    <col min="8708" max="8708" width="13" style="173" customWidth="1"/>
    <col min="8709" max="8709" width="3" style="173" customWidth="1"/>
    <col min="8710" max="8710" width="16.1640625" style="173" customWidth="1"/>
    <col min="8711" max="8711" width="2.83203125" style="173" customWidth="1"/>
    <col min="8712" max="8712" width="13.33203125" style="173" customWidth="1"/>
    <col min="8713" max="8713" width="3.33203125" style="173" customWidth="1"/>
    <col min="8714" max="8714" width="11.83203125" style="173" customWidth="1"/>
    <col min="8715" max="8715" width="3" style="173" customWidth="1"/>
    <col min="8716" max="8716" width="16" style="173" customWidth="1"/>
    <col min="8717" max="8717" width="2.83203125" style="173" customWidth="1"/>
    <col min="8718" max="8718" width="10.5" style="173" customWidth="1"/>
    <col min="8719" max="8719" width="4.1640625" style="173" customWidth="1"/>
    <col min="8720" max="8720" width="10.83203125" style="173" customWidth="1"/>
    <col min="8721" max="8721" width="3.1640625" style="173" customWidth="1"/>
    <col min="8722" max="8722" width="11" style="173" customWidth="1"/>
    <col min="8723" max="8723" width="3" style="173" customWidth="1"/>
    <col min="8724" max="8724" width="11.1640625" style="173" customWidth="1"/>
    <col min="8725" max="8725" width="3.5" style="173" customWidth="1"/>
    <col min="8726" max="8961" width="9.33203125" style="173"/>
    <col min="8962" max="8962" width="12.6640625" style="173" customWidth="1"/>
    <col min="8963" max="8963" width="20.6640625" style="173" customWidth="1"/>
    <col min="8964" max="8964" width="13" style="173" customWidth="1"/>
    <col min="8965" max="8965" width="3" style="173" customWidth="1"/>
    <col min="8966" max="8966" width="16.1640625" style="173" customWidth="1"/>
    <col min="8967" max="8967" width="2.83203125" style="173" customWidth="1"/>
    <col min="8968" max="8968" width="13.33203125" style="173" customWidth="1"/>
    <col min="8969" max="8969" width="3.33203125" style="173" customWidth="1"/>
    <col min="8970" max="8970" width="11.83203125" style="173" customWidth="1"/>
    <col min="8971" max="8971" width="3" style="173" customWidth="1"/>
    <col min="8972" max="8972" width="16" style="173" customWidth="1"/>
    <col min="8973" max="8973" width="2.83203125" style="173" customWidth="1"/>
    <col min="8974" max="8974" width="10.5" style="173" customWidth="1"/>
    <col min="8975" max="8975" width="4.1640625" style="173" customWidth="1"/>
    <col min="8976" max="8976" width="10.83203125" style="173" customWidth="1"/>
    <col min="8977" max="8977" width="3.1640625" style="173" customWidth="1"/>
    <col min="8978" max="8978" width="11" style="173" customWidth="1"/>
    <col min="8979" max="8979" width="3" style="173" customWidth="1"/>
    <col min="8980" max="8980" width="11.1640625" style="173" customWidth="1"/>
    <col min="8981" max="8981" width="3.5" style="173" customWidth="1"/>
    <col min="8982" max="9217" width="9.33203125" style="173"/>
    <col min="9218" max="9218" width="12.6640625" style="173" customWidth="1"/>
    <col min="9219" max="9219" width="20.6640625" style="173" customWidth="1"/>
    <col min="9220" max="9220" width="13" style="173" customWidth="1"/>
    <col min="9221" max="9221" width="3" style="173" customWidth="1"/>
    <col min="9222" max="9222" width="16.1640625" style="173" customWidth="1"/>
    <col min="9223" max="9223" width="2.83203125" style="173" customWidth="1"/>
    <col min="9224" max="9224" width="13.33203125" style="173" customWidth="1"/>
    <col min="9225" max="9225" width="3.33203125" style="173" customWidth="1"/>
    <col min="9226" max="9226" width="11.83203125" style="173" customWidth="1"/>
    <col min="9227" max="9227" width="3" style="173" customWidth="1"/>
    <col min="9228" max="9228" width="16" style="173" customWidth="1"/>
    <col min="9229" max="9229" width="2.83203125" style="173" customWidth="1"/>
    <col min="9230" max="9230" width="10.5" style="173" customWidth="1"/>
    <col min="9231" max="9231" width="4.1640625" style="173" customWidth="1"/>
    <col min="9232" max="9232" width="10.83203125" style="173" customWidth="1"/>
    <col min="9233" max="9233" width="3.1640625" style="173" customWidth="1"/>
    <col min="9234" max="9234" width="11" style="173" customWidth="1"/>
    <col min="9235" max="9235" width="3" style="173" customWidth="1"/>
    <col min="9236" max="9236" width="11.1640625" style="173" customWidth="1"/>
    <col min="9237" max="9237" width="3.5" style="173" customWidth="1"/>
    <col min="9238" max="9473" width="9.33203125" style="173"/>
    <col min="9474" max="9474" width="12.6640625" style="173" customWidth="1"/>
    <col min="9475" max="9475" width="20.6640625" style="173" customWidth="1"/>
    <col min="9476" max="9476" width="13" style="173" customWidth="1"/>
    <col min="9477" max="9477" width="3" style="173" customWidth="1"/>
    <col min="9478" max="9478" width="16.1640625" style="173" customWidth="1"/>
    <col min="9479" max="9479" width="2.83203125" style="173" customWidth="1"/>
    <col min="9480" max="9480" width="13.33203125" style="173" customWidth="1"/>
    <col min="9481" max="9481" width="3.33203125" style="173" customWidth="1"/>
    <col min="9482" max="9482" width="11.83203125" style="173" customWidth="1"/>
    <col min="9483" max="9483" width="3" style="173" customWidth="1"/>
    <col min="9484" max="9484" width="16" style="173" customWidth="1"/>
    <col min="9485" max="9485" width="2.83203125" style="173" customWidth="1"/>
    <col min="9486" max="9486" width="10.5" style="173" customWidth="1"/>
    <col min="9487" max="9487" width="4.1640625" style="173" customWidth="1"/>
    <col min="9488" max="9488" width="10.83203125" style="173" customWidth="1"/>
    <col min="9489" max="9489" width="3.1640625" style="173" customWidth="1"/>
    <col min="9490" max="9490" width="11" style="173" customWidth="1"/>
    <col min="9491" max="9491" width="3" style="173" customWidth="1"/>
    <col min="9492" max="9492" width="11.1640625" style="173" customWidth="1"/>
    <col min="9493" max="9493" width="3.5" style="173" customWidth="1"/>
    <col min="9494" max="9729" width="9.33203125" style="173"/>
    <col min="9730" max="9730" width="12.6640625" style="173" customWidth="1"/>
    <col min="9731" max="9731" width="20.6640625" style="173" customWidth="1"/>
    <col min="9732" max="9732" width="13" style="173" customWidth="1"/>
    <col min="9733" max="9733" width="3" style="173" customWidth="1"/>
    <col min="9734" max="9734" width="16.1640625" style="173" customWidth="1"/>
    <col min="9735" max="9735" width="2.83203125" style="173" customWidth="1"/>
    <col min="9736" max="9736" width="13.33203125" style="173" customWidth="1"/>
    <col min="9737" max="9737" width="3.33203125" style="173" customWidth="1"/>
    <col min="9738" max="9738" width="11.83203125" style="173" customWidth="1"/>
    <col min="9739" max="9739" width="3" style="173" customWidth="1"/>
    <col min="9740" max="9740" width="16" style="173" customWidth="1"/>
    <col min="9741" max="9741" width="2.83203125" style="173" customWidth="1"/>
    <col min="9742" max="9742" width="10.5" style="173" customWidth="1"/>
    <col min="9743" max="9743" width="4.1640625" style="173" customWidth="1"/>
    <col min="9744" max="9744" width="10.83203125" style="173" customWidth="1"/>
    <col min="9745" max="9745" width="3.1640625" style="173" customWidth="1"/>
    <col min="9746" max="9746" width="11" style="173" customWidth="1"/>
    <col min="9747" max="9747" width="3" style="173" customWidth="1"/>
    <col min="9748" max="9748" width="11.1640625" style="173" customWidth="1"/>
    <col min="9749" max="9749" width="3.5" style="173" customWidth="1"/>
    <col min="9750" max="9985" width="9.33203125" style="173"/>
    <col min="9986" max="9986" width="12.6640625" style="173" customWidth="1"/>
    <col min="9987" max="9987" width="20.6640625" style="173" customWidth="1"/>
    <col min="9988" max="9988" width="13" style="173" customWidth="1"/>
    <col min="9989" max="9989" width="3" style="173" customWidth="1"/>
    <col min="9990" max="9990" width="16.1640625" style="173" customWidth="1"/>
    <col min="9991" max="9991" width="2.83203125" style="173" customWidth="1"/>
    <col min="9992" max="9992" width="13.33203125" style="173" customWidth="1"/>
    <col min="9993" max="9993" width="3.33203125" style="173" customWidth="1"/>
    <col min="9994" max="9994" width="11.83203125" style="173" customWidth="1"/>
    <col min="9995" max="9995" width="3" style="173" customWidth="1"/>
    <col min="9996" max="9996" width="16" style="173" customWidth="1"/>
    <col min="9997" max="9997" width="2.83203125" style="173" customWidth="1"/>
    <col min="9998" max="9998" width="10.5" style="173" customWidth="1"/>
    <col min="9999" max="9999" width="4.1640625" style="173" customWidth="1"/>
    <col min="10000" max="10000" width="10.83203125" style="173" customWidth="1"/>
    <col min="10001" max="10001" width="3.1640625" style="173" customWidth="1"/>
    <col min="10002" max="10002" width="11" style="173" customWidth="1"/>
    <col min="10003" max="10003" width="3" style="173" customWidth="1"/>
    <col min="10004" max="10004" width="11.1640625" style="173" customWidth="1"/>
    <col min="10005" max="10005" width="3.5" style="173" customWidth="1"/>
    <col min="10006" max="10241" width="9.33203125" style="173"/>
    <col min="10242" max="10242" width="12.6640625" style="173" customWidth="1"/>
    <col min="10243" max="10243" width="20.6640625" style="173" customWidth="1"/>
    <col min="10244" max="10244" width="13" style="173" customWidth="1"/>
    <col min="10245" max="10245" width="3" style="173" customWidth="1"/>
    <col min="10246" max="10246" width="16.1640625" style="173" customWidth="1"/>
    <col min="10247" max="10247" width="2.83203125" style="173" customWidth="1"/>
    <col min="10248" max="10248" width="13.33203125" style="173" customWidth="1"/>
    <col min="10249" max="10249" width="3.33203125" style="173" customWidth="1"/>
    <col min="10250" max="10250" width="11.83203125" style="173" customWidth="1"/>
    <col min="10251" max="10251" width="3" style="173" customWidth="1"/>
    <col min="10252" max="10252" width="16" style="173" customWidth="1"/>
    <col min="10253" max="10253" width="2.83203125" style="173" customWidth="1"/>
    <col min="10254" max="10254" width="10.5" style="173" customWidth="1"/>
    <col min="10255" max="10255" width="4.1640625" style="173" customWidth="1"/>
    <col min="10256" max="10256" width="10.83203125" style="173" customWidth="1"/>
    <col min="10257" max="10257" width="3.1640625" style="173" customWidth="1"/>
    <col min="10258" max="10258" width="11" style="173" customWidth="1"/>
    <col min="10259" max="10259" width="3" style="173" customWidth="1"/>
    <col min="10260" max="10260" width="11.1640625" style="173" customWidth="1"/>
    <col min="10261" max="10261" width="3.5" style="173" customWidth="1"/>
    <col min="10262" max="10497" width="9.33203125" style="173"/>
    <col min="10498" max="10498" width="12.6640625" style="173" customWidth="1"/>
    <col min="10499" max="10499" width="20.6640625" style="173" customWidth="1"/>
    <col min="10500" max="10500" width="13" style="173" customWidth="1"/>
    <col min="10501" max="10501" width="3" style="173" customWidth="1"/>
    <col min="10502" max="10502" width="16.1640625" style="173" customWidth="1"/>
    <col min="10503" max="10503" width="2.83203125" style="173" customWidth="1"/>
    <col min="10504" max="10504" width="13.33203125" style="173" customWidth="1"/>
    <col min="10505" max="10505" width="3.33203125" style="173" customWidth="1"/>
    <col min="10506" max="10506" width="11.83203125" style="173" customWidth="1"/>
    <col min="10507" max="10507" width="3" style="173" customWidth="1"/>
    <col min="10508" max="10508" width="16" style="173" customWidth="1"/>
    <col min="10509" max="10509" width="2.83203125" style="173" customWidth="1"/>
    <col min="10510" max="10510" width="10.5" style="173" customWidth="1"/>
    <col min="10511" max="10511" width="4.1640625" style="173" customWidth="1"/>
    <col min="10512" max="10512" width="10.83203125" style="173" customWidth="1"/>
    <col min="10513" max="10513" width="3.1640625" style="173" customWidth="1"/>
    <col min="10514" max="10514" width="11" style="173" customWidth="1"/>
    <col min="10515" max="10515" width="3" style="173" customWidth="1"/>
    <col min="10516" max="10516" width="11.1640625" style="173" customWidth="1"/>
    <col min="10517" max="10517" width="3.5" style="173" customWidth="1"/>
    <col min="10518" max="10753" width="9.33203125" style="173"/>
    <col min="10754" max="10754" width="12.6640625" style="173" customWidth="1"/>
    <col min="10755" max="10755" width="20.6640625" style="173" customWidth="1"/>
    <col min="10756" max="10756" width="13" style="173" customWidth="1"/>
    <col min="10757" max="10757" width="3" style="173" customWidth="1"/>
    <col min="10758" max="10758" width="16.1640625" style="173" customWidth="1"/>
    <col min="10759" max="10759" width="2.83203125" style="173" customWidth="1"/>
    <col min="10760" max="10760" width="13.33203125" style="173" customWidth="1"/>
    <col min="10761" max="10761" width="3.33203125" style="173" customWidth="1"/>
    <col min="10762" max="10762" width="11.83203125" style="173" customWidth="1"/>
    <col min="10763" max="10763" width="3" style="173" customWidth="1"/>
    <col min="10764" max="10764" width="16" style="173" customWidth="1"/>
    <col min="10765" max="10765" width="2.83203125" style="173" customWidth="1"/>
    <col min="10766" max="10766" width="10.5" style="173" customWidth="1"/>
    <col min="10767" max="10767" width="4.1640625" style="173" customWidth="1"/>
    <col min="10768" max="10768" width="10.83203125" style="173" customWidth="1"/>
    <col min="10769" max="10769" width="3.1640625" style="173" customWidth="1"/>
    <col min="10770" max="10770" width="11" style="173" customWidth="1"/>
    <col min="10771" max="10771" width="3" style="173" customWidth="1"/>
    <col min="10772" max="10772" width="11.1640625" style="173" customWidth="1"/>
    <col min="10773" max="10773" width="3.5" style="173" customWidth="1"/>
    <col min="10774" max="11009" width="9.33203125" style="173"/>
    <col min="11010" max="11010" width="12.6640625" style="173" customWidth="1"/>
    <col min="11011" max="11011" width="20.6640625" style="173" customWidth="1"/>
    <col min="11012" max="11012" width="13" style="173" customWidth="1"/>
    <col min="11013" max="11013" width="3" style="173" customWidth="1"/>
    <col min="11014" max="11014" width="16.1640625" style="173" customWidth="1"/>
    <col min="11015" max="11015" width="2.83203125" style="173" customWidth="1"/>
    <col min="11016" max="11016" width="13.33203125" style="173" customWidth="1"/>
    <col min="11017" max="11017" width="3.33203125" style="173" customWidth="1"/>
    <col min="11018" max="11018" width="11.83203125" style="173" customWidth="1"/>
    <col min="11019" max="11019" width="3" style="173" customWidth="1"/>
    <col min="11020" max="11020" width="16" style="173" customWidth="1"/>
    <col min="11021" max="11021" width="2.83203125" style="173" customWidth="1"/>
    <col min="11022" max="11022" width="10.5" style="173" customWidth="1"/>
    <col min="11023" max="11023" width="4.1640625" style="173" customWidth="1"/>
    <col min="11024" max="11024" width="10.83203125" style="173" customWidth="1"/>
    <col min="11025" max="11025" width="3.1640625" style="173" customWidth="1"/>
    <col min="11026" max="11026" width="11" style="173" customWidth="1"/>
    <col min="11027" max="11027" width="3" style="173" customWidth="1"/>
    <col min="11028" max="11028" width="11.1640625" style="173" customWidth="1"/>
    <col min="11029" max="11029" width="3.5" style="173" customWidth="1"/>
    <col min="11030" max="11265" width="9.33203125" style="173"/>
    <col min="11266" max="11266" width="12.6640625" style="173" customWidth="1"/>
    <col min="11267" max="11267" width="20.6640625" style="173" customWidth="1"/>
    <col min="11268" max="11268" width="13" style="173" customWidth="1"/>
    <col min="11269" max="11269" width="3" style="173" customWidth="1"/>
    <col min="11270" max="11270" width="16.1640625" style="173" customWidth="1"/>
    <col min="11271" max="11271" width="2.83203125" style="173" customWidth="1"/>
    <col min="11272" max="11272" width="13.33203125" style="173" customWidth="1"/>
    <col min="11273" max="11273" width="3.33203125" style="173" customWidth="1"/>
    <col min="11274" max="11274" width="11.83203125" style="173" customWidth="1"/>
    <col min="11275" max="11275" width="3" style="173" customWidth="1"/>
    <col min="11276" max="11276" width="16" style="173" customWidth="1"/>
    <col min="11277" max="11277" width="2.83203125" style="173" customWidth="1"/>
    <col min="11278" max="11278" width="10.5" style="173" customWidth="1"/>
    <col min="11279" max="11279" width="4.1640625" style="173" customWidth="1"/>
    <col min="11280" max="11280" width="10.83203125" style="173" customWidth="1"/>
    <col min="11281" max="11281" width="3.1640625" style="173" customWidth="1"/>
    <col min="11282" max="11282" width="11" style="173" customWidth="1"/>
    <col min="11283" max="11283" width="3" style="173" customWidth="1"/>
    <col min="11284" max="11284" width="11.1640625" style="173" customWidth="1"/>
    <col min="11285" max="11285" width="3.5" style="173" customWidth="1"/>
    <col min="11286" max="11521" width="9.33203125" style="173"/>
    <col min="11522" max="11522" width="12.6640625" style="173" customWidth="1"/>
    <col min="11523" max="11523" width="20.6640625" style="173" customWidth="1"/>
    <col min="11524" max="11524" width="13" style="173" customWidth="1"/>
    <col min="11525" max="11525" width="3" style="173" customWidth="1"/>
    <col min="11526" max="11526" width="16.1640625" style="173" customWidth="1"/>
    <col min="11527" max="11527" width="2.83203125" style="173" customWidth="1"/>
    <col min="11528" max="11528" width="13.33203125" style="173" customWidth="1"/>
    <col min="11529" max="11529" width="3.33203125" style="173" customWidth="1"/>
    <col min="11530" max="11530" width="11.83203125" style="173" customWidth="1"/>
    <col min="11531" max="11531" width="3" style="173" customWidth="1"/>
    <col min="11532" max="11532" width="16" style="173" customWidth="1"/>
    <col min="11533" max="11533" width="2.83203125" style="173" customWidth="1"/>
    <col min="11534" max="11534" width="10.5" style="173" customWidth="1"/>
    <col min="11535" max="11535" width="4.1640625" style="173" customWidth="1"/>
    <col min="11536" max="11536" width="10.83203125" style="173" customWidth="1"/>
    <col min="11537" max="11537" width="3.1640625" style="173" customWidth="1"/>
    <col min="11538" max="11538" width="11" style="173" customWidth="1"/>
    <col min="11539" max="11539" width="3" style="173" customWidth="1"/>
    <col min="11540" max="11540" width="11.1640625" style="173" customWidth="1"/>
    <col min="11541" max="11541" width="3.5" style="173" customWidth="1"/>
    <col min="11542" max="11777" width="9.33203125" style="173"/>
    <col min="11778" max="11778" width="12.6640625" style="173" customWidth="1"/>
    <col min="11779" max="11779" width="20.6640625" style="173" customWidth="1"/>
    <col min="11780" max="11780" width="13" style="173" customWidth="1"/>
    <col min="11781" max="11781" width="3" style="173" customWidth="1"/>
    <col min="11782" max="11782" width="16.1640625" style="173" customWidth="1"/>
    <col min="11783" max="11783" width="2.83203125" style="173" customWidth="1"/>
    <col min="11784" max="11784" width="13.33203125" style="173" customWidth="1"/>
    <col min="11785" max="11785" width="3.33203125" style="173" customWidth="1"/>
    <col min="11786" max="11786" width="11.83203125" style="173" customWidth="1"/>
    <col min="11787" max="11787" width="3" style="173" customWidth="1"/>
    <col min="11788" max="11788" width="16" style="173" customWidth="1"/>
    <col min="11789" max="11789" width="2.83203125" style="173" customWidth="1"/>
    <col min="11790" max="11790" width="10.5" style="173" customWidth="1"/>
    <col min="11791" max="11791" width="4.1640625" style="173" customWidth="1"/>
    <col min="11792" max="11792" width="10.83203125" style="173" customWidth="1"/>
    <col min="11793" max="11793" width="3.1640625" style="173" customWidth="1"/>
    <col min="11794" max="11794" width="11" style="173" customWidth="1"/>
    <col min="11795" max="11795" width="3" style="173" customWidth="1"/>
    <col min="11796" max="11796" width="11.1640625" style="173" customWidth="1"/>
    <col min="11797" max="11797" width="3.5" style="173" customWidth="1"/>
    <col min="11798" max="12033" width="9.33203125" style="173"/>
    <col min="12034" max="12034" width="12.6640625" style="173" customWidth="1"/>
    <col min="12035" max="12035" width="20.6640625" style="173" customWidth="1"/>
    <col min="12036" max="12036" width="13" style="173" customWidth="1"/>
    <col min="12037" max="12037" width="3" style="173" customWidth="1"/>
    <col min="12038" max="12038" width="16.1640625" style="173" customWidth="1"/>
    <col min="12039" max="12039" width="2.83203125" style="173" customWidth="1"/>
    <col min="12040" max="12040" width="13.33203125" style="173" customWidth="1"/>
    <col min="12041" max="12041" width="3.33203125" style="173" customWidth="1"/>
    <col min="12042" max="12042" width="11.83203125" style="173" customWidth="1"/>
    <col min="12043" max="12043" width="3" style="173" customWidth="1"/>
    <col min="12044" max="12044" width="16" style="173" customWidth="1"/>
    <col min="12045" max="12045" width="2.83203125" style="173" customWidth="1"/>
    <col min="12046" max="12046" width="10.5" style="173" customWidth="1"/>
    <col min="12047" max="12047" width="4.1640625" style="173" customWidth="1"/>
    <col min="12048" max="12048" width="10.83203125" style="173" customWidth="1"/>
    <col min="12049" max="12049" width="3.1640625" style="173" customWidth="1"/>
    <col min="12050" max="12050" width="11" style="173" customWidth="1"/>
    <col min="12051" max="12051" width="3" style="173" customWidth="1"/>
    <col min="12052" max="12052" width="11.1640625" style="173" customWidth="1"/>
    <col min="12053" max="12053" width="3.5" style="173" customWidth="1"/>
    <col min="12054" max="12289" width="9.33203125" style="173"/>
    <col min="12290" max="12290" width="12.6640625" style="173" customWidth="1"/>
    <col min="12291" max="12291" width="20.6640625" style="173" customWidth="1"/>
    <col min="12292" max="12292" width="13" style="173" customWidth="1"/>
    <col min="12293" max="12293" width="3" style="173" customWidth="1"/>
    <col min="12294" max="12294" width="16.1640625" style="173" customWidth="1"/>
    <col min="12295" max="12295" width="2.83203125" style="173" customWidth="1"/>
    <col min="12296" max="12296" width="13.33203125" style="173" customWidth="1"/>
    <col min="12297" max="12297" width="3.33203125" style="173" customWidth="1"/>
    <col min="12298" max="12298" width="11.83203125" style="173" customWidth="1"/>
    <col min="12299" max="12299" width="3" style="173" customWidth="1"/>
    <col min="12300" max="12300" width="16" style="173" customWidth="1"/>
    <col min="12301" max="12301" width="2.83203125" style="173" customWidth="1"/>
    <col min="12302" max="12302" width="10.5" style="173" customWidth="1"/>
    <col min="12303" max="12303" width="4.1640625" style="173" customWidth="1"/>
    <col min="12304" max="12304" width="10.83203125" style="173" customWidth="1"/>
    <col min="12305" max="12305" width="3.1640625" style="173" customWidth="1"/>
    <col min="12306" max="12306" width="11" style="173" customWidth="1"/>
    <col min="12307" max="12307" width="3" style="173" customWidth="1"/>
    <col min="12308" max="12308" width="11.1640625" style="173" customWidth="1"/>
    <col min="12309" max="12309" width="3.5" style="173" customWidth="1"/>
    <col min="12310" max="12545" width="9.33203125" style="173"/>
    <col min="12546" max="12546" width="12.6640625" style="173" customWidth="1"/>
    <col min="12547" max="12547" width="20.6640625" style="173" customWidth="1"/>
    <col min="12548" max="12548" width="13" style="173" customWidth="1"/>
    <col min="12549" max="12549" width="3" style="173" customWidth="1"/>
    <col min="12550" max="12550" width="16.1640625" style="173" customWidth="1"/>
    <col min="12551" max="12551" width="2.83203125" style="173" customWidth="1"/>
    <col min="12552" max="12552" width="13.33203125" style="173" customWidth="1"/>
    <col min="12553" max="12553" width="3.33203125" style="173" customWidth="1"/>
    <col min="12554" max="12554" width="11.83203125" style="173" customWidth="1"/>
    <col min="12555" max="12555" width="3" style="173" customWidth="1"/>
    <col min="12556" max="12556" width="16" style="173" customWidth="1"/>
    <col min="12557" max="12557" width="2.83203125" style="173" customWidth="1"/>
    <col min="12558" max="12558" width="10.5" style="173" customWidth="1"/>
    <col min="12559" max="12559" width="4.1640625" style="173" customWidth="1"/>
    <col min="12560" max="12560" width="10.83203125" style="173" customWidth="1"/>
    <col min="12561" max="12561" width="3.1640625" style="173" customWidth="1"/>
    <col min="12562" max="12562" width="11" style="173" customWidth="1"/>
    <col min="12563" max="12563" width="3" style="173" customWidth="1"/>
    <col min="12564" max="12564" width="11.1640625" style="173" customWidth="1"/>
    <col min="12565" max="12565" width="3.5" style="173" customWidth="1"/>
    <col min="12566" max="12801" width="9.33203125" style="173"/>
    <col min="12802" max="12802" width="12.6640625" style="173" customWidth="1"/>
    <col min="12803" max="12803" width="20.6640625" style="173" customWidth="1"/>
    <col min="12804" max="12804" width="13" style="173" customWidth="1"/>
    <col min="12805" max="12805" width="3" style="173" customWidth="1"/>
    <col min="12806" max="12806" width="16.1640625" style="173" customWidth="1"/>
    <col min="12807" max="12807" width="2.83203125" style="173" customWidth="1"/>
    <col min="12808" max="12808" width="13.33203125" style="173" customWidth="1"/>
    <col min="12809" max="12809" width="3.33203125" style="173" customWidth="1"/>
    <col min="12810" max="12810" width="11.83203125" style="173" customWidth="1"/>
    <col min="12811" max="12811" width="3" style="173" customWidth="1"/>
    <col min="12812" max="12812" width="16" style="173" customWidth="1"/>
    <col min="12813" max="12813" width="2.83203125" style="173" customWidth="1"/>
    <col min="12814" max="12814" width="10.5" style="173" customWidth="1"/>
    <col min="12815" max="12815" width="4.1640625" style="173" customWidth="1"/>
    <col min="12816" max="12816" width="10.83203125" style="173" customWidth="1"/>
    <col min="12817" max="12817" width="3.1640625" style="173" customWidth="1"/>
    <col min="12818" max="12818" width="11" style="173" customWidth="1"/>
    <col min="12819" max="12819" width="3" style="173" customWidth="1"/>
    <col min="12820" max="12820" width="11.1640625" style="173" customWidth="1"/>
    <col min="12821" max="12821" width="3.5" style="173" customWidth="1"/>
    <col min="12822" max="13057" width="9.33203125" style="173"/>
    <col min="13058" max="13058" width="12.6640625" style="173" customWidth="1"/>
    <col min="13059" max="13059" width="20.6640625" style="173" customWidth="1"/>
    <col min="13060" max="13060" width="13" style="173" customWidth="1"/>
    <col min="13061" max="13061" width="3" style="173" customWidth="1"/>
    <col min="13062" max="13062" width="16.1640625" style="173" customWidth="1"/>
    <col min="13063" max="13063" width="2.83203125" style="173" customWidth="1"/>
    <col min="13064" max="13064" width="13.33203125" style="173" customWidth="1"/>
    <col min="13065" max="13065" width="3.33203125" style="173" customWidth="1"/>
    <col min="13066" max="13066" width="11.83203125" style="173" customWidth="1"/>
    <col min="13067" max="13067" width="3" style="173" customWidth="1"/>
    <col min="13068" max="13068" width="16" style="173" customWidth="1"/>
    <col min="13069" max="13069" width="2.83203125" style="173" customWidth="1"/>
    <col min="13070" max="13070" width="10.5" style="173" customWidth="1"/>
    <col min="13071" max="13071" width="4.1640625" style="173" customWidth="1"/>
    <col min="13072" max="13072" width="10.83203125" style="173" customWidth="1"/>
    <col min="13073" max="13073" width="3.1640625" style="173" customWidth="1"/>
    <col min="13074" max="13074" width="11" style="173" customWidth="1"/>
    <col min="13075" max="13075" width="3" style="173" customWidth="1"/>
    <col min="13076" max="13076" width="11.1640625" style="173" customWidth="1"/>
    <col min="13077" max="13077" width="3.5" style="173" customWidth="1"/>
    <col min="13078" max="13313" width="9.33203125" style="173"/>
    <col min="13314" max="13314" width="12.6640625" style="173" customWidth="1"/>
    <col min="13315" max="13315" width="20.6640625" style="173" customWidth="1"/>
    <col min="13316" max="13316" width="13" style="173" customWidth="1"/>
    <col min="13317" max="13317" width="3" style="173" customWidth="1"/>
    <col min="13318" max="13318" width="16.1640625" style="173" customWidth="1"/>
    <col min="13319" max="13319" width="2.83203125" style="173" customWidth="1"/>
    <col min="13320" max="13320" width="13.33203125" style="173" customWidth="1"/>
    <col min="13321" max="13321" width="3.33203125" style="173" customWidth="1"/>
    <col min="13322" max="13322" width="11.83203125" style="173" customWidth="1"/>
    <col min="13323" max="13323" width="3" style="173" customWidth="1"/>
    <col min="13324" max="13324" width="16" style="173" customWidth="1"/>
    <col min="13325" max="13325" width="2.83203125" style="173" customWidth="1"/>
    <col min="13326" max="13326" width="10.5" style="173" customWidth="1"/>
    <col min="13327" max="13327" width="4.1640625" style="173" customWidth="1"/>
    <col min="13328" max="13328" width="10.83203125" style="173" customWidth="1"/>
    <col min="13329" max="13329" width="3.1640625" style="173" customWidth="1"/>
    <col min="13330" max="13330" width="11" style="173" customWidth="1"/>
    <col min="13331" max="13331" width="3" style="173" customWidth="1"/>
    <col min="13332" max="13332" width="11.1640625" style="173" customWidth="1"/>
    <col min="13333" max="13333" width="3.5" style="173" customWidth="1"/>
    <col min="13334" max="13569" width="9.33203125" style="173"/>
    <col min="13570" max="13570" width="12.6640625" style="173" customWidth="1"/>
    <col min="13571" max="13571" width="20.6640625" style="173" customWidth="1"/>
    <col min="13572" max="13572" width="13" style="173" customWidth="1"/>
    <col min="13573" max="13573" width="3" style="173" customWidth="1"/>
    <col min="13574" max="13574" width="16.1640625" style="173" customWidth="1"/>
    <col min="13575" max="13575" width="2.83203125" style="173" customWidth="1"/>
    <col min="13576" max="13576" width="13.33203125" style="173" customWidth="1"/>
    <col min="13577" max="13577" width="3.33203125" style="173" customWidth="1"/>
    <col min="13578" max="13578" width="11.83203125" style="173" customWidth="1"/>
    <col min="13579" max="13579" width="3" style="173" customWidth="1"/>
    <col min="13580" max="13580" width="16" style="173" customWidth="1"/>
    <col min="13581" max="13581" width="2.83203125" style="173" customWidth="1"/>
    <col min="13582" max="13582" width="10.5" style="173" customWidth="1"/>
    <col min="13583" max="13583" width="4.1640625" style="173" customWidth="1"/>
    <col min="13584" max="13584" width="10.83203125" style="173" customWidth="1"/>
    <col min="13585" max="13585" width="3.1640625" style="173" customWidth="1"/>
    <col min="13586" max="13586" width="11" style="173" customWidth="1"/>
    <col min="13587" max="13587" width="3" style="173" customWidth="1"/>
    <col min="13588" max="13588" width="11.1640625" style="173" customWidth="1"/>
    <col min="13589" max="13589" width="3.5" style="173" customWidth="1"/>
    <col min="13590" max="13825" width="9.33203125" style="173"/>
    <col min="13826" max="13826" width="12.6640625" style="173" customWidth="1"/>
    <col min="13827" max="13827" width="20.6640625" style="173" customWidth="1"/>
    <col min="13828" max="13828" width="13" style="173" customWidth="1"/>
    <col min="13829" max="13829" width="3" style="173" customWidth="1"/>
    <col min="13830" max="13830" width="16.1640625" style="173" customWidth="1"/>
    <col min="13831" max="13831" width="2.83203125" style="173" customWidth="1"/>
    <col min="13832" max="13832" width="13.33203125" style="173" customWidth="1"/>
    <col min="13833" max="13833" width="3.33203125" style="173" customWidth="1"/>
    <col min="13834" max="13834" width="11.83203125" style="173" customWidth="1"/>
    <col min="13835" max="13835" width="3" style="173" customWidth="1"/>
    <col min="13836" max="13836" width="16" style="173" customWidth="1"/>
    <col min="13837" max="13837" width="2.83203125" style="173" customWidth="1"/>
    <col min="13838" max="13838" width="10.5" style="173" customWidth="1"/>
    <col min="13839" max="13839" width="4.1640625" style="173" customWidth="1"/>
    <col min="13840" max="13840" width="10.83203125" style="173" customWidth="1"/>
    <col min="13841" max="13841" width="3.1640625" style="173" customWidth="1"/>
    <col min="13842" max="13842" width="11" style="173" customWidth="1"/>
    <col min="13843" max="13843" width="3" style="173" customWidth="1"/>
    <col min="13844" max="13844" width="11.1640625" style="173" customWidth="1"/>
    <col min="13845" max="13845" width="3.5" style="173" customWidth="1"/>
    <col min="13846" max="14081" width="9.33203125" style="173"/>
    <col min="14082" max="14082" width="12.6640625" style="173" customWidth="1"/>
    <col min="14083" max="14083" width="20.6640625" style="173" customWidth="1"/>
    <col min="14084" max="14084" width="13" style="173" customWidth="1"/>
    <col min="14085" max="14085" width="3" style="173" customWidth="1"/>
    <col min="14086" max="14086" width="16.1640625" style="173" customWidth="1"/>
    <col min="14087" max="14087" width="2.83203125" style="173" customWidth="1"/>
    <col min="14088" max="14088" width="13.33203125" style="173" customWidth="1"/>
    <col min="14089" max="14089" width="3.33203125" style="173" customWidth="1"/>
    <col min="14090" max="14090" width="11.83203125" style="173" customWidth="1"/>
    <col min="14091" max="14091" width="3" style="173" customWidth="1"/>
    <col min="14092" max="14092" width="16" style="173" customWidth="1"/>
    <col min="14093" max="14093" width="2.83203125" style="173" customWidth="1"/>
    <col min="14094" max="14094" width="10.5" style="173" customWidth="1"/>
    <col min="14095" max="14095" width="4.1640625" style="173" customWidth="1"/>
    <col min="14096" max="14096" width="10.83203125" style="173" customWidth="1"/>
    <col min="14097" max="14097" width="3.1640625" style="173" customWidth="1"/>
    <col min="14098" max="14098" width="11" style="173" customWidth="1"/>
    <col min="14099" max="14099" width="3" style="173" customWidth="1"/>
    <col min="14100" max="14100" width="11.1640625" style="173" customWidth="1"/>
    <col min="14101" max="14101" width="3.5" style="173" customWidth="1"/>
    <col min="14102" max="14337" width="9.33203125" style="173"/>
    <col min="14338" max="14338" width="12.6640625" style="173" customWidth="1"/>
    <col min="14339" max="14339" width="20.6640625" style="173" customWidth="1"/>
    <col min="14340" max="14340" width="13" style="173" customWidth="1"/>
    <col min="14341" max="14341" width="3" style="173" customWidth="1"/>
    <col min="14342" max="14342" width="16.1640625" style="173" customWidth="1"/>
    <col min="14343" max="14343" width="2.83203125" style="173" customWidth="1"/>
    <col min="14344" max="14344" width="13.33203125" style="173" customWidth="1"/>
    <col min="14345" max="14345" width="3.33203125" style="173" customWidth="1"/>
    <col min="14346" max="14346" width="11.83203125" style="173" customWidth="1"/>
    <col min="14347" max="14347" width="3" style="173" customWidth="1"/>
    <col min="14348" max="14348" width="16" style="173" customWidth="1"/>
    <col min="14349" max="14349" width="2.83203125" style="173" customWidth="1"/>
    <col min="14350" max="14350" width="10.5" style="173" customWidth="1"/>
    <col min="14351" max="14351" width="4.1640625" style="173" customWidth="1"/>
    <col min="14352" max="14352" width="10.83203125" style="173" customWidth="1"/>
    <col min="14353" max="14353" width="3.1640625" style="173" customWidth="1"/>
    <col min="14354" max="14354" width="11" style="173" customWidth="1"/>
    <col min="14355" max="14355" width="3" style="173" customWidth="1"/>
    <col min="14356" max="14356" width="11.1640625" style="173" customWidth="1"/>
    <col min="14357" max="14357" width="3.5" style="173" customWidth="1"/>
    <col min="14358" max="14593" width="9.33203125" style="173"/>
    <col min="14594" max="14594" width="12.6640625" style="173" customWidth="1"/>
    <col min="14595" max="14595" width="20.6640625" style="173" customWidth="1"/>
    <col min="14596" max="14596" width="13" style="173" customWidth="1"/>
    <col min="14597" max="14597" width="3" style="173" customWidth="1"/>
    <col min="14598" max="14598" width="16.1640625" style="173" customWidth="1"/>
    <col min="14599" max="14599" width="2.83203125" style="173" customWidth="1"/>
    <col min="14600" max="14600" width="13.33203125" style="173" customWidth="1"/>
    <col min="14601" max="14601" width="3.33203125" style="173" customWidth="1"/>
    <col min="14602" max="14602" width="11.83203125" style="173" customWidth="1"/>
    <col min="14603" max="14603" width="3" style="173" customWidth="1"/>
    <col min="14604" max="14604" width="16" style="173" customWidth="1"/>
    <col min="14605" max="14605" width="2.83203125" style="173" customWidth="1"/>
    <col min="14606" max="14606" width="10.5" style="173" customWidth="1"/>
    <col min="14607" max="14607" width="4.1640625" style="173" customWidth="1"/>
    <col min="14608" max="14608" width="10.83203125" style="173" customWidth="1"/>
    <col min="14609" max="14609" width="3.1640625" style="173" customWidth="1"/>
    <col min="14610" max="14610" width="11" style="173" customWidth="1"/>
    <col min="14611" max="14611" width="3" style="173" customWidth="1"/>
    <col min="14612" max="14612" width="11.1640625" style="173" customWidth="1"/>
    <col min="14613" max="14613" width="3.5" style="173" customWidth="1"/>
    <col min="14614" max="14849" width="9.33203125" style="173"/>
    <col min="14850" max="14850" width="12.6640625" style="173" customWidth="1"/>
    <col min="14851" max="14851" width="20.6640625" style="173" customWidth="1"/>
    <col min="14852" max="14852" width="13" style="173" customWidth="1"/>
    <col min="14853" max="14853" width="3" style="173" customWidth="1"/>
    <col min="14854" max="14854" width="16.1640625" style="173" customWidth="1"/>
    <col min="14855" max="14855" width="2.83203125" style="173" customWidth="1"/>
    <col min="14856" max="14856" width="13.33203125" style="173" customWidth="1"/>
    <col min="14857" max="14857" width="3.33203125" style="173" customWidth="1"/>
    <col min="14858" max="14858" width="11.83203125" style="173" customWidth="1"/>
    <col min="14859" max="14859" width="3" style="173" customWidth="1"/>
    <col min="14860" max="14860" width="16" style="173" customWidth="1"/>
    <col min="14861" max="14861" width="2.83203125" style="173" customWidth="1"/>
    <col min="14862" max="14862" width="10.5" style="173" customWidth="1"/>
    <col min="14863" max="14863" width="4.1640625" style="173" customWidth="1"/>
    <col min="14864" max="14864" width="10.83203125" style="173" customWidth="1"/>
    <col min="14865" max="14865" width="3.1640625" style="173" customWidth="1"/>
    <col min="14866" max="14866" width="11" style="173" customWidth="1"/>
    <col min="14867" max="14867" width="3" style="173" customWidth="1"/>
    <col min="14868" max="14868" width="11.1640625" style="173" customWidth="1"/>
    <col min="14869" max="14869" width="3.5" style="173" customWidth="1"/>
    <col min="14870" max="15105" width="9.33203125" style="173"/>
    <col min="15106" max="15106" width="12.6640625" style="173" customWidth="1"/>
    <col min="15107" max="15107" width="20.6640625" style="173" customWidth="1"/>
    <col min="15108" max="15108" width="13" style="173" customWidth="1"/>
    <col min="15109" max="15109" width="3" style="173" customWidth="1"/>
    <col min="15110" max="15110" width="16.1640625" style="173" customWidth="1"/>
    <col min="15111" max="15111" width="2.83203125" style="173" customWidth="1"/>
    <col min="15112" max="15112" width="13.33203125" style="173" customWidth="1"/>
    <col min="15113" max="15113" width="3.33203125" style="173" customWidth="1"/>
    <col min="15114" max="15114" width="11.83203125" style="173" customWidth="1"/>
    <col min="15115" max="15115" width="3" style="173" customWidth="1"/>
    <col min="15116" max="15116" width="16" style="173" customWidth="1"/>
    <col min="15117" max="15117" width="2.83203125" style="173" customWidth="1"/>
    <col min="15118" max="15118" width="10.5" style="173" customWidth="1"/>
    <col min="15119" max="15119" width="4.1640625" style="173" customWidth="1"/>
    <col min="15120" max="15120" width="10.83203125" style="173" customWidth="1"/>
    <col min="15121" max="15121" width="3.1640625" style="173" customWidth="1"/>
    <col min="15122" max="15122" width="11" style="173" customWidth="1"/>
    <col min="15123" max="15123" width="3" style="173" customWidth="1"/>
    <col min="15124" max="15124" width="11.1640625" style="173" customWidth="1"/>
    <col min="15125" max="15125" width="3.5" style="173" customWidth="1"/>
    <col min="15126" max="15361" width="9.33203125" style="173"/>
    <col min="15362" max="15362" width="12.6640625" style="173" customWidth="1"/>
    <col min="15363" max="15363" width="20.6640625" style="173" customWidth="1"/>
    <col min="15364" max="15364" width="13" style="173" customWidth="1"/>
    <col min="15365" max="15365" width="3" style="173" customWidth="1"/>
    <col min="15366" max="15366" width="16.1640625" style="173" customWidth="1"/>
    <col min="15367" max="15367" width="2.83203125" style="173" customWidth="1"/>
    <col min="15368" max="15368" width="13.33203125" style="173" customWidth="1"/>
    <col min="15369" max="15369" width="3.33203125" style="173" customWidth="1"/>
    <col min="15370" max="15370" width="11.83203125" style="173" customWidth="1"/>
    <col min="15371" max="15371" width="3" style="173" customWidth="1"/>
    <col min="15372" max="15372" width="16" style="173" customWidth="1"/>
    <col min="15373" max="15373" width="2.83203125" style="173" customWidth="1"/>
    <col min="15374" max="15374" width="10.5" style="173" customWidth="1"/>
    <col min="15375" max="15375" width="4.1640625" style="173" customWidth="1"/>
    <col min="15376" max="15376" width="10.83203125" style="173" customWidth="1"/>
    <col min="15377" max="15377" width="3.1640625" style="173" customWidth="1"/>
    <col min="15378" max="15378" width="11" style="173" customWidth="1"/>
    <col min="15379" max="15379" width="3" style="173" customWidth="1"/>
    <col min="15380" max="15380" width="11.1640625" style="173" customWidth="1"/>
    <col min="15381" max="15381" width="3.5" style="173" customWidth="1"/>
    <col min="15382" max="15617" width="9.33203125" style="173"/>
    <col min="15618" max="15618" width="12.6640625" style="173" customWidth="1"/>
    <col min="15619" max="15619" width="20.6640625" style="173" customWidth="1"/>
    <col min="15620" max="15620" width="13" style="173" customWidth="1"/>
    <col min="15621" max="15621" width="3" style="173" customWidth="1"/>
    <col min="15622" max="15622" width="16.1640625" style="173" customWidth="1"/>
    <col min="15623" max="15623" width="2.83203125" style="173" customWidth="1"/>
    <col min="15624" max="15624" width="13.33203125" style="173" customWidth="1"/>
    <col min="15625" max="15625" width="3.33203125" style="173" customWidth="1"/>
    <col min="15626" max="15626" width="11.83203125" style="173" customWidth="1"/>
    <col min="15627" max="15627" width="3" style="173" customWidth="1"/>
    <col min="15628" max="15628" width="16" style="173" customWidth="1"/>
    <col min="15629" max="15629" width="2.83203125" style="173" customWidth="1"/>
    <col min="15630" max="15630" width="10.5" style="173" customWidth="1"/>
    <col min="15631" max="15631" width="4.1640625" style="173" customWidth="1"/>
    <col min="15632" max="15632" width="10.83203125" style="173" customWidth="1"/>
    <col min="15633" max="15633" width="3.1640625" style="173" customWidth="1"/>
    <col min="15634" max="15634" width="11" style="173" customWidth="1"/>
    <col min="15635" max="15635" width="3" style="173" customWidth="1"/>
    <col min="15636" max="15636" width="11.1640625" style="173" customWidth="1"/>
    <col min="15637" max="15637" width="3.5" style="173" customWidth="1"/>
    <col min="15638" max="15873" width="9.33203125" style="173"/>
    <col min="15874" max="15874" width="12.6640625" style="173" customWidth="1"/>
    <col min="15875" max="15875" width="20.6640625" style="173" customWidth="1"/>
    <col min="15876" max="15876" width="13" style="173" customWidth="1"/>
    <col min="15877" max="15877" width="3" style="173" customWidth="1"/>
    <col min="15878" max="15878" width="16.1640625" style="173" customWidth="1"/>
    <col min="15879" max="15879" width="2.83203125" style="173" customWidth="1"/>
    <col min="15880" max="15880" width="13.33203125" style="173" customWidth="1"/>
    <col min="15881" max="15881" width="3.33203125" style="173" customWidth="1"/>
    <col min="15882" max="15882" width="11.83203125" style="173" customWidth="1"/>
    <col min="15883" max="15883" width="3" style="173" customWidth="1"/>
    <col min="15884" max="15884" width="16" style="173" customWidth="1"/>
    <col min="15885" max="15885" width="2.83203125" style="173" customWidth="1"/>
    <col min="15886" max="15886" width="10.5" style="173" customWidth="1"/>
    <col min="15887" max="15887" width="4.1640625" style="173" customWidth="1"/>
    <col min="15888" max="15888" width="10.83203125" style="173" customWidth="1"/>
    <col min="15889" max="15889" width="3.1640625" style="173" customWidth="1"/>
    <col min="15890" max="15890" width="11" style="173" customWidth="1"/>
    <col min="15891" max="15891" width="3" style="173" customWidth="1"/>
    <col min="15892" max="15892" width="11.1640625" style="173" customWidth="1"/>
    <col min="15893" max="15893" width="3.5" style="173" customWidth="1"/>
    <col min="15894" max="16129" width="9.33203125" style="173"/>
    <col min="16130" max="16130" width="12.6640625" style="173" customWidth="1"/>
    <col min="16131" max="16131" width="20.6640625" style="173" customWidth="1"/>
    <col min="16132" max="16132" width="13" style="173" customWidth="1"/>
    <col min="16133" max="16133" width="3" style="173" customWidth="1"/>
    <col min="16134" max="16134" width="16.1640625" style="173" customWidth="1"/>
    <col min="16135" max="16135" width="2.83203125" style="173" customWidth="1"/>
    <col min="16136" max="16136" width="13.33203125" style="173" customWidth="1"/>
    <col min="16137" max="16137" width="3.33203125" style="173" customWidth="1"/>
    <col min="16138" max="16138" width="11.83203125" style="173" customWidth="1"/>
    <col min="16139" max="16139" width="3" style="173" customWidth="1"/>
    <col min="16140" max="16140" width="16" style="173" customWidth="1"/>
    <col min="16141" max="16141" width="2.83203125" style="173" customWidth="1"/>
    <col min="16142" max="16142" width="10.5" style="173" customWidth="1"/>
    <col min="16143" max="16143" width="4.1640625" style="173" customWidth="1"/>
    <col min="16144" max="16144" width="10.83203125" style="173" customWidth="1"/>
    <col min="16145" max="16145" width="3.1640625" style="173" customWidth="1"/>
    <col min="16146" max="16146" width="11" style="173" customWidth="1"/>
    <col min="16147" max="16147" width="3" style="173" customWidth="1"/>
    <col min="16148" max="16148" width="11.1640625" style="173" customWidth="1"/>
    <col min="16149" max="16149" width="3.5" style="173" customWidth="1"/>
    <col min="16150" max="16384" width="9.33203125" style="173"/>
  </cols>
  <sheetData>
    <row r="1" spans="1:24" ht="13.5" customHeight="1">
      <c r="A1" s="198"/>
      <c r="B1" s="198"/>
      <c r="C1" s="198"/>
      <c r="D1" s="198"/>
      <c r="E1" s="198"/>
      <c r="F1" s="198"/>
      <c r="G1" s="198"/>
      <c r="H1" s="198"/>
      <c r="I1" s="198"/>
      <c r="K1" s="198"/>
      <c r="L1" s="198"/>
      <c r="M1" s="198"/>
      <c r="N1" s="198"/>
    </row>
    <row r="2" spans="1:24" ht="13.5" customHeight="1">
      <c r="A2" s="198"/>
      <c r="I2" s="198"/>
      <c r="J2" s="425" t="s">
        <v>366</v>
      </c>
      <c r="K2" s="198"/>
      <c r="L2" s="198"/>
      <c r="M2" s="198"/>
      <c r="N2" s="198"/>
    </row>
    <row r="3" spans="1:24" ht="13.5" customHeight="1">
      <c r="A3" s="198"/>
      <c r="I3" s="198"/>
      <c r="J3" s="426" t="s">
        <v>192</v>
      </c>
      <c r="K3" s="198"/>
      <c r="L3" s="198"/>
      <c r="M3" s="198"/>
      <c r="N3" s="198"/>
    </row>
    <row r="4" spans="1:24" ht="13.5" customHeight="1">
      <c r="A4" s="198"/>
      <c r="B4" s="1012" t="s">
        <v>153</v>
      </c>
      <c r="C4" s="1012"/>
      <c r="D4" s="1012"/>
      <c r="E4" s="1012"/>
      <c r="F4" s="1012"/>
      <c r="G4" s="1012"/>
      <c r="H4" s="1012"/>
      <c r="I4" s="198"/>
      <c r="J4" s="426" t="s">
        <v>374</v>
      </c>
      <c r="K4" s="198"/>
      <c r="L4" s="198"/>
      <c r="M4" s="198"/>
      <c r="N4" s="198"/>
    </row>
    <row r="5" spans="1:24" ht="15.75">
      <c r="A5" s="198"/>
      <c r="B5" s="1013" t="s">
        <v>365</v>
      </c>
      <c r="C5" s="1013"/>
      <c r="D5" s="1013"/>
      <c r="E5" s="1013"/>
      <c r="F5" s="1013"/>
      <c r="G5" s="1013"/>
      <c r="H5" s="1013"/>
      <c r="I5" s="198"/>
      <c r="J5" s="198"/>
      <c r="K5" s="198"/>
      <c r="L5" s="198"/>
      <c r="M5" s="198"/>
      <c r="N5" s="198"/>
    </row>
    <row r="6" spans="1:24" ht="15.75">
      <c r="A6" s="198"/>
      <c r="B6" s="423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24" ht="15.75">
      <c r="A7" s="198"/>
      <c r="B7" s="424"/>
      <c r="C7" s="198"/>
      <c r="D7" s="214" t="s">
        <v>154</v>
      </c>
      <c r="E7" s="215"/>
      <c r="F7" s="216" t="s">
        <v>6</v>
      </c>
      <c r="G7" s="198"/>
      <c r="H7" s="198"/>
      <c r="I7" s="198"/>
      <c r="J7" s="198"/>
      <c r="K7" s="198"/>
      <c r="L7" s="198"/>
      <c r="M7" s="198"/>
      <c r="N7" s="198"/>
    </row>
    <row r="8" spans="1:24" ht="15.75">
      <c r="A8" s="198"/>
      <c r="B8" s="238"/>
      <c r="C8" s="217"/>
      <c r="D8" s="218"/>
      <c r="E8" s="219"/>
      <c r="F8" s="217"/>
      <c r="G8" s="198"/>
      <c r="H8" s="198"/>
      <c r="I8" s="198"/>
      <c r="J8" s="198"/>
      <c r="K8" s="198"/>
      <c r="L8" s="198"/>
      <c r="M8" s="198"/>
      <c r="N8" s="198"/>
    </row>
    <row r="9" spans="1:24" ht="15.75">
      <c r="A9" s="198"/>
      <c r="B9" s="220" t="s">
        <v>155</v>
      </c>
      <c r="C9" s="221"/>
      <c r="D9" s="222">
        <v>44759526.549999997</v>
      </c>
      <c r="E9" s="223"/>
      <c r="F9" s="889">
        <f>+'[48]Summary-WA Gas Cost Track'!$Y$101</f>
        <v>44862654.241073333</v>
      </c>
      <c r="G9" s="198"/>
      <c r="H9" s="198"/>
      <c r="I9" s="198"/>
      <c r="J9" s="198"/>
      <c r="K9" s="198"/>
      <c r="L9" s="198"/>
      <c r="M9" s="198"/>
      <c r="N9" s="427"/>
      <c r="X9" s="428"/>
    </row>
    <row r="10" spans="1:24" ht="15.75">
      <c r="A10" s="198"/>
      <c r="B10" s="220"/>
      <c r="C10" s="221"/>
      <c r="D10" s="222"/>
      <c r="E10" s="223"/>
      <c r="F10" s="221"/>
      <c r="G10" s="198"/>
      <c r="H10" s="198"/>
      <c r="I10" s="198"/>
      <c r="J10" s="198"/>
      <c r="K10" s="198"/>
      <c r="L10" s="198"/>
      <c r="M10" s="198"/>
      <c r="N10" s="198"/>
    </row>
    <row r="11" spans="1:24" ht="15.75">
      <c r="A11" s="198"/>
      <c r="B11" s="225" t="s">
        <v>156</v>
      </c>
      <c r="C11" s="221"/>
      <c r="D11" s="226">
        <v>80171574</v>
      </c>
      <c r="E11" s="223"/>
      <c r="F11" s="227">
        <f>+'[48]Summary-WA Gas Cost Track'!$W$101</f>
        <v>134424620.80126813</v>
      </c>
      <c r="G11" s="198"/>
      <c r="H11" s="198"/>
      <c r="I11" s="198"/>
      <c r="J11" s="198"/>
      <c r="K11" s="198"/>
      <c r="L11" s="198"/>
      <c r="M11" s="198"/>
      <c r="N11" s="198"/>
    </row>
    <row r="12" spans="1:24" ht="15.75">
      <c r="A12" s="198"/>
      <c r="B12" s="228" t="s">
        <v>399</v>
      </c>
      <c r="C12" s="229"/>
      <c r="D12" s="230"/>
      <c r="E12" s="231"/>
      <c r="F12" s="232"/>
      <c r="G12" s="198"/>
      <c r="H12" s="198"/>
      <c r="I12" s="198"/>
      <c r="J12" s="198"/>
      <c r="K12" s="198"/>
      <c r="L12" s="198"/>
      <c r="M12" s="198"/>
      <c r="N12" s="198"/>
    </row>
    <row r="13" spans="1:24" ht="15.75">
      <c r="A13" s="198"/>
      <c r="B13" s="223"/>
      <c r="C13" s="223"/>
      <c r="D13" s="233"/>
      <c r="E13" s="198"/>
      <c r="F13" s="233"/>
      <c r="G13" s="198"/>
      <c r="H13" s="198"/>
      <c r="I13" s="198"/>
      <c r="J13" s="198"/>
      <c r="K13" s="198"/>
      <c r="L13" s="198"/>
      <c r="M13" s="198"/>
      <c r="N13" s="198"/>
    </row>
    <row r="14" spans="1:24" ht="15.75">
      <c r="A14" s="198"/>
      <c r="B14" s="234" t="s">
        <v>129</v>
      </c>
      <c r="C14" s="235"/>
      <c r="D14" s="236" t="s">
        <v>67</v>
      </c>
      <c r="E14" s="215"/>
      <c r="F14" s="467" t="s">
        <v>69</v>
      </c>
      <c r="G14" s="234"/>
      <c r="H14" s="237" t="s">
        <v>157</v>
      </c>
      <c r="I14" s="234"/>
      <c r="J14" s="237">
        <v>570</v>
      </c>
      <c r="K14" s="234"/>
      <c r="L14" s="237" t="s">
        <v>146</v>
      </c>
      <c r="M14" s="198"/>
      <c r="N14" s="198"/>
      <c r="T14" s="428"/>
    </row>
    <row r="15" spans="1:24" ht="15.75">
      <c r="A15" s="198"/>
      <c r="B15" s="238"/>
      <c r="C15" s="217"/>
      <c r="D15" s="239"/>
      <c r="E15" s="219"/>
      <c r="F15" s="239"/>
      <c r="G15" s="238"/>
      <c r="H15" s="217"/>
      <c r="I15" s="238"/>
      <c r="J15" s="217"/>
      <c r="K15" s="238"/>
      <c r="L15" s="217"/>
      <c r="M15" s="198"/>
      <c r="N15" s="198"/>
      <c r="T15" s="428"/>
    </row>
    <row r="16" spans="1:24" ht="15.75">
      <c r="A16" s="198"/>
      <c r="B16" s="225" t="s">
        <v>158</v>
      </c>
      <c r="C16" s="221"/>
      <c r="D16" s="240">
        <v>0.17860999999999999</v>
      </c>
      <c r="E16" s="890"/>
      <c r="F16" s="240">
        <v>0.17591000000000001</v>
      </c>
      <c r="G16" s="466"/>
      <c r="H16" s="241">
        <v>0.16258</v>
      </c>
      <c r="I16" s="466"/>
      <c r="J16" s="241">
        <v>0.14929999999999999</v>
      </c>
      <c r="K16" s="225"/>
      <c r="L16" s="221"/>
      <c r="M16" s="198"/>
      <c r="N16" s="198"/>
      <c r="R16" s="464"/>
      <c r="T16" s="428"/>
    </row>
    <row r="17" spans="1:20" ht="15.75">
      <c r="A17" s="198"/>
      <c r="B17" s="225"/>
      <c r="C17" s="221"/>
      <c r="D17" s="429">
        <v>1.04454</v>
      </c>
      <c r="E17" s="429"/>
      <c r="F17" s="468">
        <f>+D17</f>
        <v>1.04454</v>
      </c>
      <c r="G17" s="429"/>
      <c r="H17" s="465">
        <f>+D17</f>
        <v>1.04454</v>
      </c>
      <c r="I17" s="429"/>
      <c r="J17" s="465">
        <f>+D17</f>
        <v>1.04454</v>
      </c>
      <c r="K17" s="225"/>
      <c r="L17" s="221"/>
      <c r="M17" s="198"/>
      <c r="N17" s="198"/>
      <c r="R17" s="464"/>
      <c r="T17" s="428"/>
    </row>
    <row r="18" spans="1:20" ht="15.75">
      <c r="A18" s="198"/>
      <c r="B18" s="242" t="s">
        <v>159</v>
      </c>
      <c r="C18" s="221"/>
      <c r="D18" s="813">
        <v>-1.8157376618740444E-2</v>
      </c>
      <c r="E18" s="816"/>
      <c r="F18" s="813">
        <f>+D18</f>
        <v>-1.8157376618740444E-2</v>
      </c>
      <c r="G18" s="814"/>
      <c r="H18" s="815">
        <f>+F18</f>
        <v>-1.8157376618740444E-2</v>
      </c>
      <c r="I18" s="814"/>
      <c r="J18" s="815">
        <f>+H18</f>
        <v>-1.8157376618740444E-2</v>
      </c>
      <c r="K18" s="225"/>
      <c r="L18" s="245"/>
      <c r="M18" s="198"/>
      <c r="N18" s="198"/>
      <c r="R18" s="464"/>
      <c r="T18" s="428"/>
    </row>
    <row r="19" spans="1:20" ht="15.75">
      <c r="A19" s="198"/>
      <c r="B19" s="242"/>
      <c r="C19" s="221"/>
      <c r="D19" s="243"/>
      <c r="E19" s="223"/>
      <c r="F19" s="243"/>
      <c r="G19" s="225"/>
      <c r="H19" s="244"/>
      <c r="I19" s="225"/>
      <c r="J19" s="244"/>
      <c r="K19" s="225"/>
      <c r="L19" s="245"/>
      <c r="M19" s="198"/>
      <c r="N19" s="198"/>
      <c r="T19" s="428"/>
    </row>
    <row r="20" spans="1:20" ht="15.75">
      <c r="A20" s="198"/>
      <c r="B20" s="246" t="s">
        <v>160</v>
      </c>
      <c r="C20" s="247"/>
      <c r="D20" s="248">
        <f>D16+D24</f>
        <v>0.17536691096212675</v>
      </c>
      <c r="E20" s="248"/>
      <c r="F20" s="248">
        <f>F16+F24</f>
        <v>0.17271593587899739</v>
      </c>
      <c r="G20" s="899"/>
      <c r="H20" s="900">
        <f t="shared" ref="H20" si="0">H16+H24</f>
        <v>0.15962797370932519</v>
      </c>
      <c r="I20" s="899"/>
      <c r="J20" s="900">
        <f>J16+J24</f>
        <v>0.14658910367082204</v>
      </c>
      <c r="K20" s="225"/>
      <c r="L20" s="221"/>
      <c r="M20" s="198"/>
      <c r="N20" s="198"/>
      <c r="P20" s="428"/>
      <c r="R20" s="180"/>
      <c r="T20" s="428"/>
    </row>
    <row r="21" spans="1:20" ht="15.75">
      <c r="A21" s="198"/>
      <c r="B21" s="246"/>
      <c r="C21" s="247"/>
      <c r="D21" s="248"/>
      <c r="E21" s="223"/>
      <c r="F21" s="248"/>
      <c r="G21" s="225"/>
      <c r="H21" s="249"/>
      <c r="I21" s="225"/>
      <c r="J21" s="249"/>
      <c r="K21" s="225"/>
      <c r="L21" s="221"/>
      <c r="M21" s="198"/>
      <c r="N21" s="427"/>
      <c r="P21" s="428"/>
      <c r="R21" s="180"/>
      <c r="T21" s="428"/>
    </row>
    <row r="22" spans="1:20" ht="15.75">
      <c r="A22" s="198"/>
      <c r="B22" s="225" t="s">
        <v>161</v>
      </c>
      <c r="C22" s="221"/>
      <c r="D22" s="222">
        <f>D20*D30</f>
        <v>23292983.828300986</v>
      </c>
      <c r="E22" s="223"/>
      <c r="F22" s="222">
        <f>F20*F30</f>
        <v>18124736.588904381</v>
      </c>
      <c r="G22" s="225"/>
      <c r="H22" s="250">
        <f>H20*H30</f>
        <v>3121466.7884961423</v>
      </c>
      <c r="I22" s="225"/>
      <c r="J22" s="250">
        <f>J20*J30</f>
        <v>323467.03429852403</v>
      </c>
      <c r="K22" s="225"/>
      <c r="L22" s="224">
        <f>+D22+F22+H22+J22</f>
        <v>44862654.240000032</v>
      </c>
      <c r="M22" s="198"/>
      <c r="N22" s="198"/>
      <c r="T22" s="428"/>
    </row>
    <row r="23" spans="1:20" ht="15.75">
      <c r="A23" s="198"/>
      <c r="B23" s="225"/>
      <c r="C23" s="221"/>
      <c r="D23" s="222"/>
      <c r="E23" s="223"/>
      <c r="F23" s="222"/>
      <c r="G23" s="225"/>
      <c r="H23" s="250"/>
      <c r="I23" s="225"/>
      <c r="J23" s="250"/>
      <c r="K23" s="225"/>
      <c r="L23" s="224"/>
      <c r="M23" s="198"/>
      <c r="N23" s="198"/>
      <c r="T23" s="428"/>
    </row>
    <row r="24" spans="1:20" ht="15.75">
      <c r="A24" s="198"/>
      <c r="B24" s="225" t="s">
        <v>162</v>
      </c>
      <c r="C24" s="221"/>
      <c r="D24" s="240">
        <f>D16*D18</f>
        <v>-3.2430890378732304E-3</v>
      </c>
      <c r="E24" s="466"/>
      <c r="F24" s="240">
        <f>F16*F18</f>
        <v>-3.1940641210026315E-3</v>
      </c>
      <c r="G24" s="466"/>
      <c r="H24" s="241">
        <f>H16*H18</f>
        <v>-2.9520262906748214E-3</v>
      </c>
      <c r="I24" s="466"/>
      <c r="J24" s="241">
        <f>J16*J18</f>
        <v>-2.7108963291779479E-3</v>
      </c>
      <c r="K24" s="225"/>
      <c r="L24" s="224"/>
      <c r="M24" s="198"/>
      <c r="N24" s="198"/>
      <c r="R24" s="428"/>
      <c r="S24" s="442"/>
    </row>
    <row r="25" spans="1:20" ht="15.75">
      <c r="A25" s="198"/>
      <c r="B25" s="225"/>
      <c r="C25" s="221"/>
      <c r="D25" s="240"/>
      <c r="E25" s="223"/>
      <c r="F25" s="240"/>
      <c r="G25" s="225"/>
      <c r="H25" s="241"/>
      <c r="I25" s="225"/>
      <c r="J25" s="241"/>
      <c r="K25" s="225"/>
      <c r="L25" s="249"/>
      <c r="M25" s="198"/>
      <c r="N25" s="198"/>
      <c r="S25" s="442"/>
    </row>
    <row r="26" spans="1:20" ht="15.75">
      <c r="A26" s="198"/>
      <c r="B26" s="225" t="s">
        <v>163</v>
      </c>
      <c r="C26" s="221"/>
      <c r="D26" s="240">
        <f>1-0.04423</f>
        <v>0.95577000000000001</v>
      </c>
      <c r="E26" s="240"/>
      <c r="F26" s="240">
        <f t="shared" ref="F26:J26" si="1">1-0.04423</f>
        <v>0.95577000000000001</v>
      </c>
      <c r="G26" s="466"/>
      <c r="H26" s="903">
        <f>1-0.04423</f>
        <v>0.95577000000000001</v>
      </c>
      <c r="I26" s="466"/>
      <c r="J26" s="903">
        <f t="shared" si="1"/>
        <v>0.95577000000000001</v>
      </c>
      <c r="K26" s="225"/>
      <c r="L26" s="249"/>
      <c r="M26" s="198"/>
      <c r="N26" s="198"/>
      <c r="R26" s="454"/>
      <c r="S26" s="442"/>
    </row>
    <row r="27" spans="1:20" ht="15.75">
      <c r="A27" s="198"/>
      <c r="B27" s="225"/>
      <c r="C27" s="221"/>
      <c r="D27" s="240"/>
      <c r="E27" s="223"/>
      <c r="F27" s="240"/>
      <c r="G27" s="225"/>
      <c r="H27" s="903"/>
      <c r="I27" s="225"/>
      <c r="J27" s="903"/>
      <c r="K27" s="225"/>
      <c r="L27" s="249"/>
      <c r="M27" s="198"/>
      <c r="N27" s="198"/>
      <c r="S27" s="442"/>
    </row>
    <row r="28" spans="1:20" ht="15.75">
      <c r="A28" s="198"/>
      <c r="B28" s="225" t="s">
        <v>164</v>
      </c>
      <c r="C28" s="221"/>
      <c r="D28" s="429">
        <f>ROUND(+(D20/D26)-(D16*D17),5)+0.00001</f>
        <v>-3.0699999999999998E-3</v>
      </c>
      <c r="E28" s="429"/>
      <c r="F28" s="429">
        <f>ROUND(+(F20/F26)-(F16*F17),5)+0.00001</f>
        <v>-3.0300000000000001E-3</v>
      </c>
      <c r="G28" s="429"/>
      <c r="H28" s="776">
        <f>ROUND(+(H20/H26)-(H16*H17),5)+0.00001</f>
        <v>-2.8E-3</v>
      </c>
      <c r="I28" s="429"/>
      <c r="J28" s="776">
        <f>ROUND(+(J20/J26)-(J16*J17),5)+0.00001</f>
        <v>-2.5699999999999998E-3</v>
      </c>
      <c r="K28" s="225"/>
      <c r="L28" s="249"/>
      <c r="M28" s="198"/>
      <c r="N28" s="198"/>
      <c r="S28" s="442"/>
    </row>
    <row r="29" spans="1:20" ht="15.75">
      <c r="A29" s="198"/>
      <c r="B29" s="225"/>
      <c r="C29" s="221"/>
      <c r="D29" s="226"/>
      <c r="E29" s="223"/>
      <c r="F29" s="226"/>
      <c r="G29" s="225"/>
      <c r="H29" s="227"/>
      <c r="I29" s="225"/>
      <c r="J29" s="233"/>
      <c r="K29" s="225"/>
      <c r="L29" s="251"/>
      <c r="M29" s="198"/>
      <c r="N29" s="198"/>
      <c r="S29" s="442"/>
    </row>
    <row r="30" spans="1:20" ht="15.75">
      <c r="A30" s="198"/>
      <c r="B30" s="228" t="s">
        <v>165</v>
      </c>
      <c r="C30" s="229"/>
      <c r="D30" s="230">
        <f>+H35</f>
        <v>132824280.82075</v>
      </c>
      <c r="E30" s="231"/>
      <c r="F30" s="230">
        <f>+H36</f>
        <v>104939573.15903001</v>
      </c>
      <c r="G30" s="228"/>
      <c r="H30" s="232">
        <f>+H37</f>
        <v>19554635.168019999</v>
      </c>
      <c r="I30" s="228"/>
      <c r="J30" s="232">
        <f>+H38</f>
        <v>2206624</v>
      </c>
      <c r="K30" s="228"/>
      <c r="L30" s="232">
        <f>+D30+F30+H30+J30</f>
        <v>259525113.14780003</v>
      </c>
      <c r="M30" s="198"/>
      <c r="N30" s="198"/>
      <c r="S30" s="442"/>
    </row>
    <row r="31" spans="1:20" ht="15">
      <c r="A31" s="176"/>
      <c r="B31" s="174"/>
      <c r="C31" s="174"/>
      <c r="D31" s="177"/>
      <c r="E31" s="177"/>
      <c r="F31" s="177"/>
      <c r="G31" s="177"/>
      <c r="H31" s="177"/>
      <c r="I31" s="177"/>
      <c r="J31" s="177"/>
      <c r="K31" s="174"/>
      <c r="L31" s="174"/>
      <c r="S31" s="442"/>
    </row>
    <row r="33" spans="2:8">
      <c r="D33" s="175" t="s">
        <v>387</v>
      </c>
      <c r="F33" s="173" t="s">
        <v>166</v>
      </c>
      <c r="H33" s="173" t="s">
        <v>167</v>
      </c>
    </row>
    <row r="34" spans="2:8">
      <c r="C34" s="175"/>
      <c r="D34" s="175" t="s">
        <v>168</v>
      </c>
      <c r="E34" s="175"/>
      <c r="F34" s="175"/>
      <c r="G34" s="175"/>
      <c r="H34" s="175" t="s">
        <v>169</v>
      </c>
    </row>
    <row r="35" spans="2:8">
      <c r="B35" s="173" t="s">
        <v>170</v>
      </c>
      <c r="D35" s="452">
        <v>132437890</v>
      </c>
      <c r="F35" s="451">
        <f>D35/($D$39-$D$38)</f>
        <v>0.51618630771788776</v>
      </c>
      <c r="H35" s="452">
        <f>ROUND((+H39-H38)*F35,5)</f>
        <v>132824280.82075</v>
      </c>
    </row>
    <row r="36" spans="2:8">
      <c r="B36" s="173" t="s">
        <v>171</v>
      </c>
      <c r="D36" s="452">
        <v>104634300</v>
      </c>
      <c r="F36" s="451">
        <f t="shared" ref="F36:F37" si="2">D36/($D$39-$D$38)</f>
        <v>0.40781979369835764</v>
      </c>
      <c r="H36" s="452">
        <f>ROUND((+H39-H38)*F36,5)</f>
        <v>104939573.15903001</v>
      </c>
    </row>
    <row r="37" spans="2:8">
      <c r="B37" s="173" t="s">
        <v>133</v>
      </c>
      <c r="D37" s="452">
        <v>19497750</v>
      </c>
      <c r="F37" s="451">
        <f t="shared" si="2"/>
        <v>7.5993898583754591E-2</v>
      </c>
      <c r="H37" s="452">
        <f>ROUND((+H39-H38)*F37,5)</f>
        <v>19554635.168019999</v>
      </c>
    </row>
    <row r="38" spans="2:8">
      <c r="B38" s="173" t="s">
        <v>12</v>
      </c>
      <c r="D38" s="452">
        <f>+H38</f>
        <v>2206624</v>
      </c>
      <c r="F38" s="451">
        <v>0</v>
      </c>
      <c r="H38" s="452">
        <f>+'Bills-Therms-Revs'!G39</f>
        <v>2206624</v>
      </c>
    </row>
    <row r="39" spans="2:8">
      <c r="D39" s="452">
        <f>SUM(D35:D38)</f>
        <v>258776564</v>
      </c>
      <c r="F39" s="450">
        <v>1</v>
      </c>
      <c r="H39" s="452">
        <f>+'[48]Summary-WA Gas Cost Track'!$W$103</f>
        <v>259525113.14780021</v>
      </c>
    </row>
    <row r="42" spans="2:8">
      <c r="B42" s="173" t="s">
        <v>172</v>
      </c>
      <c r="D42" s="452">
        <f>+D39-D38</f>
        <v>256569940</v>
      </c>
      <c r="E42" s="452"/>
      <c r="F42" s="452"/>
      <c r="G42" s="452"/>
      <c r="H42" s="452">
        <f>+H39-H38</f>
        <v>257318489.14780021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4"/>
  <sheetViews>
    <sheetView workbookViewId="0">
      <selection sqref="A1:I1"/>
    </sheetView>
  </sheetViews>
  <sheetFormatPr defaultColWidth="9.33203125" defaultRowHeight="15"/>
  <cols>
    <col min="1" max="1" width="12.5" style="114" bestFit="1" customWidth="1"/>
    <col min="2" max="2" width="9.33203125" style="2"/>
    <col min="3" max="3" width="18.5" style="2" bestFit="1" customWidth="1"/>
    <col min="4" max="4" width="17" style="12" customWidth="1"/>
    <col min="5" max="5" width="19" style="2" customWidth="1"/>
    <col min="6" max="6" width="14.6640625" style="2" customWidth="1"/>
    <col min="7" max="7" width="12.33203125" style="2" bestFit="1" customWidth="1"/>
    <col min="8" max="8" width="17.1640625" style="2" customWidth="1"/>
    <col min="9" max="9" width="16.6640625" style="2" customWidth="1"/>
    <col min="10" max="10" width="11" style="2" bestFit="1" customWidth="1"/>
    <col min="11" max="16384" width="9.33203125" style="2"/>
  </cols>
  <sheetData>
    <row r="1" spans="1:9" s="114" customFormat="1">
      <c r="B1" s="1058" t="s">
        <v>47</v>
      </c>
      <c r="C1" s="1058"/>
      <c r="D1" s="1058"/>
      <c r="E1" s="1058"/>
      <c r="F1" s="1058"/>
      <c r="G1" s="1058"/>
      <c r="H1" s="1058"/>
      <c r="I1" s="1058"/>
    </row>
    <row r="2" spans="1:9" s="114" customFormat="1">
      <c r="B2" s="1064" t="s">
        <v>34</v>
      </c>
      <c r="C2" s="1064"/>
      <c r="D2" s="1064"/>
      <c r="E2" s="1064"/>
      <c r="F2" s="1064"/>
      <c r="G2" s="1064"/>
      <c r="H2" s="1064"/>
      <c r="I2" s="1064"/>
    </row>
    <row r="3" spans="1:9" s="114" customFormat="1">
      <c r="B3" s="1058" t="s">
        <v>48</v>
      </c>
      <c r="C3" s="1058"/>
      <c r="D3" s="1058"/>
      <c r="E3" s="1058"/>
      <c r="F3" s="1058"/>
      <c r="G3" s="1058"/>
      <c r="H3" s="1058"/>
      <c r="I3" s="1058"/>
    </row>
    <row r="5" spans="1:9">
      <c r="B5" s="160"/>
      <c r="C5" s="420">
        <v>503</v>
      </c>
      <c r="D5" s="420">
        <v>504</v>
      </c>
      <c r="E5" s="59">
        <v>505</v>
      </c>
      <c r="F5" s="59">
        <v>511</v>
      </c>
      <c r="G5" s="59">
        <v>570</v>
      </c>
      <c r="H5" s="60">
        <v>663</v>
      </c>
      <c r="I5" s="60" t="s">
        <v>132</v>
      </c>
    </row>
    <row r="6" spans="1:9">
      <c r="A6" s="431" t="s">
        <v>214</v>
      </c>
      <c r="B6" s="421">
        <v>44409</v>
      </c>
      <c r="C6" s="458">
        <v>2658664</v>
      </c>
      <c r="D6" s="458">
        <v>2574115</v>
      </c>
      <c r="E6" s="458">
        <v>465585</v>
      </c>
      <c r="F6" s="458">
        <f>303969+5411-4542+315534</f>
        <v>620372</v>
      </c>
      <c r="G6" s="458">
        <v>103033</v>
      </c>
      <c r="H6" s="434">
        <v>64342416</v>
      </c>
      <c r="I6" s="151">
        <f t="shared" ref="I6:I17" si="0">+C6+D6+E6+F6+G6</f>
        <v>6421769</v>
      </c>
    </row>
    <row r="7" spans="1:9">
      <c r="A7" s="431" t="s">
        <v>214</v>
      </c>
      <c r="B7" s="421">
        <v>44440</v>
      </c>
      <c r="C7" s="459">
        <v>3024586</v>
      </c>
      <c r="D7" s="459">
        <v>2786257</v>
      </c>
      <c r="E7" s="459">
        <v>585259</v>
      </c>
      <c r="F7" s="459">
        <f>322650+6417-5411+292711</f>
        <v>616367</v>
      </c>
      <c r="G7" s="459">
        <v>127498</v>
      </c>
      <c r="H7" s="434">
        <v>64724071</v>
      </c>
      <c r="I7" s="151">
        <f t="shared" si="0"/>
        <v>7139967</v>
      </c>
    </row>
    <row r="8" spans="1:9">
      <c r="A8" s="431" t="s">
        <v>214</v>
      </c>
      <c r="B8" s="421">
        <v>44470</v>
      </c>
      <c r="C8" s="458">
        <v>5302722</v>
      </c>
      <c r="D8" s="458">
        <v>3971082</v>
      </c>
      <c r="E8" s="458">
        <v>1219426</v>
      </c>
      <c r="F8" s="458">
        <f>501460+35202-6417+334722</f>
        <v>864967</v>
      </c>
      <c r="G8" s="458">
        <v>188282</v>
      </c>
      <c r="H8" s="434">
        <v>60792241</v>
      </c>
      <c r="I8" s="151">
        <f t="shared" si="0"/>
        <v>11546479</v>
      </c>
    </row>
    <row r="9" spans="1:9">
      <c r="A9" s="431" t="s">
        <v>214</v>
      </c>
      <c r="B9" s="421">
        <v>44501</v>
      </c>
      <c r="C9" s="459">
        <v>9930569</v>
      </c>
      <c r="D9" s="459">
        <v>6486681</v>
      </c>
      <c r="E9" s="459">
        <v>928838</v>
      </c>
      <c r="F9" s="459">
        <f>819685+372238+85868-35202</f>
        <v>1242589</v>
      </c>
      <c r="G9" s="459">
        <v>215369</v>
      </c>
      <c r="H9" s="434">
        <v>56917199</v>
      </c>
      <c r="I9" s="151">
        <f t="shared" si="0"/>
        <v>18804046</v>
      </c>
    </row>
    <row r="10" spans="1:9">
      <c r="A10" s="431" t="s">
        <v>214</v>
      </c>
      <c r="B10" s="421">
        <v>44531</v>
      </c>
      <c r="C10" s="458">
        <v>16399782</v>
      </c>
      <c r="D10" s="458">
        <v>10774671</v>
      </c>
      <c r="E10" s="458">
        <v>1371971</v>
      </c>
      <c r="F10" s="458">
        <f>1227897+115624-85868+456838</f>
        <v>1714491</v>
      </c>
      <c r="G10" s="458">
        <v>271190</v>
      </c>
      <c r="H10" s="434">
        <v>53394617</v>
      </c>
      <c r="I10" s="151">
        <f t="shared" si="0"/>
        <v>30532105</v>
      </c>
    </row>
    <row r="11" spans="1:9">
      <c r="A11" s="431" t="s">
        <v>214</v>
      </c>
      <c r="B11" s="421">
        <v>44562</v>
      </c>
      <c r="C11" s="460">
        <v>25738243</v>
      </c>
      <c r="D11" s="460">
        <v>17443599</v>
      </c>
      <c r="E11" s="460">
        <v>1704248</v>
      </c>
      <c r="F11" s="459">
        <f>1785353+503777+262656-115624</f>
        <v>2436162</v>
      </c>
      <c r="G11" s="459">
        <v>257267</v>
      </c>
      <c r="H11" s="434">
        <v>47833503</v>
      </c>
      <c r="I11" s="151">
        <f t="shared" si="0"/>
        <v>47579519</v>
      </c>
    </row>
    <row r="12" spans="1:9">
      <c r="A12" s="431" t="s">
        <v>214</v>
      </c>
      <c r="B12" s="421">
        <v>44593</v>
      </c>
      <c r="C12" s="461">
        <v>19530273</v>
      </c>
      <c r="D12" s="461">
        <v>13869466</v>
      </c>
      <c r="E12" s="461">
        <v>1365177</v>
      </c>
      <c r="F12" s="458">
        <f>1500244+438477+139791-262656</f>
        <v>1815856</v>
      </c>
      <c r="G12" s="458">
        <v>227538</v>
      </c>
      <c r="H12" s="434">
        <v>48208931</v>
      </c>
      <c r="I12" s="151">
        <f t="shared" si="0"/>
        <v>36808310</v>
      </c>
    </row>
    <row r="13" spans="1:9">
      <c r="A13" s="431" t="s">
        <v>214</v>
      </c>
      <c r="B13" s="421">
        <v>44621</v>
      </c>
      <c r="C13" s="459">
        <v>18863108</v>
      </c>
      <c r="D13" s="459">
        <v>13360572</v>
      </c>
      <c r="E13" s="459">
        <v>1544890</v>
      </c>
      <c r="F13" s="459">
        <f>1432349+93876-139791+507616</f>
        <v>1894050</v>
      </c>
      <c r="G13" s="459">
        <v>220931</v>
      </c>
      <c r="H13" s="434">
        <v>48839796</v>
      </c>
      <c r="I13" s="151">
        <f t="shared" si="0"/>
        <v>35883551</v>
      </c>
    </row>
    <row r="14" spans="1:9">
      <c r="A14" s="431" t="s">
        <v>214</v>
      </c>
      <c r="B14" s="421">
        <v>44652</v>
      </c>
      <c r="C14" s="458">
        <v>12434900</v>
      </c>
      <c r="D14" s="458">
        <v>8650358</v>
      </c>
      <c r="E14" s="458">
        <v>1036159</v>
      </c>
      <c r="F14" s="458">
        <f>989873+377750+91809-93876</f>
        <v>1365556</v>
      </c>
      <c r="G14" s="458">
        <v>211682</v>
      </c>
      <c r="H14" s="434">
        <v>50333357</v>
      </c>
      <c r="I14" s="151">
        <f t="shared" si="0"/>
        <v>23698655</v>
      </c>
    </row>
    <row r="15" spans="1:9">
      <c r="A15" s="431" t="s">
        <v>214</v>
      </c>
      <c r="B15" s="421">
        <v>44682</v>
      </c>
      <c r="C15" s="459">
        <v>10496103</v>
      </c>
      <c r="D15" s="459">
        <v>7583774</v>
      </c>
      <c r="E15" s="459">
        <v>1008957</v>
      </c>
      <c r="F15" s="459">
        <f>900138+328009+47180-91809</f>
        <v>1183518</v>
      </c>
      <c r="G15" s="459">
        <v>179840</v>
      </c>
      <c r="H15" s="434">
        <v>43018269</v>
      </c>
      <c r="I15" s="151">
        <f t="shared" si="0"/>
        <v>20452192</v>
      </c>
    </row>
    <row r="16" spans="1:9">
      <c r="A16" s="431" t="s">
        <v>214</v>
      </c>
      <c r="B16" s="421">
        <v>44713</v>
      </c>
      <c r="C16" s="435">
        <v>6329476</v>
      </c>
      <c r="D16" s="435">
        <v>4962455</v>
      </c>
      <c r="E16" s="435">
        <v>757107</v>
      </c>
      <c r="F16" s="435">
        <f>620762+13397-47180+387432</f>
        <v>974411</v>
      </c>
      <c r="G16" s="435">
        <v>115112</v>
      </c>
      <c r="H16" s="434">
        <v>34496191</v>
      </c>
      <c r="I16" s="151">
        <f t="shared" si="0"/>
        <v>13138561</v>
      </c>
    </row>
    <row r="17" spans="1:9">
      <c r="A17" s="431" t="s">
        <v>214</v>
      </c>
      <c r="B17" s="421">
        <v>44743</v>
      </c>
      <c r="C17" s="436">
        <v>3569632</v>
      </c>
      <c r="D17" s="437">
        <v>3141500</v>
      </c>
      <c r="E17" s="437">
        <v>510625</v>
      </c>
      <c r="F17" s="436">
        <f>366335+8798-13397+380485</f>
        <v>742221</v>
      </c>
      <c r="G17" s="436">
        <v>88882</v>
      </c>
      <c r="H17" s="434">
        <v>50251600</v>
      </c>
      <c r="I17" s="151">
        <f t="shared" si="0"/>
        <v>8052860</v>
      </c>
    </row>
    <row r="18" spans="1:9">
      <c r="A18" s="431"/>
      <c r="B18" s="166"/>
      <c r="C18" s="167"/>
      <c r="D18" s="168"/>
      <c r="E18" s="168"/>
      <c r="F18" s="168"/>
      <c r="G18" s="168"/>
      <c r="H18" s="168"/>
      <c r="I18" s="169"/>
    </row>
    <row r="19" spans="1:9" s="114" customFormat="1">
      <c r="A19" s="432" t="s">
        <v>211</v>
      </c>
      <c r="B19" s="433">
        <v>44774</v>
      </c>
      <c r="C19" s="14">
        <f t="shared" ref="C19:C30" si="1">(+C6/I6)*I19</f>
        <v>3005399.0459526028</v>
      </c>
      <c r="D19" s="14">
        <f t="shared" ref="D19:D30" si="2">(+D6/I6)*I19</f>
        <v>2909823.4170140657</v>
      </c>
      <c r="E19" s="14">
        <f t="shared" ref="E19:E30" si="3">(+E6/I6)*I19</f>
        <v>526305.20998886751</v>
      </c>
      <c r="F19" s="14">
        <f t="shared" ref="F19:F30" si="4">(+F6/I6)*I19</f>
        <v>701279.06983947882</v>
      </c>
      <c r="G19" s="14">
        <f t="shared" ref="G19:G30" si="5">(+G6/I6)*I19</f>
        <v>116470.25720498512</v>
      </c>
      <c r="H19" s="14">
        <f t="shared" ref="H19:H30" si="6">+H6</f>
        <v>64342416</v>
      </c>
      <c r="I19" s="773">
        <v>7259277</v>
      </c>
    </row>
    <row r="20" spans="1:9" s="114" customFormat="1">
      <c r="A20" s="432" t="s">
        <v>211</v>
      </c>
      <c r="B20" s="433">
        <v>44805</v>
      </c>
      <c r="C20" s="14">
        <f t="shared" si="1"/>
        <v>3677822.4978700886</v>
      </c>
      <c r="D20" s="14">
        <f t="shared" si="2"/>
        <v>3388020.2710215608</v>
      </c>
      <c r="E20" s="14">
        <f t="shared" si="3"/>
        <v>711660.60984245443</v>
      </c>
      <c r="F20" s="14">
        <f t="shared" si="4"/>
        <v>749487.17594563111</v>
      </c>
      <c r="G20" s="14">
        <f t="shared" si="5"/>
        <v>155034.44532026548</v>
      </c>
      <c r="H20" s="14">
        <f t="shared" si="6"/>
        <v>64724071</v>
      </c>
      <c r="I20" s="773">
        <v>8682025</v>
      </c>
    </row>
    <row r="21" spans="1:9" s="114" customFormat="1">
      <c r="A21" s="432" t="s">
        <v>211</v>
      </c>
      <c r="B21" s="433">
        <v>44835</v>
      </c>
      <c r="C21" s="14">
        <f t="shared" si="1"/>
        <v>8472291.4338436853</v>
      </c>
      <c r="D21" s="14">
        <f t="shared" si="2"/>
        <v>6344696.9333279869</v>
      </c>
      <c r="E21" s="14">
        <f t="shared" si="3"/>
        <v>1948307.3889233246</v>
      </c>
      <c r="F21" s="14">
        <f t="shared" si="4"/>
        <v>1381979.3880685186</v>
      </c>
      <c r="G21" s="14">
        <f t="shared" si="5"/>
        <v>300822.85583648487</v>
      </c>
      <c r="H21" s="14">
        <f t="shared" si="6"/>
        <v>60792241</v>
      </c>
      <c r="I21" s="773">
        <v>18448098</v>
      </c>
    </row>
    <row r="22" spans="1:9" s="114" customFormat="1">
      <c r="A22" s="432" t="s">
        <v>211</v>
      </c>
      <c r="B22" s="433">
        <v>44866</v>
      </c>
      <c r="C22" s="14">
        <f t="shared" si="1"/>
        <v>16107111.675342688</v>
      </c>
      <c r="D22" s="14">
        <f t="shared" si="2"/>
        <v>10521219.405385895</v>
      </c>
      <c r="E22" s="14">
        <f t="shared" si="3"/>
        <v>1506549.8658034552</v>
      </c>
      <c r="F22" s="14">
        <f t="shared" si="4"/>
        <v>2015445.4180372141</v>
      </c>
      <c r="G22" s="14">
        <f t="shared" si="5"/>
        <v>349322.63543074724</v>
      </c>
      <c r="H22" s="14">
        <f t="shared" si="6"/>
        <v>56917199</v>
      </c>
      <c r="I22" s="773">
        <v>30499649</v>
      </c>
    </row>
    <row r="23" spans="1:9" s="114" customFormat="1">
      <c r="A23" s="432" t="s">
        <v>211</v>
      </c>
      <c r="B23" s="433">
        <v>44896</v>
      </c>
      <c r="C23" s="14">
        <f t="shared" si="1"/>
        <v>22649646.954812255</v>
      </c>
      <c r="D23" s="14">
        <f t="shared" si="2"/>
        <v>14880837.696760476</v>
      </c>
      <c r="E23" s="14">
        <f t="shared" si="3"/>
        <v>1894821.4544705974</v>
      </c>
      <c r="F23" s="14">
        <f t="shared" si="4"/>
        <v>2367873.9057142963</v>
      </c>
      <c r="G23" s="14">
        <f t="shared" si="5"/>
        <v>374538.9882423763</v>
      </c>
      <c r="H23" s="14">
        <f t="shared" si="6"/>
        <v>53394617</v>
      </c>
      <c r="I23" s="773">
        <v>42167719</v>
      </c>
    </row>
    <row r="24" spans="1:9" s="114" customFormat="1">
      <c r="A24" s="432" t="s">
        <v>211</v>
      </c>
      <c r="B24" s="433">
        <v>44927</v>
      </c>
      <c r="C24" s="14">
        <f t="shared" si="1"/>
        <v>22265481.676961824</v>
      </c>
      <c r="D24" s="14">
        <f t="shared" si="2"/>
        <v>15090001.827815892</v>
      </c>
      <c r="E24" s="14">
        <f t="shared" si="3"/>
        <v>1474300.4259070379</v>
      </c>
      <c r="F24" s="14">
        <f t="shared" si="4"/>
        <v>2107460.1080233282</v>
      </c>
      <c r="G24" s="14">
        <f t="shared" si="5"/>
        <v>222554.96129191638</v>
      </c>
      <c r="H24" s="14">
        <f t="shared" si="6"/>
        <v>47833503</v>
      </c>
      <c r="I24" s="773">
        <v>41159799</v>
      </c>
    </row>
    <row r="25" spans="1:9" s="114" customFormat="1">
      <c r="A25" s="432" t="s">
        <v>211</v>
      </c>
      <c r="B25" s="433">
        <v>44958</v>
      </c>
      <c r="C25" s="14">
        <f t="shared" si="1"/>
        <v>17863868.401026372</v>
      </c>
      <c r="D25" s="14">
        <f t="shared" si="2"/>
        <v>12686065.136749988</v>
      </c>
      <c r="E25" s="14">
        <f t="shared" si="3"/>
        <v>1248694.3870220338</v>
      </c>
      <c r="F25" s="14">
        <f t="shared" si="4"/>
        <v>1660919.5692868268</v>
      </c>
      <c r="G25" s="14">
        <f t="shared" si="5"/>
        <v>208123.50591477848</v>
      </c>
      <c r="H25" s="14">
        <f t="shared" si="6"/>
        <v>48208931</v>
      </c>
      <c r="I25" s="773">
        <v>33667671</v>
      </c>
    </row>
    <row r="26" spans="1:9" s="114" customFormat="1">
      <c r="A26" s="432" t="s">
        <v>211</v>
      </c>
      <c r="B26" s="433">
        <v>44986</v>
      </c>
      <c r="C26" s="14">
        <f t="shared" si="1"/>
        <v>15012436.291447857</v>
      </c>
      <c r="D26" s="14">
        <f t="shared" si="2"/>
        <v>10633175.400750613</v>
      </c>
      <c r="E26" s="14">
        <f t="shared" si="3"/>
        <v>1229519.690090036</v>
      </c>
      <c r="F26" s="14">
        <f t="shared" si="4"/>
        <v>1507402.9665639836</v>
      </c>
      <c r="G26" s="14">
        <f t="shared" si="5"/>
        <v>175830.65114751324</v>
      </c>
      <c r="H26" s="14">
        <f t="shared" si="6"/>
        <v>48839796</v>
      </c>
      <c r="I26" s="773">
        <v>28558365</v>
      </c>
    </row>
    <row r="27" spans="1:9" s="114" customFormat="1">
      <c r="A27" s="432" t="s">
        <v>211</v>
      </c>
      <c r="B27" s="433">
        <v>45017</v>
      </c>
      <c r="C27" s="14">
        <f t="shared" si="1"/>
        <v>9662088.9139826708</v>
      </c>
      <c r="D27" s="14">
        <f t="shared" si="2"/>
        <v>6721447.5495405113</v>
      </c>
      <c r="E27" s="14">
        <f t="shared" si="3"/>
        <v>805109.84302434034</v>
      </c>
      <c r="F27" s="14">
        <f t="shared" si="4"/>
        <v>1061055.858030424</v>
      </c>
      <c r="G27" s="14">
        <f t="shared" si="5"/>
        <v>164479.83542205242</v>
      </c>
      <c r="H27" s="14">
        <f t="shared" si="6"/>
        <v>50333357</v>
      </c>
      <c r="I27" s="773">
        <v>18414182</v>
      </c>
    </row>
    <row r="28" spans="1:9" s="114" customFormat="1">
      <c r="A28" s="432" t="s">
        <v>211</v>
      </c>
      <c r="B28" s="433">
        <v>45047</v>
      </c>
      <c r="C28" s="14">
        <f t="shared" si="1"/>
        <v>5762668.771932221</v>
      </c>
      <c r="D28" s="14">
        <f t="shared" si="2"/>
        <v>4163714.6284855921</v>
      </c>
      <c r="E28" s="14">
        <f t="shared" si="3"/>
        <v>553947.02168246813</v>
      </c>
      <c r="F28" s="14">
        <f t="shared" si="4"/>
        <v>649786.13678044884</v>
      </c>
      <c r="G28" s="14">
        <f t="shared" si="5"/>
        <v>98737.441119269744</v>
      </c>
      <c r="H28" s="14">
        <f t="shared" si="6"/>
        <v>43018269</v>
      </c>
      <c r="I28" s="773">
        <v>11228854</v>
      </c>
    </row>
    <row r="29" spans="1:9" s="114" customFormat="1">
      <c r="A29" s="432" t="s">
        <v>211</v>
      </c>
      <c r="B29" s="433">
        <v>45078</v>
      </c>
      <c r="C29" s="14">
        <f t="shared" si="1"/>
        <v>3887129.5424020942</v>
      </c>
      <c r="D29" s="14">
        <f t="shared" si="2"/>
        <v>3047599.1114179096</v>
      </c>
      <c r="E29" s="14">
        <f t="shared" si="3"/>
        <v>464963.132249719</v>
      </c>
      <c r="F29" s="14">
        <f t="shared" si="4"/>
        <v>598416.32775628928</v>
      </c>
      <c r="G29" s="14">
        <f t="shared" si="5"/>
        <v>70693.886173988154</v>
      </c>
      <c r="H29" s="14">
        <f t="shared" si="6"/>
        <v>34496191</v>
      </c>
      <c r="I29" s="773">
        <v>8068802</v>
      </c>
    </row>
    <row r="30" spans="1:9" s="114" customFormat="1">
      <c r="A30" s="432" t="s">
        <v>211</v>
      </c>
      <c r="B30" s="433">
        <v>45108</v>
      </c>
      <c r="C30" s="14">
        <f t="shared" si="1"/>
        <v>3258710.893936316</v>
      </c>
      <c r="D30" s="14">
        <f t="shared" si="2"/>
        <v>2867869.9298137557</v>
      </c>
      <c r="E30" s="14">
        <f t="shared" si="3"/>
        <v>466148.68149328313</v>
      </c>
      <c r="F30" s="14">
        <f t="shared" si="4"/>
        <v>677572.27030918212</v>
      </c>
      <c r="G30" s="14">
        <f t="shared" si="5"/>
        <v>81140.224447463392</v>
      </c>
      <c r="H30" s="14">
        <f t="shared" si="6"/>
        <v>50251600</v>
      </c>
      <c r="I30" s="773">
        <v>7351442</v>
      </c>
    </row>
    <row r="31" spans="1:9" s="114" customFormat="1">
      <c r="A31" s="432" t="s">
        <v>211</v>
      </c>
      <c r="B31" s="433">
        <v>45139</v>
      </c>
      <c r="C31" s="14">
        <f>(+C19/I19)*I31</f>
        <v>3111094.470666883</v>
      </c>
      <c r="D31" s="14">
        <f>(+D19/I19)*I31</f>
        <v>3012157.5886838972</v>
      </c>
      <c r="E31" s="14">
        <f>(+E19/I19)*I31</f>
        <v>544814.58323633252</v>
      </c>
      <c r="F31" s="14">
        <f>(+F19/I19)*I31</f>
        <v>725942.01409300149</v>
      </c>
      <c r="G31" s="14">
        <f>(+G19/I19)*I31</f>
        <v>120566.34331988585</v>
      </c>
      <c r="H31" s="14">
        <f>+H19</f>
        <v>64342416</v>
      </c>
      <c r="I31" s="773">
        <v>7514575</v>
      </c>
    </row>
    <row r="32" spans="1:9" s="114" customFormat="1">
      <c r="A32" s="432" t="s">
        <v>211</v>
      </c>
      <c r="B32" s="433">
        <v>45170</v>
      </c>
      <c r="C32" s="14">
        <f>(+C20/I20)*I32</f>
        <v>3756120.2412823481</v>
      </c>
      <c r="D32" s="14">
        <f>(+D20/I20)*I32</f>
        <v>3460148.3691039467</v>
      </c>
      <c r="E32" s="14">
        <f>(+E20/I20)*I32</f>
        <v>726811.26484506158</v>
      </c>
      <c r="F32" s="14">
        <f>(+F20/I20)*I32</f>
        <v>765443.12668195809</v>
      </c>
      <c r="G32" s="14">
        <f>(+G20/I20)*I32</f>
        <v>158334.99808668584</v>
      </c>
      <c r="H32" s="14">
        <f>+H20</f>
        <v>64724071</v>
      </c>
      <c r="I32" s="773">
        <v>8866858</v>
      </c>
    </row>
    <row r="33" spans="1:9" s="114" customFormat="1">
      <c r="A33" s="432" t="s">
        <v>211</v>
      </c>
      <c r="B33" s="433">
        <v>45200</v>
      </c>
      <c r="C33" s="14">
        <f>(+C21/I21)*I33</f>
        <v>8657453.2796432581</v>
      </c>
      <c r="D33" s="14">
        <f>(+D21/I21)*I33</f>
        <v>6483360.2222843869</v>
      </c>
      <c r="E33" s="14">
        <f>(+E21/I21)*I33</f>
        <v>1990887.627709365</v>
      </c>
      <c r="F33" s="14">
        <f>(+F21/I21)*I33</f>
        <v>1412182.5339765481</v>
      </c>
      <c r="G33" s="14">
        <f>(+G21/I21)*I33</f>
        <v>307397.336386443</v>
      </c>
      <c r="H33" s="14">
        <f>+H21</f>
        <v>60792241</v>
      </c>
      <c r="I33" s="773">
        <v>18851281</v>
      </c>
    </row>
    <row r="34" spans="1:9" s="114" customFormat="1">
      <c r="A34" s="432" t="s">
        <v>146</v>
      </c>
      <c r="B34" s="433"/>
      <c r="C34" s="14">
        <f t="shared" ref="C34:I34" si="7">SUM(C22:C33)</f>
        <v>131993811.11343679</v>
      </c>
      <c r="D34" s="14">
        <f t="shared" si="7"/>
        <v>93567596.866792873</v>
      </c>
      <c r="E34" s="14">
        <f t="shared" si="7"/>
        <v>12906567.97753373</v>
      </c>
      <c r="F34" s="14">
        <f t="shared" si="7"/>
        <v>15549500.235253498</v>
      </c>
      <c r="G34" s="14">
        <f t="shared" si="7"/>
        <v>2331720.8069831203</v>
      </c>
      <c r="H34" s="14">
        <f t="shared" si="7"/>
        <v>623152191</v>
      </c>
      <c r="I34" s="14">
        <f t="shared" si="7"/>
        <v>256349197</v>
      </c>
    </row>
    <row r="35" spans="1:9" s="114" customFormat="1">
      <c r="B35" s="774"/>
      <c r="C35" s="775">
        <v>1</v>
      </c>
      <c r="D35" s="775">
        <v>2</v>
      </c>
      <c r="E35" s="775">
        <v>3</v>
      </c>
      <c r="F35" s="775">
        <v>4</v>
      </c>
      <c r="G35" s="775">
        <v>5</v>
      </c>
      <c r="H35" s="775">
        <v>6</v>
      </c>
      <c r="I35" s="422">
        <v>7</v>
      </c>
    </row>
    <row r="36" spans="1:9" s="114" customFormat="1" hidden="1">
      <c r="D36" s="1"/>
      <c r="E36" s="1"/>
      <c r="F36" s="1"/>
      <c r="G36" s="13"/>
      <c r="H36" s="14"/>
      <c r="I36" s="14"/>
    </row>
    <row r="37" spans="1:9" s="114" customFormat="1" hidden="1">
      <c r="D37" s="1"/>
      <c r="E37" s="1"/>
      <c r="F37" s="1"/>
      <c r="G37" s="33"/>
      <c r="H37" s="14"/>
      <c r="I37" s="14"/>
    </row>
    <row r="38" spans="1:9" s="114" customFormat="1" hidden="1">
      <c r="D38" s="1"/>
      <c r="E38" s="1"/>
      <c r="F38" s="1"/>
      <c r="G38" s="33"/>
      <c r="H38" s="14"/>
      <c r="I38" s="14"/>
    </row>
    <row r="39" spans="1:9" s="114" customFormat="1" hidden="1">
      <c r="D39" s="1"/>
      <c r="E39" s="1"/>
      <c r="F39" s="1"/>
      <c r="G39" s="13"/>
      <c r="H39" s="14"/>
      <c r="I39" s="14"/>
    </row>
    <row r="40" spans="1:9" s="114" customFormat="1" hidden="1">
      <c r="D40" s="1"/>
      <c r="E40" s="1"/>
      <c r="F40" s="1"/>
      <c r="G40" s="13"/>
      <c r="H40" s="14"/>
      <c r="I40" s="14"/>
    </row>
    <row r="41" spans="1:9" s="114" customFormat="1" hidden="1">
      <c r="D41" s="1"/>
      <c r="E41" s="1"/>
      <c r="F41" s="1"/>
      <c r="G41" s="13"/>
      <c r="H41" s="14"/>
      <c r="I41" s="14"/>
    </row>
    <row r="42" spans="1:9" s="114" customFormat="1" hidden="1">
      <c r="D42" s="1"/>
      <c r="E42" s="1"/>
      <c r="F42" s="1"/>
      <c r="G42" s="13"/>
      <c r="H42" s="14"/>
      <c r="I42" s="14"/>
    </row>
    <row r="43" spans="1:9" s="114" customFormat="1">
      <c r="D43" s="1"/>
      <c r="E43" s="1"/>
      <c r="F43" s="1"/>
      <c r="G43" s="13"/>
      <c r="H43" s="14"/>
      <c r="I43" s="14"/>
    </row>
    <row r="44" spans="1:9">
      <c r="D44" s="1"/>
      <c r="E44" s="1"/>
      <c r="F44" s="1"/>
      <c r="G44" s="13"/>
      <c r="H44" s="14"/>
      <c r="I44" s="14"/>
    </row>
  </sheetData>
  <mergeCells count="3">
    <mergeCell ref="B1:I1"/>
    <mergeCell ref="B2:I2"/>
    <mergeCell ref="B3:I3"/>
  </mergeCells>
  <phoneticPr fontId="23" type="noConversion"/>
  <printOptions horizontalCentered="1"/>
  <pageMargins left="0.25" right="0.25" top="1" bottom="1" header="0.5" footer="0.5"/>
  <pageSetup scale="92" orientation="landscape" r:id="rId1"/>
  <headerFooter alignWithMargins="0">
    <oddFooter>&amp;L
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P21"/>
  <sheetViews>
    <sheetView workbookViewId="0">
      <selection activeCell="F21" sqref="F21"/>
    </sheetView>
  </sheetViews>
  <sheetFormatPr defaultRowHeight="10.5"/>
  <cols>
    <col min="1" max="1" width="6.1640625" style="173" bestFit="1" customWidth="1"/>
    <col min="2" max="2" width="9.33203125" style="173"/>
    <col min="3" max="3" width="21.6640625" style="173" customWidth="1"/>
    <col min="4" max="4" width="13.5" style="173" customWidth="1"/>
    <col min="5" max="5" width="12.1640625" style="173" bestFit="1" customWidth="1"/>
    <col min="6" max="6" width="19.33203125" style="173" bestFit="1" customWidth="1"/>
    <col min="7" max="7" width="1.83203125" style="173" customWidth="1"/>
    <col min="8" max="8" width="17.33203125" style="173" bestFit="1" customWidth="1"/>
    <col min="9" max="9" width="15.33203125" style="180" bestFit="1" customWidth="1"/>
    <col min="10" max="10" width="19" style="173" bestFit="1" customWidth="1"/>
    <col min="11" max="11" width="9.33203125" style="173" customWidth="1"/>
    <col min="12" max="13" width="9.33203125" style="173"/>
    <col min="14" max="14" width="15.83203125" style="173" customWidth="1"/>
    <col min="15" max="253" width="9.33203125" style="173"/>
    <col min="254" max="254" width="5" style="173" customWidth="1"/>
    <col min="255" max="255" width="9.33203125" style="173"/>
    <col min="256" max="256" width="21.6640625" style="173" customWidth="1"/>
    <col min="257" max="257" width="13.5" style="173" customWidth="1"/>
    <col min="258" max="258" width="10.5" style="173" customWidth="1"/>
    <col min="259" max="259" width="15.1640625" style="173" customWidth="1"/>
    <col min="260" max="260" width="3.6640625" style="173" customWidth="1"/>
    <col min="261" max="261" width="13.1640625" style="173" customWidth="1"/>
    <col min="262" max="262" width="3.83203125" style="173" customWidth="1"/>
    <col min="263" max="263" width="15" style="173" customWidth="1"/>
    <col min="264" max="264" width="3.6640625" style="173" customWidth="1"/>
    <col min="265" max="266" width="13" style="173" customWidth="1"/>
    <col min="267" max="267" width="0" style="173" hidden="1" customWidth="1"/>
    <col min="268" max="269" width="9.33203125" style="173"/>
    <col min="270" max="270" width="15.83203125" style="173" customWidth="1"/>
    <col min="271" max="509" width="9.33203125" style="173"/>
    <col min="510" max="510" width="5" style="173" customWidth="1"/>
    <col min="511" max="511" width="9.33203125" style="173"/>
    <col min="512" max="512" width="21.6640625" style="173" customWidth="1"/>
    <col min="513" max="513" width="13.5" style="173" customWidth="1"/>
    <col min="514" max="514" width="10.5" style="173" customWidth="1"/>
    <col min="515" max="515" width="15.1640625" style="173" customWidth="1"/>
    <col min="516" max="516" width="3.6640625" style="173" customWidth="1"/>
    <col min="517" max="517" width="13.1640625" style="173" customWidth="1"/>
    <col min="518" max="518" width="3.83203125" style="173" customWidth="1"/>
    <col min="519" max="519" width="15" style="173" customWidth="1"/>
    <col min="520" max="520" width="3.6640625" style="173" customWidth="1"/>
    <col min="521" max="522" width="13" style="173" customWidth="1"/>
    <col min="523" max="523" width="0" style="173" hidden="1" customWidth="1"/>
    <col min="524" max="525" width="9.33203125" style="173"/>
    <col min="526" max="526" width="15.83203125" style="173" customWidth="1"/>
    <col min="527" max="765" width="9.33203125" style="173"/>
    <col min="766" max="766" width="5" style="173" customWidth="1"/>
    <col min="767" max="767" width="9.33203125" style="173"/>
    <col min="768" max="768" width="21.6640625" style="173" customWidth="1"/>
    <col min="769" max="769" width="13.5" style="173" customWidth="1"/>
    <col min="770" max="770" width="10.5" style="173" customWidth="1"/>
    <col min="771" max="771" width="15.1640625" style="173" customWidth="1"/>
    <col min="772" max="772" width="3.6640625" style="173" customWidth="1"/>
    <col min="773" max="773" width="13.1640625" style="173" customWidth="1"/>
    <col min="774" max="774" width="3.83203125" style="173" customWidth="1"/>
    <col min="775" max="775" width="15" style="173" customWidth="1"/>
    <col min="776" max="776" width="3.6640625" style="173" customWidth="1"/>
    <col min="777" max="778" width="13" style="173" customWidth="1"/>
    <col min="779" max="779" width="0" style="173" hidden="1" customWidth="1"/>
    <col min="780" max="781" width="9.33203125" style="173"/>
    <col min="782" max="782" width="15.83203125" style="173" customWidth="1"/>
    <col min="783" max="1021" width="9.33203125" style="173"/>
    <col min="1022" max="1022" width="5" style="173" customWidth="1"/>
    <col min="1023" max="1023" width="9.33203125" style="173"/>
    <col min="1024" max="1024" width="21.6640625" style="173" customWidth="1"/>
    <col min="1025" max="1025" width="13.5" style="173" customWidth="1"/>
    <col min="1026" max="1026" width="10.5" style="173" customWidth="1"/>
    <col min="1027" max="1027" width="15.1640625" style="173" customWidth="1"/>
    <col min="1028" max="1028" width="3.6640625" style="173" customWidth="1"/>
    <col min="1029" max="1029" width="13.1640625" style="173" customWidth="1"/>
    <col min="1030" max="1030" width="3.83203125" style="173" customWidth="1"/>
    <col min="1031" max="1031" width="15" style="173" customWidth="1"/>
    <col min="1032" max="1032" width="3.6640625" style="173" customWidth="1"/>
    <col min="1033" max="1034" width="13" style="173" customWidth="1"/>
    <col min="1035" max="1035" width="0" style="173" hidden="1" customWidth="1"/>
    <col min="1036" max="1037" width="9.33203125" style="173"/>
    <col min="1038" max="1038" width="15.83203125" style="173" customWidth="1"/>
    <col min="1039" max="1277" width="9.33203125" style="173"/>
    <col min="1278" max="1278" width="5" style="173" customWidth="1"/>
    <col min="1279" max="1279" width="9.33203125" style="173"/>
    <col min="1280" max="1280" width="21.6640625" style="173" customWidth="1"/>
    <col min="1281" max="1281" width="13.5" style="173" customWidth="1"/>
    <col min="1282" max="1282" width="10.5" style="173" customWidth="1"/>
    <col min="1283" max="1283" width="15.1640625" style="173" customWidth="1"/>
    <col min="1284" max="1284" width="3.6640625" style="173" customWidth="1"/>
    <col min="1285" max="1285" width="13.1640625" style="173" customWidth="1"/>
    <col min="1286" max="1286" width="3.83203125" style="173" customWidth="1"/>
    <col min="1287" max="1287" width="15" style="173" customWidth="1"/>
    <col min="1288" max="1288" width="3.6640625" style="173" customWidth="1"/>
    <col min="1289" max="1290" width="13" style="173" customWidth="1"/>
    <col min="1291" max="1291" width="0" style="173" hidden="1" customWidth="1"/>
    <col min="1292" max="1293" width="9.33203125" style="173"/>
    <col min="1294" max="1294" width="15.83203125" style="173" customWidth="1"/>
    <col min="1295" max="1533" width="9.33203125" style="173"/>
    <col min="1534" max="1534" width="5" style="173" customWidth="1"/>
    <col min="1535" max="1535" width="9.33203125" style="173"/>
    <col min="1536" max="1536" width="21.6640625" style="173" customWidth="1"/>
    <col min="1537" max="1537" width="13.5" style="173" customWidth="1"/>
    <col min="1538" max="1538" width="10.5" style="173" customWidth="1"/>
    <col min="1539" max="1539" width="15.1640625" style="173" customWidth="1"/>
    <col min="1540" max="1540" width="3.6640625" style="173" customWidth="1"/>
    <col min="1541" max="1541" width="13.1640625" style="173" customWidth="1"/>
    <col min="1542" max="1542" width="3.83203125" style="173" customWidth="1"/>
    <col min="1543" max="1543" width="15" style="173" customWidth="1"/>
    <col min="1544" max="1544" width="3.6640625" style="173" customWidth="1"/>
    <col min="1545" max="1546" width="13" style="173" customWidth="1"/>
    <col min="1547" max="1547" width="0" style="173" hidden="1" customWidth="1"/>
    <col min="1548" max="1549" width="9.33203125" style="173"/>
    <col min="1550" max="1550" width="15.83203125" style="173" customWidth="1"/>
    <col min="1551" max="1789" width="9.33203125" style="173"/>
    <col min="1790" max="1790" width="5" style="173" customWidth="1"/>
    <col min="1791" max="1791" width="9.33203125" style="173"/>
    <col min="1792" max="1792" width="21.6640625" style="173" customWidth="1"/>
    <col min="1793" max="1793" width="13.5" style="173" customWidth="1"/>
    <col min="1794" max="1794" width="10.5" style="173" customWidth="1"/>
    <col min="1795" max="1795" width="15.1640625" style="173" customWidth="1"/>
    <col min="1796" max="1796" width="3.6640625" style="173" customWidth="1"/>
    <col min="1797" max="1797" width="13.1640625" style="173" customWidth="1"/>
    <col min="1798" max="1798" width="3.83203125" style="173" customWidth="1"/>
    <col min="1799" max="1799" width="15" style="173" customWidth="1"/>
    <col min="1800" max="1800" width="3.6640625" style="173" customWidth="1"/>
    <col min="1801" max="1802" width="13" style="173" customWidth="1"/>
    <col min="1803" max="1803" width="0" style="173" hidden="1" customWidth="1"/>
    <col min="1804" max="1805" width="9.33203125" style="173"/>
    <col min="1806" max="1806" width="15.83203125" style="173" customWidth="1"/>
    <col min="1807" max="2045" width="9.33203125" style="173"/>
    <col min="2046" max="2046" width="5" style="173" customWidth="1"/>
    <col min="2047" max="2047" width="9.33203125" style="173"/>
    <col min="2048" max="2048" width="21.6640625" style="173" customWidth="1"/>
    <col min="2049" max="2049" width="13.5" style="173" customWidth="1"/>
    <col min="2050" max="2050" width="10.5" style="173" customWidth="1"/>
    <col min="2051" max="2051" width="15.1640625" style="173" customWidth="1"/>
    <col min="2052" max="2052" width="3.6640625" style="173" customWidth="1"/>
    <col min="2053" max="2053" width="13.1640625" style="173" customWidth="1"/>
    <col min="2054" max="2054" width="3.83203125" style="173" customWidth="1"/>
    <col min="2055" max="2055" width="15" style="173" customWidth="1"/>
    <col min="2056" max="2056" width="3.6640625" style="173" customWidth="1"/>
    <col min="2057" max="2058" width="13" style="173" customWidth="1"/>
    <col min="2059" max="2059" width="0" style="173" hidden="1" customWidth="1"/>
    <col min="2060" max="2061" width="9.33203125" style="173"/>
    <col min="2062" max="2062" width="15.83203125" style="173" customWidth="1"/>
    <col min="2063" max="2301" width="9.33203125" style="173"/>
    <col min="2302" max="2302" width="5" style="173" customWidth="1"/>
    <col min="2303" max="2303" width="9.33203125" style="173"/>
    <col min="2304" max="2304" width="21.6640625" style="173" customWidth="1"/>
    <col min="2305" max="2305" width="13.5" style="173" customWidth="1"/>
    <col min="2306" max="2306" width="10.5" style="173" customWidth="1"/>
    <col min="2307" max="2307" width="15.1640625" style="173" customWidth="1"/>
    <col min="2308" max="2308" width="3.6640625" style="173" customWidth="1"/>
    <col min="2309" max="2309" width="13.1640625" style="173" customWidth="1"/>
    <col min="2310" max="2310" width="3.83203125" style="173" customWidth="1"/>
    <col min="2311" max="2311" width="15" style="173" customWidth="1"/>
    <col min="2312" max="2312" width="3.6640625" style="173" customWidth="1"/>
    <col min="2313" max="2314" width="13" style="173" customWidth="1"/>
    <col min="2315" max="2315" width="0" style="173" hidden="1" customWidth="1"/>
    <col min="2316" max="2317" width="9.33203125" style="173"/>
    <col min="2318" max="2318" width="15.83203125" style="173" customWidth="1"/>
    <col min="2319" max="2557" width="9.33203125" style="173"/>
    <col min="2558" max="2558" width="5" style="173" customWidth="1"/>
    <col min="2559" max="2559" width="9.33203125" style="173"/>
    <col min="2560" max="2560" width="21.6640625" style="173" customWidth="1"/>
    <col min="2561" max="2561" width="13.5" style="173" customWidth="1"/>
    <col min="2562" max="2562" width="10.5" style="173" customWidth="1"/>
    <col min="2563" max="2563" width="15.1640625" style="173" customWidth="1"/>
    <col min="2564" max="2564" width="3.6640625" style="173" customWidth="1"/>
    <col min="2565" max="2565" width="13.1640625" style="173" customWidth="1"/>
    <col min="2566" max="2566" width="3.83203125" style="173" customWidth="1"/>
    <col min="2567" max="2567" width="15" style="173" customWidth="1"/>
    <col min="2568" max="2568" width="3.6640625" style="173" customWidth="1"/>
    <col min="2569" max="2570" width="13" style="173" customWidth="1"/>
    <col min="2571" max="2571" width="0" style="173" hidden="1" customWidth="1"/>
    <col min="2572" max="2573" width="9.33203125" style="173"/>
    <col min="2574" max="2574" width="15.83203125" style="173" customWidth="1"/>
    <col min="2575" max="2813" width="9.33203125" style="173"/>
    <col min="2814" max="2814" width="5" style="173" customWidth="1"/>
    <col min="2815" max="2815" width="9.33203125" style="173"/>
    <col min="2816" max="2816" width="21.6640625" style="173" customWidth="1"/>
    <col min="2817" max="2817" width="13.5" style="173" customWidth="1"/>
    <col min="2818" max="2818" width="10.5" style="173" customWidth="1"/>
    <col min="2819" max="2819" width="15.1640625" style="173" customWidth="1"/>
    <col min="2820" max="2820" width="3.6640625" style="173" customWidth="1"/>
    <col min="2821" max="2821" width="13.1640625" style="173" customWidth="1"/>
    <col min="2822" max="2822" width="3.83203125" style="173" customWidth="1"/>
    <col min="2823" max="2823" width="15" style="173" customWidth="1"/>
    <col min="2824" max="2824" width="3.6640625" style="173" customWidth="1"/>
    <col min="2825" max="2826" width="13" style="173" customWidth="1"/>
    <col min="2827" max="2827" width="0" style="173" hidden="1" customWidth="1"/>
    <col min="2828" max="2829" width="9.33203125" style="173"/>
    <col min="2830" max="2830" width="15.83203125" style="173" customWidth="1"/>
    <col min="2831" max="3069" width="9.33203125" style="173"/>
    <col min="3070" max="3070" width="5" style="173" customWidth="1"/>
    <col min="3071" max="3071" width="9.33203125" style="173"/>
    <col min="3072" max="3072" width="21.6640625" style="173" customWidth="1"/>
    <col min="3073" max="3073" width="13.5" style="173" customWidth="1"/>
    <col min="3074" max="3074" width="10.5" style="173" customWidth="1"/>
    <col min="3075" max="3075" width="15.1640625" style="173" customWidth="1"/>
    <col min="3076" max="3076" width="3.6640625" style="173" customWidth="1"/>
    <col min="3077" max="3077" width="13.1640625" style="173" customWidth="1"/>
    <col min="3078" max="3078" width="3.83203125" style="173" customWidth="1"/>
    <col min="3079" max="3079" width="15" style="173" customWidth="1"/>
    <col min="3080" max="3080" width="3.6640625" style="173" customWidth="1"/>
    <col min="3081" max="3082" width="13" style="173" customWidth="1"/>
    <col min="3083" max="3083" width="0" style="173" hidden="1" customWidth="1"/>
    <col min="3084" max="3085" width="9.33203125" style="173"/>
    <col min="3086" max="3086" width="15.83203125" style="173" customWidth="1"/>
    <col min="3087" max="3325" width="9.33203125" style="173"/>
    <col min="3326" max="3326" width="5" style="173" customWidth="1"/>
    <col min="3327" max="3327" width="9.33203125" style="173"/>
    <col min="3328" max="3328" width="21.6640625" style="173" customWidth="1"/>
    <col min="3329" max="3329" width="13.5" style="173" customWidth="1"/>
    <col min="3330" max="3330" width="10.5" style="173" customWidth="1"/>
    <col min="3331" max="3331" width="15.1640625" style="173" customWidth="1"/>
    <col min="3332" max="3332" width="3.6640625" style="173" customWidth="1"/>
    <col min="3333" max="3333" width="13.1640625" style="173" customWidth="1"/>
    <col min="3334" max="3334" width="3.83203125" style="173" customWidth="1"/>
    <col min="3335" max="3335" width="15" style="173" customWidth="1"/>
    <col min="3336" max="3336" width="3.6640625" style="173" customWidth="1"/>
    <col min="3337" max="3338" width="13" style="173" customWidth="1"/>
    <col min="3339" max="3339" width="0" style="173" hidden="1" customWidth="1"/>
    <col min="3340" max="3341" width="9.33203125" style="173"/>
    <col min="3342" max="3342" width="15.83203125" style="173" customWidth="1"/>
    <col min="3343" max="3581" width="9.33203125" style="173"/>
    <col min="3582" max="3582" width="5" style="173" customWidth="1"/>
    <col min="3583" max="3583" width="9.33203125" style="173"/>
    <col min="3584" max="3584" width="21.6640625" style="173" customWidth="1"/>
    <col min="3585" max="3585" width="13.5" style="173" customWidth="1"/>
    <col min="3586" max="3586" width="10.5" style="173" customWidth="1"/>
    <col min="3587" max="3587" width="15.1640625" style="173" customWidth="1"/>
    <col min="3588" max="3588" width="3.6640625" style="173" customWidth="1"/>
    <col min="3589" max="3589" width="13.1640625" style="173" customWidth="1"/>
    <col min="3590" max="3590" width="3.83203125" style="173" customWidth="1"/>
    <col min="3591" max="3591" width="15" style="173" customWidth="1"/>
    <col min="3592" max="3592" width="3.6640625" style="173" customWidth="1"/>
    <col min="3593" max="3594" width="13" style="173" customWidth="1"/>
    <col min="3595" max="3595" width="0" style="173" hidden="1" customWidth="1"/>
    <col min="3596" max="3597" width="9.33203125" style="173"/>
    <col min="3598" max="3598" width="15.83203125" style="173" customWidth="1"/>
    <col min="3599" max="3837" width="9.33203125" style="173"/>
    <col min="3838" max="3838" width="5" style="173" customWidth="1"/>
    <col min="3839" max="3839" width="9.33203125" style="173"/>
    <col min="3840" max="3840" width="21.6640625" style="173" customWidth="1"/>
    <col min="3841" max="3841" width="13.5" style="173" customWidth="1"/>
    <col min="3842" max="3842" width="10.5" style="173" customWidth="1"/>
    <col min="3843" max="3843" width="15.1640625" style="173" customWidth="1"/>
    <col min="3844" max="3844" width="3.6640625" style="173" customWidth="1"/>
    <col min="3845" max="3845" width="13.1640625" style="173" customWidth="1"/>
    <col min="3846" max="3846" width="3.83203125" style="173" customWidth="1"/>
    <col min="3847" max="3847" width="15" style="173" customWidth="1"/>
    <col min="3848" max="3848" width="3.6640625" style="173" customWidth="1"/>
    <col min="3849" max="3850" width="13" style="173" customWidth="1"/>
    <col min="3851" max="3851" width="0" style="173" hidden="1" customWidth="1"/>
    <col min="3852" max="3853" width="9.33203125" style="173"/>
    <col min="3854" max="3854" width="15.83203125" style="173" customWidth="1"/>
    <col min="3855" max="4093" width="9.33203125" style="173"/>
    <col min="4094" max="4094" width="5" style="173" customWidth="1"/>
    <col min="4095" max="4095" width="9.33203125" style="173"/>
    <col min="4096" max="4096" width="21.6640625" style="173" customWidth="1"/>
    <col min="4097" max="4097" width="13.5" style="173" customWidth="1"/>
    <col min="4098" max="4098" width="10.5" style="173" customWidth="1"/>
    <col min="4099" max="4099" width="15.1640625" style="173" customWidth="1"/>
    <col min="4100" max="4100" width="3.6640625" style="173" customWidth="1"/>
    <col min="4101" max="4101" width="13.1640625" style="173" customWidth="1"/>
    <col min="4102" max="4102" width="3.83203125" style="173" customWidth="1"/>
    <col min="4103" max="4103" width="15" style="173" customWidth="1"/>
    <col min="4104" max="4104" width="3.6640625" style="173" customWidth="1"/>
    <col min="4105" max="4106" width="13" style="173" customWidth="1"/>
    <col min="4107" max="4107" width="0" style="173" hidden="1" customWidth="1"/>
    <col min="4108" max="4109" width="9.33203125" style="173"/>
    <col min="4110" max="4110" width="15.83203125" style="173" customWidth="1"/>
    <col min="4111" max="4349" width="9.33203125" style="173"/>
    <col min="4350" max="4350" width="5" style="173" customWidth="1"/>
    <col min="4351" max="4351" width="9.33203125" style="173"/>
    <col min="4352" max="4352" width="21.6640625" style="173" customWidth="1"/>
    <col min="4353" max="4353" width="13.5" style="173" customWidth="1"/>
    <col min="4354" max="4354" width="10.5" style="173" customWidth="1"/>
    <col min="4355" max="4355" width="15.1640625" style="173" customWidth="1"/>
    <col min="4356" max="4356" width="3.6640625" style="173" customWidth="1"/>
    <col min="4357" max="4357" width="13.1640625" style="173" customWidth="1"/>
    <col min="4358" max="4358" width="3.83203125" style="173" customWidth="1"/>
    <col min="4359" max="4359" width="15" style="173" customWidth="1"/>
    <col min="4360" max="4360" width="3.6640625" style="173" customWidth="1"/>
    <col min="4361" max="4362" width="13" style="173" customWidth="1"/>
    <col min="4363" max="4363" width="0" style="173" hidden="1" customWidth="1"/>
    <col min="4364" max="4365" width="9.33203125" style="173"/>
    <col min="4366" max="4366" width="15.83203125" style="173" customWidth="1"/>
    <col min="4367" max="4605" width="9.33203125" style="173"/>
    <col min="4606" max="4606" width="5" style="173" customWidth="1"/>
    <col min="4607" max="4607" width="9.33203125" style="173"/>
    <col min="4608" max="4608" width="21.6640625" style="173" customWidth="1"/>
    <col min="4609" max="4609" width="13.5" style="173" customWidth="1"/>
    <col min="4610" max="4610" width="10.5" style="173" customWidth="1"/>
    <col min="4611" max="4611" width="15.1640625" style="173" customWidth="1"/>
    <col min="4612" max="4612" width="3.6640625" style="173" customWidth="1"/>
    <col min="4613" max="4613" width="13.1640625" style="173" customWidth="1"/>
    <col min="4614" max="4614" width="3.83203125" style="173" customWidth="1"/>
    <col min="4615" max="4615" width="15" style="173" customWidth="1"/>
    <col min="4616" max="4616" width="3.6640625" style="173" customWidth="1"/>
    <col min="4617" max="4618" width="13" style="173" customWidth="1"/>
    <col min="4619" max="4619" width="0" style="173" hidden="1" customWidth="1"/>
    <col min="4620" max="4621" width="9.33203125" style="173"/>
    <col min="4622" max="4622" width="15.83203125" style="173" customWidth="1"/>
    <col min="4623" max="4861" width="9.33203125" style="173"/>
    <col min="4862" max="4862" width="5" style="173" customWidth="1"/>
    <col min="4863" max="4863" width="9.33203125" style="173"/>
    <col min="4864" max="4864" width="21.6640625" style="173" customWidth="1"/>
    <col min="4865" max="4865" width="13.5" style="173" customWidth="1"/>
    <col min="4866" max="4866" width="10.5" style="173" customWidth="1"/>
    <col min="4867" max="4867" width="15.1640625" style="173" customWidth="1"/>
    <col min="4868" max="4868" width="3.6640625" style="173" customWidth="1"/>
    <col min="4869" max="4869" width="13.1640625" style="173" customWidth="1"/>
    <col min="4870" max="4870" width="3.83203125" style="173" customWidth="1"/>
    <col min="4871" max="4871" width="15" style="173" customWidth="1"/>
    <col min="4872" max="4872" width="3.6640625" style="173" customWidth="1"/>
    <col min="4873" max="4874" width="13" style="173" customWidth="1"/>
    <col min="4875" max="4875" width="0" style="173" hidden="1" customWidth="1"/>
    <col min="4876" max="4877" width="9.33203125" style="173"/>
    <col min="4878" max="4878" width="15.83203125" style="173" customWidth="1"/>
    <col min="4879" max="5117" width="9.33203125" style="173"/>
    <col min="5118" max="5118" width="5" style="173" customWidth="1"/>
    <col min="5119" max="5119" width="9.33203125" style="173"/>
    <col min="5120" max="5120" width="21.6640625" style="173" customWidth="1"/>
    <col min="5121" max="5121" width="13.5" style="173" customWidth="1"/>
    <col min="5122" max="5122" width="10.5" style="173" customWidth="1"/>
    <col min="5123" max="5123" width="15.1640625" style="173" customWidth="1"/>
    <col min="5124" max="5124" width="3.6640625" style="173" customWidth="1"/>
    <col min="5125" max="5125" width="13.1640625" style="173" customWidth="1"/>
    <col min="5126" max="5126" width="3.83203125" style="173" customWidth="1"/>
    <col min="5127" max="5127" width="15" style="173" customWidth="1"/>
    <col min="5128" max="5128" width="3.6640625" style="173" customWidth="1"/>
    <col min="5129" max="5130" width="13" style="173" customWidth="1"/>
    <col min="5131" max="5131" width="0" style="173" hidden="1" customWidth="1"/>
    <col min="5132" max="5133" width="9.33203125" style="173"/>
    <col min="5134" max="5134" width="15.83203125" style="173" customWidth="1"/>
    <col min="5135" max="5373" width="9.33203125" style="173"/>
    <col min="5374" max="5374" width="5" style="173" customWidth="1"/>
    <col min="5375" max="5375" width="9.33203125" style="173"/>
    <col min="5376" max="5376" width="21.6640625" style="173" customWidth="1"/>
    <col min="5377" max="5377" width="13.5" style="173" customWidth="1"/>
    <col min="5378" max="5378" width="10.5" style="173" customWidth="1"/>
    <col min="5379" max="5379" width="15.1640625" style="173" customWidth="1"/>
    <col min="5380" max="5380" width="3.6640625" style="173" customWidth="1"/>
    <col min="5381" max="5381" width="13.1640625" style="173" customWidth="1"/>
    <col min="5382" max="5382" width="3.83203125" style="173" customWidth="1"/>
    <col min="5383" max="5383" width="15" style="173" customWidth="1"/>
    <col min="5384" max="5384" width="3.6640625" style="173" customWidth="1"/>
    <col min="5385" max="5386" width="13" style="173" customWidth="1"/>
    <col min="5387" max="5387" width="0" style="173" hidden="1" customWidth="1"/>
    <col min="5388" max="5389" width="9.33203125" style="173"/>
    <col min="5390" max="5390" width="15.83203125" style="173" customWidth="1"/>
    <col min="5391" max="5629" width="9.33203125" style="173"/>
    <col min="5630" max="5630" width="5" style="173" customWidth="1"/>
    <col min="5631" max="5631" width="9.33203125" style="173"/>
    <col min="5632" max="5632" width="21.6640625" style="173" customWidth="1"/>
    <col min="5633" max="5633" width="13.5" style="173" customWidth="1"/>
    <col min="5634" max="5634" width="10.5" style="173" customWidth="1"/>
    <col min="5635" max="5635" width="15.1640625" style="173" customWidth="1"/>
    <col min="5636" max="5636" width="3.6640625" style="173" customWidth="1"/>
    <col min="5637" max="5637" width="13.1640625" style="173" customWidth="1"/>
    <col min="5638" max="5638" width="3.83203125" style="173" customWidth="1"/>
    <col min="5639" max="5639" width="15" style="173" customWidth="1"/>
    <col min="5640" max="5640" width="3.6640625" style="173" customWidth="1"/>
    <col min="5641" max="5642" width="13" style="173" customWidth="1"/>
    <col min="5643" max="5643" width="0" style="173" hidden="1" customWidth="1"/>
    <col min="5644" max="5645" width="9.33203125" style="173"/>
    <col min="5646" max="5646" width="15.83203125" style="173" customWidth="1"/>
    <col min="5647" max="5885" width="9.33203125" style="173"/>
    <col min="5886" max="5886" width="5" style="173" customWidth="1"/>
    <col min="5887" max="5887" width="9.33203125" style="173"/>
    <col min="5888" max="5888" width="21.6640625" style="173" customWidth="1"/>
    <col min="5889" max="5889" width="13.5" style="173" customWidth="1"/>
    <col min="5890" max="5890" width="10.5" style="173" customWidth="1"/>
    <col min="5891" max="5891" width="15.1640625" style="173" customWidth="1"/>
    <col min="5892" max="5892" width="3.6640625" style="173" customWidth="1"/>
    <col min="5893" max="5893" width="13.1640625" style="173" customWidth="1"/>
    <col min="5894" max="5894" width="3.83203125" style="173" customWidth="1"/>
    <col min="5895" max="5895" width="15" style="173" customWidth="1"/>
    <col min="5896" max="5896" width="3.6640625" style="173" customWidth="1"/>
    <col min="5897" max="5898" width="13" style="173" customWidth="1"/>
    <col min="5899" max="5899" width="0" style="173" hidden="1" customWidth="1"/>
    <col min="5900" max="5901" width="9.33203125" style="173"/>
    <col min="5902" max="5902" width="15.83203125" style="173" customWidth="1"/>
    <col min="5903" max="6141" width="9.33203125" style="173"/>
    <col min="6142" max="6142" width="5" style="173" customWidth="1"/>
    <col min="6143" max="6143" width="9.33203125" style="173"/>
    <col min="6144" max="6144" width="21.6640625" style="173" customWidth="1"/>
    <col min="6145" max="6145" width="13.5" style="173" customWidth="1"/>
    <col min="6146" max="6146" width="10.5" style="173" customWidth="1"/>
    <col min="6147" max="6147" width="15.1640625" style="173" customWidth="1"/>
    <col min="6148" max="6148" width="3.6640625" style="173" customWidth="1"/>
    <col min="6149" max="6149" width="13.1640625" style="173" customWidth="1"/>
    <col min="6150" max="6150" width="3.83203125" style="173" customWidth="1"/>
    <col min="6151" max="6151" width="15" style="173" customWidth="1"/>
    <col min="6152" max="6152" width="3.6640625" style="173" customWidth="1"/>
    <col min="6153" max="6154" width="13" style="173" customWidth="1"/>
    <col min="6155" max="6155" width="0" style="173" hidden="1" customWidth="1"/>
    <col min="6156" max="6157" width="9.33203125" style="173"/>
    <col min="6158" max="6158" width="15.83203125" style="173" customWidth="1"/>
    <col min="6159" max="6397" width="9.33203125" style="173"/>
    <col min="6398" max="6398" width="5" style="173" customWidth="1"/>
    <col min="6399" max="6399" width="9.33203125" style="173"/>
    <col min="6400" max="6400" width="21.6640625" style="173" customWidth="1"/>
    <col min="6401" max="6401" width="13.5" style="173" customWidth="1"/>
    <col min="6402" max="6402" width="10.5" style="173" customWidth="1"/>
    <col min="6403" max="6403" width="15.1640625" style="173" customWidth="1"/>
    <col min="6404" max="6404" width="3.6640625" style="173" customWidth="1"/>
    <col min="6405" max="6405" width="13.1640625" style="173" customWidth="1"/>
    <col min="6406" max="6406" width="3.83203125" style="173" customWidth="1"/>
    <col min="6407" max="6407" width="15" style="173" customWidth="1"/>
    <col min="6408" max="6408" width="3.6640625" style="173" customWidth="1"/>
    <col min="6409" max="6410" width="13" style="173" customWidth="1"/>
    <col min="6411" max="6411" width="0" style="173" hidden="1" customWidth="1"/>
    <col min="6412" max="6413" width="9.33203125" style="173"/>
    <col min="6414" max="6414" width="15.83203125" style="173" customWidth="1"/>
    <col min="6415" max="6653" width="9.33203125" style="173"/>
    <col min="6654" max="6654" width="5" style="173" customWidth="1"/>
    <col min="6655" max="6655" width="9.33203125" style="173"/>
    <col min="6656" max="6656" width="21.6640625" style="173" customWidth="1"/>
    <col min="6657" max="6657" width="13.5" style="173" customWidth="1"/>
    <col min="6658" max="6658" width="10.5" style="173" customWidth="1"/>
    <col min="6659" max="6659" width="15.1640625" style="173" customWidth="1"/>
    <col min="6660" max="6660" width="3.6640625" style="173" customWidth="1"/>
    <col min="6661" max="6661" width="13.1640625" style="173" customWidth="1"/>
    <col min="6662" max="6662" width="3.83203125" style="173" customWidth="1"/>
    <col min="6663" max="6663" width="15" style="173" customWidth="1"/>
    <col min="6664" max="6664" width="3.6640625" style="173" customWidth="1"/>
    <col min="6665" max="6666" width="13" style="173" customWidth="1"/>
    <col min="6667" max="6667" width="0" style="173" hidden="1" customWidth="1"/>
    <col min="6668" max="6669" width="9.33203125" style="173"/>
    <col min="6670" max="6670" width="15.83203125" style="173" customWidth="1"/>
    <col min="6671" max="6909" width="9.33203125" style="173"/>
    <col min="6910" max="6910" width="5" style="173" customWidth="1"/>
    <col min="6911" max="6911" width="9.33203125" style="173"/>
    <col min="6912" max="6912" width="21.6640625" style="173" customWidth="1"/>
    <col min="6913" max="6913" width="13.5" style="173" customWidth="1"/>
    <col min="6914" max="6914" width="10.5" style="173" customWidth="1"/>
    <col min="6915" max="6915" width="15.1640625" style="173" customWidth="1"/>
    <col min="6916" max="6916" width="3.6640625" style="173" customWidth="1"/>
    <col min="6917" max="6917" width="13.1640625" style="173" customWidth="1"/>
    <col min="6918" max="6918" width="3.83203125" style="173" customWidth="1"/>
    <col min="6919" max="6919" width="15" style="173" customWidth="1"/>
    <col min="6920" max="6920" width="3.6640625" style="173" customWidth="1"/>
    <col min="6921" max="6922" width="13" style="173" customWidth="1"/>
    <col min="6923" max="6923" width="0" style="173" hidden="1" customWidth="1"/>
    <col min="6924" max="6925" width="9.33203125" style="173"/>
    <col min="6926" max="6926" width="15.83203125" style="173" customWidth="1"/>
    <col min="6927" max="7165" width="9.33203125" style="173"/>
    <col min="7166" max="7166" width="5" style="173" customWidth="1"/>
    <col min="7167" max="7167" width="9.33203125" style="173"/>
    <col min="7168" max="7168" width="21.6640625" style="173" customWidth="1"/>
    <col min="7169" max="7169" width="13.5" style="173" customWidth="1"/>
    <col min="7170" max="7170" width="10.5" style="173" customWidth="1"/>
    <col min="7171" max="7171" width="15.1640625" style="173" customWidth="1"/>
    <col min="7172" max="7172" width="3.6640625" style="173" customWidth="1"/>
    <col min="7173" max="7173" width="13.1640625" style="173" customWidth="1"/>
    <col min="7174" max="7174" width="3.83203125" style="173" customWidth="1"/>
    <col min="7175" max="7175" width="15" style="173" customWidth="1"/>
    <col min="7176" max="7176" width="3.6640625" style="173" customWidth="1"/>
    <col min="7177" max="7178" width="13" style="173" customWidth="1"/>
    <col min="7179" max="7179" width="0" style="173" hidden="1" customWidth="1"/>
    <col min="7180" max="7181" width="9.33203125" style="173"/>
    <col min="7182" max="7182" width="15.83203125" style="173" customWidth="1"/>
    <col min="7183" max="7421" width="9.33203125" style="173"/>
    <col min="7422" max="7422" width="5" style="173" customWidth="1"/>
    <col min="7423" max="7423" width="9.33203125" style="173"/>
    <col min="7424" max="7424" width="21.6640625" style="173" customWidth="1"/>
    <col min="7425" max="7425" width="13.5" style="173" customWidth="1"/>
    <col min="7426" max="7426" width="10.5" style="173" customWidth="1"/>
    <col min="7427" max="7427" width="15.1640625" style="173" customWidth="1"/>
    <col min="7428" max="7428" width="3.6640625" style="173" customWidth="1"/>
    <col min="7429" max="7429" width="13.1640625" style="173" customWidth="1"/>
    <col min="7430" max="7430" width="3.83203125" style="173" customWidth="1"/>
    <col min="7431" max="7431" width="15" style="173" customWidth="1"/>
    <col min="7432" max="7432" width="3.6640625" style="173" customWidth="1"/>
    <col min="7433" max="7434" width="13" style="173" customWidth="1"/>
    <col min="7435" max="7435" width="0" style="173" hidden="1" customWidth="1"/>
    <col min="7436" max="7437" width="9.33203125" style="173"/>
    <col min="7438" max="7438" width="15.83203125" style="173" customWidth="1"/>
    <col min="7439" max="7677" width="9.33203125" style="173"/>
    <col min="7678" max="7678" width="5" style="173" customWidth="1"/>
    <col min="7679" max="7679" width="9.33203125" style="173"/>
    <col min="7680" max="7680" width="21.6640625" style="173" customWidth="1"/>
    <col min="7681" max="7681" width="13.5" style="173" customWidth="1"/>
    <col min="7682" max="7682" width="10.5" style="173" customWidth="1"/>
    <col min="7683" max="7683" width="15.1640625" style="173" customWidth="1"/>
    <col min="7684" max="7684" width="3.6640625" style="173" customWidth="1"/>
    <col min="7685" max="7685" width="13.1640625" style="173" customWidth="1"/>
    <col min="7686" max="7686" width="3.83203125" style="173" customWidth="1"/>
    <col min="7687" max="7687" width="15" style="173" customWidth="1"/>
    <col min="7688" max="7688" width="3.6640625" style="173" customWidth="1"/>
    <col min="7689" max="7690" width="13" style="173" customWidth="1"/>
    <col min="7691" max="7691" width="0" style="173" hidden="1" customWidth="1"/>
    <col min="7692" max="7693" width="9.33203125" style="173"/>
    <col min="7694" max="7694" width="15.83203125" style="173" customWidth="1"/>
    <col min="7695" max="7933" width="9.33203125" style="173"/>
    <col min="7934" max="7934" width="5" style="173" customWidth="1"/>
    <col min="7935" max="7935" width="9.33203125" style="173"/>
    <col min="7936" max="7936" width="21.6640625" style="173" customWidth="1"/>
    <col min="7937" max="7937" width="13.5" style="173" customWidth="1"/>
    <col min="7938" max="7938" width="10.5" style="173" customWidth="1"/>
    <col min="7939" max="7939" width="15.1640625" style="173" customWidth="1"/>
    <col min="7940" max="7940" width="3.6640625" style="173" customWidth="1"/>
    <col min="7941" max="7941" width="13.1640625" style="173" customWidth="1"/>
    <col min="7942" max="7942" width="3.83203125" style="173" customWidth="1"/>
    <col min="7943" max="7943" width="15" style="173" customWidth="1"/>
    <col min="7944" max="7944" width="3.6640625" style="173" customWidth="1"/>
    <col min="7945" max="7946" width="13" style="173" customWidth="1"/>
    <col min="7947" max="7947" width="0" style="173" hidden="1" customWidth="1"/>
    <col min="7948" max="7949" width="9.33203125" style="173"/>
    <col min="7950" max="7950" width="15.83203125" style="173" customWidth="1"/>
    <col min="7951" max="8189" width="9.33203125" style="173"/>
    <col min="8190" max="8190" width="5" style="173" customWidth="1"/>
    <col min="8191" max="8191" width="9.33203125" style="173"/>
    <col min="8192" max="8192" width="21.6640625" style="173" customWidth="1"/>
    <col min="8193" max="8193" width="13.5" style="173" customWidth="1"/>
    <col min="8194" max="8194" width="10.5" style="173" customWidth="1"/>
    <col min="8195" max="8195" width="15.1640625" style="173" customWidth="1"/>
    <col min="8196" max="8196" width="3.6640625" style="173" customWidth="1"/>
    <col min="8197" max="8197" width="13.1640625" style="173" customWidth="1"/>
    <col min="8198" max="8198" width="3.83203125" style="173" customWidth="1"/>
    <col min="8199" max="8199" width="15" style="173" customWidth="1"/>
    <col min="8200" max="8200" width="3.6640625" style="173" customWidth="1"/>
    <col min="8201" max="8202" width="13" style="173" customWidth="1"/>
    <col min="8203" max="8203" width="0" style="173" hidden="1" customWidth="1"/>
    <col min="8204" max="8205" width="9.33203125" style="173"/>
    <col min="8206" max="8206" width="15.83203125" style="173" customWidth="1"/>
    <col min="8207" max="8445" width="9.33203125" style="173"/>
    <col min="8446" max="8446" width="5" style="173" customWidth="1"/>
    <col min="8447" max="8447" width="9.33203125" style="173"/>
    <col min="8448" max="8448" width="21.6640625" style="173" customWidth="1"/>
    <col min="8449" max="8449" width="13.5" style="173" customWidth="1"/>
    <col min="8450" max="8450" width="10.5" style="173" customWidth="1"/>
    <col min="8451" max="8451" width="15.1640625" style="173" customWidth="1"/>
    <col min="8452" max="8452" width="3.6640625" style="173" customWidth="1"/>
    <col min="8453" max="8453" width="13.1640625" style="173" customWidth="1"/>
    <col min="8454" max="8454" width="3.83203125" style="173" customWidth="1"/>
    <col min="8455" max="8455" width="15" style="173" customWidth="1"/>
    <col min="8456" max="8456" width="3.6640625" style="173" customWidth="1"/>
    <col min="8457" max="8458" width="13" style="173" customWidth="1"/>
    <col min="8459" max="8459" width="0" style="173" hidden="1" customWidth="1"/>
    <col min="8460" max="8461" width="9.33203125" style="173"/>
    <col min="8462" max="8462" width="15.83203125" style="173" customWidth="1"/>
    <col min="8463" max="8701" width="9.33203125" style="173"/>
    <col min="8702" max="8702" width="5" style="173" customWidth="1"/>
    <col min="8703" max="8703" width="9.33203125" style="173"/>
    <col min="8704" max="8704" width="21.6640625" style="173" customWidth="1"/>
    <col min="8705" max="8705" width="13.5" style="173" customWidth="1"/>
    <col min="8706" max="8706" width="10.5" style="173" customWidth="1"/>
    <col min="8707" max="8707" width="15.1640625" style="173" customWidth="1"/>
    <col min="8708" max="8708" width="3.6640625" style="173" customWidth="1"/>
    <col min="8709" max="8709" width="13.1640625" style="173" customWidth="1"/>
    <col min="8710" max="8710" width="3.83203125" style="173" customWidth="1"/>
    <col min="8711" max="8711" width="15" style="173" customWidth="1"/>
    <col min="8712" max="8712" width="3.6640625" style="173" customWidth="1"/>
    <col min="8713" max="8714" width="13" style="173" customWidth="1"/>
    <col min="8715" max="8715" width="0" style="173" hidden="1" customWidth="1"/>
    <col min="8716" max="8717" width="9.33203125" style="173"/>
    <col min="8718" max="8718" width="15.83203125" style="173" customWidth="1"/>
    <col min="8719" max="8957" width="9.33203125" style="173"/>
    <col min="8958" max="8958" width="5" style="173" customWidth="1"/>
    <col min="8959" max="8959" width="9.33203125" style="173"/>
    <col min="8960" max="8960" width="21.6640625" style="173" customWidth="1"/>
    <col min="8961" max="8961" width="13.5" style="173" customWidth="1"/>
    <col min="8962" max="8962" width="10.5" style="173" customWidth="1"/>
    <col min="8963" max="8963" width="15.1640625" style="173" customWidth="1"/>
    <col min="8964" max="8964" width="3.6640625" style="173" customWidth="1"/>
    <col min="8965" max="8965" width="13.1640625" style="173" customWidth="1"/>
    <col min="8966" max="8966" width="3.83203125" style="173" customWidth="1"/>
    <col min="8967" max="8967" width="15" style="173" customWidth="1"/>
    <col min="8968" max="8968" width="3.6640625" style="173" customWidth="1"/>
    <col min="8969" max="8970" width="13" style="173" customWidth="1"/>
    <col min="8971" max="8971" width="0" style="173" hidden="1" customWidth="1"/>
    <col min="8972" max="8973" width="9.33203125" style="173"/>
    <col min="8974" max="8974" width="15.83203125" style="173" customWidth="1"/>
    <col min="8975" max="9213" width="9.33203125" style="173"/>
    <col min="9214" max="9214" width="5" style="173" customWidth="1"/>
    <col min="9215" max="9215" width="9.33203125" style="173"/>
    <col min="9216" max="9216" width="21.6640625" style="173" customWidth="1"/>
    <col min="9217" max="9217" width="13.5" style="173" customWidth="1"/>
    <col min="9218" max="9218" width="10.5" style="173" customWidth="1"/>
    <col min="9219" max="9219" width="15.1640625" style="173" customWidth="1"/>
    <col min="9220" max="9220" width="3.6640625" style="173" customWidth="1"/>
    <col min="9221" max="9221" width="13.1640625" style="173" customWidth="1"/>
    <col min="9222" max="9222" width="3.83203125" style="173" customWidth="1"/>
    <col min="9223" max="9223" width="15" style="173" customWidth="1"/>
    <col min="9224" max="9224" width="3.6640625" style="173" customWidth="1"/>
    <col min="9225" max="9226" width="13" style="173" customWidth="1"/>
    <col min="9227" max="9227" width="0" style="173" hidden="1" customWidth="1"/>
    <col min="9228" max="9229" width="9.33203125" style="173"/>
    <col min="9230" max="9230" width="15.83203125" style="173" customWidth="1"/>
    <col min="9231" max="9469" width="9.33203125" style="173"/>
    <col min="9470" max="9470" width="5" style="173" customWidth="1"/>
    <col min="9471" max="9471" width="9.33203125" style="173"/>
    <col min="9472" max="9472" width="21.6640625" style="173" customWidth="1"/>
    <col min="9473" max="9473" width="13.5" style="173" customWidth="1"/>
    <col min="9474" max="9474" width="10.5" style="173" customWidth="1"/>
    <col min="9475" max="9475" width="15.1640625" style="173" customWidth="1"/>
    <col min="9476" max="9476" width="3.6640625" style="173" customWidth="1"/>
    <col min="9477" max="9477" width="13.1640625" style="173" customWidth="1"/>
    <col min="9478" max="9478" width="3.83203125" style="173" customWidth="1"/>
    <col min="9479" max="9479" width="15" style="173" customWidth="1"/>
    <col min="9480" max="9480" width="3.6640625" style="173" customWidth="1"/>
    <col min="9481" max="9482" width="13" style="173" customWidth="1"/>
    <col min="9483" max="9483" width="0" style="173" hidden="1" customWidth="1"/>
    <col min="9484" max="9485" width="9.33203125" style="173"/>
    <col min="9486" max="9486" width="15.83203125" style="173" customWidth="1"/>
    <col min="9487" max="9725" width="9.33203125" style="173"/>
    <col min="9726" max="9726" width="5" style="173" customWidth="1"/>
    <col min="9727" max="9727" width="9.33203125" style="173"/>
    <col min="9728" max="9728" width="21.6640625" style="173" customWidth="1"/>
    <col min="9729" max="9729" width="13.5" style="173" customWidth="1"/>
    <col min="9730" max="9730" width="10.5" style="173" customWidth="1"/>
    <col min="9731" max="9731" width="15.1640625" style="173" customWidth="1"/>
    <col min="9732" max="9732" width="3.6640625" style="173" customWidth="1"/>
    <col min="9733" max="9733" width="13.1640625" style="173" customWidth="1"/>
    <col min="9734" max="9734" width="3.83203125" style="173" customWidth="1"/>
    <col min="9735" max="9735" width="15" style="173" customWidth="1"/>
    <col min="9736" max="9736" width="3.6640625" style="173" customWidth="1"/>
    <col min="9737" max="9738" width="13" style="173" customWidth="1"/>
    <col min="9739" max="9739" width="0" style="173" hidden="1" customWidth="1"/>
    <col min="9740" max="9741" width="9.33203125" style="173"/>
    <col min="9742" max="9742" width="15.83203125" style="173" customWidth="1"/>
    <col min="9743" max="9981" width="9.33203125" style="173"/>
    <col min="9982" max="9982" width="5" style="173" customWidth="1"/>
    <col min="9983" max="9983" width="9.33203125" style="173"/>
    <col min="9984" max="9984" width="21.6640625" style="173" customWidth="1"/>
    <col min="9985" max="9985" width="13.5" style="173" customWidth="1"/>
    <col min="9986" max="9986" width="10.5" style="173" customWidth="1"/>
    <col min="9987" max="9987" width="15.1640625" style="173" customWidth="1"/>
    <col min="9988" max="9988" width="3.6640625" style="173" customWidth="1"/>
    <col min="9989" max="9989" width="13.1640625" style="173" customWidth="1"/>
    <col min="9990" max="9990" width="3.83203125" style="173" customWidth="1"/>
    <col min="9991" max="9991" width="15" style="173" customWidth="1"/>
    <col min="9992" max="9992" width="3.6640625" style="173" customWidth="1"/>
    <col min="9993" max="9994" width="13" style="173" customWidth="1"/>
    <col min="9995" max="9995" width="0" style="173" hidden="1" customWidth="1"/>
    <col min="9996" max="9997" width="9.33203125" style="173"/>
    <col min="9998" max="9998" width="15.83203125" style="173" customWidth="1"/>
    <col min="9999" max="10237" width="9.33203125" style="173"/>
    <col min="10238" max="10238" width="5" style="173" customWidth="1"/>
    <col min="10239" max="10239" width="9.33203125" style="173"/>
    <col min="10240" max="10240" width="21.6640625" style="173" customWidth="1"/>
    <col min="10241" max="10241" width="13.5" style="173" customWidth="1"/>
    <col min="10242" max="10242" width="10.5" style="173" customWidth="1"/>
    <col min="10243" max="10243" width="15.1640625" style="173" customWidth="1"/>
    <col min="10244" max="10244" width="3.6640625" style="173" customWidth="1"/>
    <col min="10245" max="10245" width="13.1640625" style="173" customWidth="1"/>
    <col min="10246" max="10246" width="3.83203125" style="173" customWidth="1"/>
    <col min="10247" max="10247" width="15" style="173" customWidth="1"/>
    <col min="10248" max="10248" width="3.6640625" style="173" customWidth="1"/>
    <col min="10249" max="10250" width="13" style="173" customWidth="1"/>
    <col min="10251" max="10251" width="0" style="173" hidden="1" customWidth="1"/>
    <col min="10252" max="10253" width="9.33203125" style="173"/>
    <col min="10254" max="10254" width="15.83203125" style="173" customWidth="1"/>
    <col min="10255" max="10493" width="9.33203125" style="173"/>
    <col min="10494" max="10494" width="5" style="173" customWidth="1"/>
    <col min="10495" max="10495" width="9.33203125" style="173"/>
    <col min="10496" max="10496" width="21.6640625" style="173" customWidth="1"/>
    <col min="10497" max="10497" width="13.5" style="173" customWidth="1"/>
    <col min="10498" max="10498" width="10.5" style="173" customWidth="1"/>
    <col min="10499" max="10499" width="15.1640625" style="173" customWidth="1"/>
    <col min="10500" max="10500" width="3.6640625" style="173" customWidth="1"/>
    <col min="10501" max="10501" width="13.1640625" style="173" customWidth="1"/>
    <col min="10502" max="10502" width="3.83203125" style="173" customWidth="1"/>
    <col min="10503" max="10503" width="15" style="173" customWidth="1"/>
    <col min="10504" max="10504" width="3.6640625" style="173" customWidth="1"/>
    <col min="10505" max="10506" width="13" style="173" customWidth="1"/>
    <col min="10507" max="10507" width="0" style="173" hidden="1" customWidth="1"/>
    <col min="10508" max="10509" width="9.33203125" style="173"/>
    <col min="10510" max="10510" width="15.83203125" style="173" customWidth="1"/>
    <col min="10511" max="10749" width="9.33203125" style="173"/>
    <col min="10750" max="10750" width="5" style="173" customWidth="1"/>
    <col min="10751" max="10751" width="9.33203125" style="173"/>
    <col min="10752" max="10752" width="21.6640625" style="173" customWidth="1"/>
    <col min="10753" max="10753" width="13.5" style="173" customWidth="1"/>
    <col min="10754" max="10754" width="10.5" style="173" customWidth="1"/>
    <col min="10755" max="10755" width="15.1640625" style="173" customWidth="1"/>
    <col min="10756" max="10756" width="3.6640625" style="173" customWidth="1"/>
    <col min="10757" max="10757" width="13.1640625" style="173" customWidth="1"/>
    <col min="10758" max="10758" width="3.83203125" style="173" customWidth="1"/>
    <col min="10759" max="10759" width="15" style="173" customWidth="1"/>
    <col min="10760" max="10760" width="3.6640625" style="173" customWidth="1"/>
    <col min="10761" max="10762" width="13" style="173" customWidth="1"/>
    <col min="10763" max="10763" width="0" style="173" hidden="1" customWidth="1"/>
    <col min="10764" max="10765" width="9.33203125" style="173"/>
    <col min="10766" max="10766" width="15.83203125" style="173" customWidth="1"/>
    <col min="10767" max="11005" width="9.33203125" style="173"/>
    <col min="11006" max="11006" width="5" style="173" customWidth="1"/>
    <col min="11007" max="11007" width="9.33203125" style="173"/>
    <col min="11008" max="11008" width="21.6640625" style="173" customWidth="1"/>
    <col min="11009" max="11009" width="13.5" style="173" customWidth="1"/>
    <col min="11010" max="11010" width="10.5" style="173" customWidth="1"/>
    <col min="11011" max="11011" width="15.1640625" style="173" customWidth="1"/>
    <col min="11012" max="11012" width="3.6640625" style="173" customWidth="1"/>
    <col min="11013" max="11013" width="13.1640625" style="173" customWidth="1"/>
    <col min="11014" max="11014" width="3.83203125" style="173" customWidth="1"/>
    <col min="11015" max="11015" width="15" style="173" customWidth="1"/>
    <col min="11016" max="11016" width="3.6640625" style="173" customWidth="1"/>
    <col min="11017" max="11018" width="13" style="173" customWidth="1"/>
    <col min="11019" max="11019" width="0" style="173" hidden="1" customWidth="1"/>
    <col min="11020" max="11021" width="9.33203125" style="173"/>
    <col min="11022" max="11022" width="15.83203125" style="173" customWidth="1"/>
    <col min="11023" max="11261" width="9.33203125" style="173"/>
    <col min="11262" max="11262" width="5" style="173" customWidth="1"/>
    <col min="11263" max="11263" width="9.33203125" style="173"/>
    <col min="11264" max="11264" width="21.6640625" style="173" customWidth="1"/>
    <col min="11265" max="11265" width="13.5" style="173" customWidth="1"/>
    <col min="11266" max="11266" width="10.5" style="173" customWidth="1"/>
    <col min="11267" max="11267" width="15.1640625" style="173" customWidth="1"/>
    <col min="11268" max="11268" width="3.6640625" style="173" customWidth="1"/>
    <col min="11269" max="11269" width="13.1640625" style="173" customWidth="1"/>
    <col min="11270" max="11270" width="3.83203125" style="173" customWidth="1"/>
    <col min="11271" max="11271" width="15" style="173" customWidth="1"/>
    <col min="11272" max="11272" width="3.6640625" style="173" customWidth="1"/>
    <col min="11273" max="11274" width="13" style="173" customWidth="1"/>
    <col min="11275" max="11275" width="0" style="173" hidden="1" customWidth="1"/>
    <col min="11276" max="11277" width="9.33203125" style="173"/>
    <col min="11278" max="11278" width="15.83203125" style="173" customWidth="1"/>
    <col min="11279" max="11517" width="9.33203125" style="173"/>
    <col min="11518" max="11518" width="5" style="173" customWidth="1"/>
    <col min="11519" max="11519" width="9.33203125" style="173"/>
    <col min="11520" max="11520" width="21.6640625" style="173" customWidth="1"/>
    <col min="11521" max="11521" width="13.5" style="173" customWidth="1"/>
    <col min="11522" max="11522" width="10.5" style="173" customWidth="1"/>
    <col min="11523" max="11523" width="15.1640625" style="173" customWidth="1"/>
    <col min="11524" max="11524" width="3.6640625" style="173" customWidth="1"/>
    <col min="11525" max="11525" width="13.1640625" style="173" customWidth="1"/>
    <col min="11526" max="11526" width="3.83203125" style="173" customWidth="1"/>
    <col min="11527" max="11527" width="15" style="173" customWidth="1"/>
    <col min="11528" max="11528" width="3.6640625" style="173" customWidth="1"/>
    <col min="11529" max="11530" width="13" style="173" customWidth="1"/>
    <col min="11531" max="11531" width="0" style="173" hidden="1" customWidth="1"/>
    <col min="11532" max="11533" width="9.33203125" style="173"/>
    <col min="11534" max="11534" width="15.83203125" style="173" customWidth="1"/>
    <col min="11535" max="11773" width="9.33203125" style="173"/>
    <col min="11774" max="11774" width="5" style="173" customWidth="1"/>
    <col min="11775" max="11775" width="9.33203125" style="173"/>
    <col min="11776" max="11776" width="21.6640625" style="173" customWidth="1"/>
    <col min="11777" max="11777" width="13.5" style="173" customWidth="1"/>
    <col min="11778" max="11778" width="10.5" style="173" customWidth="1"/>
    <col min="11779" max="11779" width="15.1640625" style="173" customWidth="1"/>
    <col min="11780" max="11780" width="3.6640625" style="173" customWidth="1"/>
    <col min="11781" max="11781" width="13.1640625" style="173" customWidth="1"/>
    <col min="11782" max="11782" width="3.83203125" style="173" customWidth="1"/>
    <col min="11783" max="11783" width="15" style="173" customWidth="1"/>
    <col min="11784" max="11784" width="3.6640625" style="173" customWidth="1"/>
    <col min="11785" max="11786" width="13" style="173" customWidth="1"/>
    <col min="11787" max="11787" width="0" style="173" hidden="1" customWidth="1"/>
    <col min="11788" max="11789" width="9.33203125" style="173"/>
    <col min="11790" max="11790" width="15.83203125" style="173" customWidth="1"/>
    <col min="11791" max="12029" width="9.33203125" style="173"/>
    <col min="12030" max="12030" width="5" style="173" customWidth="1"/>
    <col min="12031" max="12031" width="9.33203125" style="173"/>
    <col min="12032" max="12032" width="21.6640625" style="173" customWidth="1"/>
    <col min="12033" max="12033" width="13.5" style="173" customWidth="1"/>
    <col min="12034" max="12034" width="10.5" style="173" customWidth="1"/>
    <col min="12035" max="12035" width="15.1640625" style="173" customWidth="1"/>
    <col min="12036" max="12036" width="3.6640625" style="173" customWidth="1"/>
    <col min="12037" max="12037" width="13.1640625" style="173" customWidth="1"/>
    <col min="12038" max="12038" width="3.83203125" style="173" customWidth="1"/>
    <col min="12039" max="12039" width="15" style="173" customWidth="1"/>
    <col min="12040" max="12040" width="3.6640625" style="173" customWidth="1"/>
    <col min="12041" max="12042" width="13" style="173" customWidth="1"/>
    <col min="12043" max="12043" width="0" style="173" hidden="1" customWidth="1"/>
    <col min="12044" max="12045" width="9.33203125" style="173"/>
    <col min="12046" max="12046" width="15.83203125" style="173" customWidth="1"/>
    <col min="12047" max="12285" width="9.33203125" style="173"/>
    <col min="12286" max="12286" width="5" style="173" customWidth="1"/>
    <col min="12287" max="12287" width="9.33203125" style="173"/>
    <col min="12288" max="12288" width="21.6640625" style="173" customWidth="1"/>
    <col min="12289" max="12289" width="13.5" style="173" customWidth="1"/>
    <col min="12290" max="12290" width="10.5" style="173" customWidth="1"/>
    <col min="12291" max="12291" width="15.1640625" style="173" customWidth="1"/>
    <col min="12292" max="12292" width="3.6640625" style="173" customWidth="1"/>
    <col min="12293" max="12293" width="13.1640625" style="173" customWidth="1"/>
    <col min="12294" max="12294" width="3.83203125" style="173" customWidth="1"/>
    <col min="12295" max="12295" width="15" style="173" customWidth="1"/>
    <col min="12296" max="12296" width="3.6640625" style="173" customWidth="1"/>
    <col min="12297" max="12298" width="13" style="173" customWidth="1"/>
    <col min="12299" max="12299" width="0" style="173" hidden="1" customWidth="1"/>
    <col min="12300" max="12301" width="9.33203125" style="173"/>
    <col min="12302" max="12302" width="15.83203125" style="173" customWidth="1"/>
    <col min="12303" max="12541" width="9.33203125" style="173"/>
    <col min="12542" max="12542" width="5" style="173" customWidth="1"/>
    <col min="12543" max="12543" width="9.33203125" style="173"/>
    <col min="12544" max="12544" width="21.6640625" style="173" customWidth="1"/>
    <col min="12545" max="12545" width="13.5" style="173" customWidth="1"/>
    <col min="12546" max="12546" width="10.5" style="173" customWidth="1"/>
    <col min="12547" max="12547" width="15.1640625" style="173" customWidth="1"/>
    <col min="12548" max="12548" width="3.6640625" style="173" customWidth="1"/>
    <col min="12549" max="12549" width="13.1640625" style="173" customWidth="1"/>
    <col min="12550" max="12550" width="3.83203125" style="173" customWidth="1"/>
    <col min="12551" max="12551" width="15" style="173" customWidth="1"/>
    <col min="12552" max="12552" width="3.6640625" style="173" customWidth="1"/>
    <col min="12553" max="12554" width="13" style="173" customWidth="1"/>
    <col min="12555" max="12555" width="0" style="173" hidden="1" customWidth="1"/>
    <col min="12556" max="12557" width="9.33203125" style="173"/>
    <col min="12558" max="12558" width="15.83203125" style="173" customWidth="1"/>
    <col min="12559" max="12797" width="9.33203125" style="173"/>
    <col min="12798" max="12798" width="5" style="173" customWidth="1"/>
    <col min="12799" max="12799" width="9.33203125" style="173"/>
    <col min="12800" max="12800" width="21.6640625" style="173" customWidth="1"/>
    <col min="12801" max="12801" width="13.5" style="173" customWidth="1"/>
    <col min="12802" max="12802" width="10.5" style="173" customWidth="1"/>
    <col min="12803" max="12803" width="15.1640625" style="173" customWidth="1"/>
    <col min="12804" max="12804" width="3.6640625" style="173" customWidth="1"/>
    <col min="12805" max="12805" width="13.1640625" style="173" customWidth="1"/>
    <col min="12806" max="12806" width="3.83203125" style="173" customWidth="1"/>
    <col min="12807" max="12807" width="15" style="173" customWidth="1"/>
    <col min="12808" max="12808" width="3.6640625" style="173" customWidth="1"/>
    <col min="12809" max="12810" width="13" style="173" customWidth="1"/>
    <col min="12811" max="12811" width="0" style="173" hidden="1" customWidth="1"/>
    <col min="12812" max="12813" width="9.33203125" style="173"/>
    <col min="12814" max="12814" width="15.83203125" style="173" customWidth="1"/>
    <col min="12815" max="13053" width="9.33203125" style="173"/>
    <col min="13054" max="13054" width="5" style="173" customWidth="1"/>
    <col min="13055" max="13055" width="9.33203125" style="173"/>
    <col min="13056" max="13056" width="21.6640625" style="173" customWidth="1"/>
    <col min="13057" max="13057" width="13.5" style="173" customWidth="1"/>
    <col min="13058" max="13058" width="10.5" style="173" customWidth="1"/>
    <col min="13059" max="13059" width="15.1640625" style="173" customWidth="1"/>
    <col min="13060" max="13060" width="3.6640625" style="173" customWidth="1"/>
    <col min="13061" max="13061" width="13.1640625" style="173" customWidth="1"/>
    <col min="13062" max="13062" width="3.83203125" style="173" customWidth="1"/>
    <col min="13063" max="13063" width="15" style="173" customWidth="1"/>
    <col min="13064" max="13064" width="3.6640625" style="173" customWidth="1"/>
    <col min="13065" max="13066" width="13" style="173" customWidth="1"/>
    <col min="13067" max="13067" width="0" style="173" hidden="1" customWidth="1"/>
    <col min="13068" max="13069" width="9.33203125" style="173"/>
    <col min="13070" max="13070" width="15.83203125" style="173" customWidth="1"/>
    <col min="13071" max="13309" width="9.33203125" style="173"/>
    <col min="13310" max="13310" width="5" style="173" customWidth="1"/>
    <col min="13311" max="13311" width="9.33203125" style="173"/>
    <col min="13312" max="13312" width="21.6640625" style="173" customWidth="1"/>
    <col min="13313" max="13313" width="13.5" style="173" customWidth="1"/>
    <col min="13314" max="13314" width="10.5" style="173" customWidth="1"/>
    <col min="13315" max="13315" width="15.1640625" style="173" customWidth="1"/>
    <col min="13316" max="13316" width="3.6640625" style="173" customWidth="1"/>
    <col min="13317" max="13317" width="13.1640625" style="173" customWidth="1"/>
    <col min="13318" max="13318" width="3.83203125" style="173" customWidth="1"/>
    <col min="13319" max="13319" width="15" style="173" customWidth="1"/>
    <col min="13320" max="13320" width="3.6640625" style="173" customWidth="1"/>
    <col min="13321" max="13322" width="13" style="173" customWidth="1"/>
    <col min="13323" max="13323" width="0" style="173" hidden="1" customWidth="1"/>
    <col min="13324" max="13325" width="9.33203125" style="173"/>
    <col min="13326" max="13326" width="15.83203125" style="173" customWidth="1"/>
    <col min="13327" max="13565" width="9.33203125" style="173"/>
    <col min="13566" max="13566" width="5" style="173" customWidth="1"/>
    <col min="13567" max="13567" width="9.33203125" style="173"/>
    <col min="13568" max="13568" width="21.6640625" style="173" customWidth="1"/>
    <col min="13569" max="13569" width="13.5" style="173" customWidth="1"/>
    <col min="13570" max="13570" width="10.5" style="173" customWidth="1"/>
    <col min="13571" max="13571" width="15.1640625" style="173" customWidth="1"/>
    <col min="13572" max="13572" width="3.6640625" style="173" customWidth="1"/>
    <col min="13573" max="13573" width="13.1640625" style="173" customWidth="1"/>
    <col min="13574" max="13574" width="3.83203125" style="173" customWidth="1"/>
    <col min="13575" max="13575" width="15" style="173" customWidth="1"/>
    <col min="13576" max="13576" width="3.6640625" style="173" customWidth="1"/>
    <col min="13577" max="13578" width="13" style="173" customWidth="1"/>
    <col min="13579" max="13579" width="0" style="173" hidden="1" customWidth="1"/>
    <col min="13580" max="13581" width="9.33203125" style="173"/>
    <col min="13582" max="13582" width="15.83203125" style="173" customWidth="1"/>
    <col min="13583" max="13821" width="9.33203125" style="173"/>
    <col min="13822" max="13822" width="5" style="173" customWidth="1"/>
    <col min="13823" max="13823" width="9.33203125" style="173"/>
    <col min="13824" max="13824" width="21.6640625" style="173" customWidth="1"/>
    <col min="13825" max="13825" width="13.5" style="173" customWidth="1"/>
    <col min="13826" max="13826" width="10.5" style="173" customWidth="1"/>
    <col min="13827" max="13827" width="15.1640625" style="173" customWidth="1"/>
    <col min="13828" max="13828" width="3.6640625" style="173" customWidth="1"/>
    <col min="13829" max="13829" width="13.1640625" style="173" customWidth="1"/>
    <col min="13830" max="13830" width="3.83203125" style="173" customWidth="1"/>
    <col min="13831" max="13831" width="15" style="173" customWidth="1"/>
    <col min="13832" max="13832" width="3.6640625" style="173" customWidth="1"/>
    <col min="13833" max="13834" width="13" style="173" customWidth="1"/>
    <col min="13835" max="13835" width="0" style="173" hidden="1" customWidth="1"/>
    <col min="13836" max="13837" width="9.33203125" style="173"/>
    <col min="13838" max="13838" width="15.83203125" style="173" customWidth="1"/>
    <col min="13839" max="14077" width="9.33203125" style="173"/>
    <col min="14078" max="14078" width="5" style="173" customWidth="1"/>
    <col min="14079" max="14079" width="9.33203125" style="173"/>
    <col min="14080" max="14080" width="21.6640625" style="173" customWidth="1"/>
    <col min="14081" max="14081" width="13.5" style="173" customWidth="1"/>
    <col min="14082" max="14082" width="10.5" style="173" customWidth="1"/>
    <col min="14083" max="14083" width="15.1640625" style="173" customWidth="1"/>
    <col min="14084" max="14084" width="3.6640625" style="173" customWidth="1"/>
    <col min="14085" max="14085" width="13.1640625" style="173" customWidth="1"/>
    <col min="14086" max="14086" width="3.83203125" style="173" customWidth="1"/>
    <col min="14087" max="14087" width="15" style="173" customWidth="1"/>
    <col min="14088" max="14088" width="3.6640625" style="173" customWidth="1"/>
    <col min="14089" max="14090" width="13" style="173" customWidth="1"/>
    <col min="14091" max="14091" width="0" style="173" hidden="1" customWidth="1"/>
    <col min="14092" max="14093" width="9.33203125" style="173"/>
    <col min="14094" max="14094" width="15.83203125" style="173" customWidth="1"/>
    <col min="14095" max="14333" width="9.33203125" style="173"/>
    <col min="14334" max="14334" width="5" style="173" customWidth="1"/>
    <col min="14335" max="14335" width="9.33203125" style="173"/>
    <col min="14336" max="14336" width="21.6640625" style="173" customWidth="1"/>
    <col min="14337" max="14337" width="13.5" style="173" customWidth="1"/>
    <col min="14338" max="14338" width="10.5" style="173" customWidth="1"/>
    <col min="14339" max="14339" width="15.1640625" style="173" customWidth="1"/>
    <col min="14340" max="14340" width="3.6640625" style="173" customWidth="1"/>
    <col min="14341" max="14341" width="13.1640625" style="173" customWidth="1"/>
    <col min="14342" max="14342" width="3.83203125" style="173" customWidth="1"/>
    <col min="14343" max="14343" width="15" style="173" customWidth="1"/>
    <col min="14344" max="14344" width="3.6640625" style="173" customWidth="1"/>
    <col min="14345" max="14346" width="13" style="173" customWidth="1"/>
    <col min="14347" max="14347" width="0" style="173" hidden="1" customWidth="1"/>
    <col min="14348" max="14349" width="9.33203125" style="173"/>
    <col min="14350" max="14350" width="15.83203125" style="173" customWidth="1"/>
    <col min="14351" max="14589" width="9.33203125" style="173"/>
    <col min="14590" max="14590" width="5" style="173" customWidth="1"/>
    <col min="14591" max="14591" width="9.33203125" style="173"/>
    <col min="14592" max="14592" width="21.6640625" style="173" customWidth="1"/>
    <col min="14593" max="14593" width="13.5" style="173" customWidth="1"/>
    <col min="14594" max="14594" width="10.5" style="173" customWidth="1"/>
    <col min="14595" max="14595" width="15.1640625" style="173" customWidth="1"/>
    <col min="14596" max="14596" width="3.6640625" style="173" customWidth="1"/>
    <col min="14597" max="14597" width="13.1640625" style="173" customWidth="1"/>
    <col min="14598" max="14598" width="3.83203125" style="173" customWidth="1"/>
    <col min="14599" max="14599" width="15" style="173" customWidth="1"/>
    <col min="14600" max="14600" width="3.6640625" style="173" customWidth="1"/>
    <col min="14601" max="14602" width="13" style="173" customWidth="1"/>
    <col min="14603" max="14603" width="0" style="173" hidden="1" customWidth="1"/>
    <col min="14604" max="14605" width="9.33203125" style="173"/>
    <col min="14606" max="14606" width="15.83203125" style="173" customWidth="1"/>
    <col min="14607" max="14845" width="9.33203125" style="173"/>
    <col min="14846" max="14846" width="5" style="173" customWidth="1"/>
    <col min="14847" max="14847" width="9.33203125" style="173"/>
    <col min="14848" max="14848" width="21.6640625" style="173" customWidth="1"/>
    <col min="14849" max="14849" width="13.5" style="173" customWidth="1"/>
    <col min="14850" max="14850" width="10.5" style="173" customWidth="1"/>
    <col min="14851" max="14851" width="15.1640625" style="173" customWidth="1"/>
    <col min="14852" max="14852" width="3.6640625" style="173" customWidth="1"/>
    <col min="14853" max="14853" width="13.1640625" style="173" customWidth="1"/>
    <col min="14854" max="14854" width="3.83203125" style="173" customWidth="1"/>
    <col min="14855" max="14855" width="15" style="173" customWidth="1"/>
    <col min="14856" max="14856" width="3.6640625" style="173" customWidth="1"/>
    <col min="14857" max="14858" width="13" style="173" customWidth="1"/>
    <col min="14859" max="14859" width="0" style="173" hidden="1" customWidth="1"/>
    <col min="14860" max="14861" width="9.33203125" style="173"/>
    <col min="14862" max="14862" width="15.83203125" style="173" customWidth="1"/>
    <col min="14863" max="15101" width="9.33203125" style="173"/>
    <col min="15102" max="15102" width="5" style="173" customWidth="1"/>
    <col min="15103" max="15103" width="9.33203125" style="173"/>
    <col min="15104" max="15104" width="21.6640625" style="173" customWidth="1"/>
    <col min="15105" max="15105" width="13.5" style="173" customWidth="1"/>
    <col min="15106" max="15106" width="10.5" style="173" customWidth="1"/>
    <col min="15107" max="15107" width="15.1640625" style="173" customWidth="1"/>
    <col min="15108" max="15108" width="3.6640625" style="173" customWidth="1"/>
    <col min="15109" max="15109" width="13.1640625" style="173" customWidth="1"/>
    <col min="15110" max="15110" width="3.83203125" style="173" customWidth="1"/>
    <col min="15111" max="15111" width="15" style="173" customWidth="1"/>
    <col min="15112" max="15112" width="3.6640625" style="173" customWidth="1"/>
    <col min="15113" max="15114" width="13" style="173" customWidth="1"/>
    <col min="15115" max="15115" width="0" style="173" hidden="1" customWidth="1"/>
    <col min="15116" max="15117" width="9.33203125" style="173"/>
    <col min="15118" max="15118" width="15.83203125" style="173" customWidth="1"/>
    <col min="15119" max="15357" width="9.33203125" style="173"/>
    <col min="15358" max="15358" width="5" style="173" customWidth="1"/>
    <col min="15359" max="15359" width="9.33203125" style="173"/>
    <col min="15360" max="15360" width="21.6640625" style="173" customWidth="1"/>
    <col min="15361" max="15361" width="13.5" style="173" customWidth="1"/>
    <col min="15362" max="15362" width="10.5" style="173" customWidth="1"/>
    <col min="15363" max="15363" width="15.1640625" style="173" customWidth="1"/>
    <col min="15364" max="15364" width="3.6640625" style="173" customWidth="1"/>
    <col min="15365" max="15365" width="13.1640625" style="173" customWidth="1"/>
    <col min="15366" max="15366" width="3.83203125" style="173" customWidth="1"/>
    <col min="15367" max="15367" width="15" style="173" customWidth="1"/>
    <col min="15368" max="15368" width="3.6640625" style="173" customWidth="1"/>
    <col min="15369" max="15370" width="13" style="173" customWidth="1"/>
    <col min="15371" max="15371" width="0" style="173" hidden="1" customWidth="1"/>
    <col min="15372" max="15373" width="9.33203125" style="173"/>
    <col min="15374" max="15374" width="15.83203125" style="173" customWidth="1"/>
    <col min="15375" max="15613" width="9.33203125" style="173"/>
    <col min="15614" max="15614" width="5" style="173" customWidth="1"/>
    <col min="15615" max="15615" width="9.33203125" style="173"/>
    <col min="15616" max="15616" width="21.6640625" style="173" customWidth="1"/>
    <col min="15617" max="15617" width="13.5" style="173" customWidth="1"/>
    <col min="15618" max="15618" width="10.5" style="173" customWidth="1"/>
    <col min="15619" max="15619" width="15.1640625" style="173" customWidth="1"/>
    <col min="15620" max="15620" width="3.6640625" style="173" customWidth="1"/>
    <col min="15621" max="15621" width="13.1640625" style="173" customWidth="1"/>
    <col min="15622" max="15622" width="3.83203125" style="173" customWidth="1"/>
    <col min="15623" max="15623" width="15" style="173" customWidth="1"/>
    <col min="15624" max="15624" width="3.6640625" style="173" customWidth="1"/>
    <col min="15625" max="15626" width="13" style="173" customWidth="1"/>
    <col min="15627" max="15627" width="0" style="173" hidden="1" customWidth="1"/>
    <col min="15628" max="15629" width="9.33203125" style="173"/>
    <col min="15630" max="15630" width="15.83203125" style="173" customWidth="1"/>
    <col min="15631" max="15869" width="9.33203125" style="173"/>
    <col min="15870" max="15870" width="5" style="173" customWidth="1"/>
    <col min="15871" max="15871" width="9.33203125" style="173"/>
    <col min="15872" max="15872" width="21.6640625" style="173" customWidth="1"/>
    <col min="15873" max="15873" width="13.5" style="173" customWidth="1"/>
    <col min="15874" max="15874" width="10.5" style="173" customWidth="1"/>
    <col min="15875" max="15875" width="15.1640625" style="173" customWidth="1"/>
    <col min="15876" max="15876" width="3.6640625" style="173" customWidth="1"/>
    <col min="15877" max="15877" width="13.1640625" style="173" customWidth="1"/>
    <col min="15878" max="15878" width="3.83203125" style="173" customWidth="1"/>
    <col min="15879" max="15879" width="15" style="173" customWidth="1"/>
    <col min="15880" max="15880" width="3.6640625" style="173" customWidth="1"/>
    <col min="15881" max="15882" width="13" style="173" customWidth="1"/>
    <col min="15883" max="15883" width="0" style="173" hidden="1" customWidth="1"/>
    <col min="15884" max="15885" width="9.33203125" style="173"/>
    <col min="15886" max="15886" width="15.83203125" style="173" customWidth="1"/>
    <col min="15887" max="16125" width="9.33203125" style="173"/>
    <col min="16126" max="16126" width="5" style="173" customWidth="1"/>
    <col min="16127" max="16127" width="9.33203125" style="173"/>
    <col min="16128" max="16128" width="21.6640625" style="173" customWidth="1"/>
    <col min="16129" max="16129" width="13.5" style="173" customWidth="1"/>
    <col min="16130" max="16130" width="10.5" style="173" customWidth="1"/>
    <col min="16131" max="16131" width="15.1640625" style="173" customWidth="1"/>
    <col min="16132" max="16132" width="3.6640625" style="173" customWidth="1"/>
    <col min="16133" max="16133" width="13.1640625" style="173" customWidth="1"/>
    <col min="16134" max="16134" width="3.83203125" style="173" customWidth="1"/>
    <col min="16135" max="16135" width="15" style="173" customWidth="1"/>
    <col min="16136" max="16136" width="3.6640625" style="173" customWidth="1"/>
    <col min="16137" max="16138" width="13" style="173" customWidth="1"/>
    <col min="16139" max="16139" width="0" style="173" hidden="1" customWidth="1"/>
    <col min="16140" max="16141" width="9.33203125" style="173"/>
    <col min="16142" max="16142" width="15.83203125" style="173" customWidth="1"/>
    <col min="16143" max="16384" width="9.33203125" style="173"/>
  </cols>
  <sheetData>
    <row r="1" spans="1:14" ht="12.75">
      <c r="B1" s="178"/>
      <c r="H1" s="179"/>
      <c r="I1" s="425" t="str">
        <f>+'PGA Demand Cost Allocation'!J2</f>
        <v>CNGC Advice W22-09-01</v>
      </c>
    </row>
    <row r="2" spans="1:14" ht="12.75">
      <c r="A2" s="178"/>
      <c r="H2" s="179"/>
      <c r="I2" s="426" t="s">
        <v>192</v>
      </c>
    </row>
    <row r="3" spans="1:14" ht="12.75">
      <c r="A3" s="178"/>
      <c r="H3" s="179"/>
      <c r="I3" s="426" t="s">
        <v>375</v>
      </c>
    </row>
    <row r="4" spans="1:14" ht="15.75">
      <c r="A4" s="198"/>
      <c r="B4" s="198"/>
      <c r="C4" s="199" t="s">
        <v>47</v>
      </c>
      <c r="D4" s="252"/>
      <c r="E4" s="253"/>
      <c r="F4" s="252"/>
      <c r="G4" s="252"/>
      <c r="H4" s="252"/>
      <c r="I4" s="254"/>
      <c r="J4" s="252"/>
    </row>
    <row r="5" spans="1:14" ht="15.75">
      <c r="A5" s="198"/>
      <c r="B5" s="198"/>
      <c r="C5" s="255" t="s">
        <v>201</v>
      </c>
      <c r="D5" s="252"/>
      <c r="E5" s="252"/>
      <c r="F5" s="252"/>
      <c r="G5" s="252"/>
      <c r="H5" s="253"/>
      <c r="I5" s="254"/>
      <c r="J5" s="252"/>
    </row>
    <row r="6" spans="1:14" ht="15.75">
      <c r="A6" s="198"/>
      <c r="B6" s="198"/>
      <c r="C6" s="1014" t="s">
        <v>395</v>
      </c>
      <c r="D6" s="1014"/>
      <c r="E6" s="1014"/>
      <c r="F6" s="1014"/>
      <c r="G6" s="1014"/>
      <c r="H6" s="1014"/>
      <c r="I6" s="1014"/>
      <c r="J6" s="1014"/>
      <c r="K6" s="181" t="s">
        <v>49</v>
      </c>
    </row>
    <row r="7" spans="1:14" ht="15.75">
      <c r="A7" s="198"/>
      <c r="B7" s="198"/>
      <c r="C7" s="199" t="s">
        <v>48</v>
      </c>
      <c r="D7" s="252"/>
      <c r="E7" s="252"/>
      <c r="F7" s="252"/>
      <c r="G7" s="252"/>
      <c r="H7" s="252"/>
      <c r="I7" s="254"/>
      <c r="J7" s="252"/>
      <c r="K7" s="181" t="s">
        <v>49</v>
      </c>
    </row>
    <row r="8" spans="1:14" ht="15.75">
      <c r="A8" s="198"/>
      <c r="B8" s="198"/>
      <c r="C8" s="198"/>
      <c r="D8" s="198"/>
      <c r="E8" s="198"/>
      <c r="F8" s="198"/>
      <c r="G8" s="198"/>
      <c r="H8" s="198"/>
      <c r="I8" s="256"/>
      <c r="J8" s="198"/>
    </row>
    <row r="9" spans="1:14" ht="15.75">
      <c r="A9" s="218"/>
      <c r="B9" s="219"/>
      <c r="C9" s="217"/>
      <c r="D9" s="217"/>
      <c r="E9" s="257"/>
      <c r="F9" s="257"/>
      <c r="G9" s="218"/>
      <c r="H9" s="258"/>
      <c r="I9" s="259" t="s">
        <v>50</v>
      </c>
      <c r="J9" s="217"/>
      <c r="K9" s="182"/>
      <c r="L9" s="183"/>
    </row>
    <row r="10" spans="1:14" ht="15.75">
      <c r="A10" s="260" t="s">
        <v>7</v>
      </c>
      <c r="B10" s="223"/>
      <c r="C10" s="261"/>
      <c r="D10" s="262" t="s">
        <v>46</v>
      </c>
      <c r="E10" s="262" t="s">
        <v>51</v>
      </c>
      <c r="F10" s="262" t="s">
        <v>211</v>
      </c>
      <c r="G10" s="263"/>
      <c r="H10" s="264" t="s">
        <v>53</v>
      </c>
      <c r="I10" s="265" t="s">
        <v>173</v>
      </c>
      <c r="J10" s="266" t="s">
        <v>54</v>
      </c>
      <c r="K10" s="262" t="s">
        <v>55</v>
      </c>
      <c r="L10" s="183"/>
    </row>
    <row r="11" spans="1:14" ht="15.75">
      <c r="A11" s="260" t="s">
        <v>9</v>
      </c>
      <c r="B11" s="267" t="s">
        <v>0</v>
      </c>
      <c r="C11" s="266"/>
      <c r="D11" s="262" t="s">
        <v>56</v>
      </c>
      <c r="E11" s="262" t="s">
        <v>57</v>
      </c>
      <c r="F11" s="262" t="s">
        <v>58</v>
      </c>
      <c r="G11" s="263"/>
      <c r="H11" s="264" t="s">
        <v>59</v>
      </c>
      <c r="I11" s="265" t="s">
        <v>60</v>
      </c>
      <c r="J11" s="266" t="s">
        <v>60</v>
      </c>
      <c r="K11" s="266" t="s">
        <v>60</v>
      </c>
      <c r="L11" s="183"/>
    </row>
    <row r="12" spans="1:14" ht="15.75">
      <c r="A12" s="263"/>
      <c r="B12" s="267" t="s">
        <v>399</v>
      </c>
      <c r="C12" s="266"/>
      <c r="D12" s="262" t="s">
        <v>15</v>
      </c>
      <c r="E12" s="262" t="s">
        <v>16</v>
      </c>
      <c r="F12" s="262" t="s">
        <v>17</v>
      </c>
      <c r="G12" s="263"/>
      <c r="H12" s="264" t="s">
        <v>61</v>
      </c>
      <c r="I12" s="264" t="s">
        <v>292</v>
      </c>
      <c r="J12" s="268" t="s">
        <v>62</v>
      </c>
      <c r="K12" s="262" t="s">
        <v>63</v>
      </c>
      <c r="L12" s="183"/>
    </row>
    <row r="13" spans="1:14" ht="15.75">
      <c r="A13" s="234"/>
      <c r="B13" s="269" t="s">
        <v>65</v>
      </c>
      <c r="C13" s="215"/>
      <c r="D13" s="215"/>
      <c r="E13" s="215"/>
      <c r="F13" s="235"/>
      <c r="G13" s="270"/>
      <c r="H13" s="271"/>
      <c r="I13" s="272"/>
      <c r="J13" s="215"/>
      <c r="K13" s="185"/>
      <c r="L13" s="183"/>
    </row>
    <row r="14" spans="1:14" ht="15.75">
      <c r="A14" s="263"/>
      <c r="B14" s="273"/>
      <c r="C14" s="221"/>
      <c r="D14" s="221"/>
      <c r="E14" s="221"/>
      <c r="F14" s="221"/>
      <c r="G14" s="263"/>
      <c r="H14" s="263"/>
      <c r="I14" s="274"/>
      <c r="J14" s="221"/>
      <c r="K14" s="184"/>
      <c r="L14" s="183"/>
    </row>
    <row r="15" spans="1:14" ht="15.75">
      <c r="A15" s="275"/>
      <c r="B15" s="273"/>
      <c r="C15" s="276"/>
      <c r="D15" s="262"/>
      <c r="E15" s="277"/>
      <c r="F15" s="277"/>
      <c r="G15" s="278"/>
      <c r="H15" s="226"/>
      <c r="I15" s="279"/>
      <c r="J15" s="277"/>
      <c r="K15" s="186"/>
      <c r="L15" s="183"/>
    </row>
    <row r="16" spans="1:14" ht="15.75">
      <c r="A16" s="275">
        <v>1</v>
      </c>
      <c r="B16" s="273" t="s">
        <v>98</v>
      </c>
      <c r="C16" s="276"/>
      <c r="D16" s="262" t="s">
        <v>67</v>
      </c>
      <c r="E16" s="277">
        <f>+'Bills-Therms-Revs'!F12</f>
        <v>200356</v>
      </c>
      <c r="F16" s="277">
        <f>+'Test Period Volumes'!C34</f>
        <v>131993811.11343679</v>
      </c>
      <c r="G16" s="278"/>
      <c r="H16" s="226">
        <f>+'Bills-Therms-Revs'!I16</f>
        <v>160697460.31999999</v>
      </c>
      <c r="I16" s="279">
        <f>+'PGA Demand Cost Allocation'!D28+'[48]Summary-WA Gas Cost Track'!$W$112</f>
        <v>0.21598000000000001</v>
      </c>
      <c r="J16" s="277">
        <f>F16*I16</f>
        <v>28508023.324280079</v>
      </c>
      <c r="K16" s="720">
        <f>+J16/H16</f>
        <v>0.17740182867552165</v>
      </c>
      <c r="L16" s="187"/>
      <c r="N16" s="866"/>
    </row>
    <row r="17" spans="1:16" ht="15.75">
      <c r="A17" s="275">
        <v>2</v>
      </c>
      <c r="B17" s="273" t="s">
        <v>99</v>
      </c>
      <c r="C17" s="221"/>
      <c r="D17" s="262" t="s">
        <v>69</v>
      </c>
      <c r="E17" s="277">
        <f>+'Bills-Therms-Revs'!F18</f>
        <v>27210</v>
      </c>
      <c r="F17" s="277">
        <f>+'Test Period Volumes'!D34</f>
        <v>93567596.866792873</v>
      </c>
      <c r="G17" s="263"/>
      <c r="H17" s="278">
        <f>+'Bills-Therms-Revs'!I18+'Bills-Therms-Revs'!I21+'Bills-Therms-Revs'!I22</f>
        <v>103915277.34</v>
      </c>
      <c r="I17" s="279">
        <f>+'PGA Demand Cost Allocation'!F28+'[48]Summary-WA Gas Cost Track'!$W$112</f>
        <v>0.21601999999999999</v>
      </c>
      <c r="J17" s="277">
        <f>ROUND(F17*I17,0)</f>
        <v>20212472</v>
      </c>
      <c r="K17" s="720">
        <f t="shared" ref="K17:K21" si="0">+J17/H17</f>
        <v>0.1945091474265799</v>
      </c>
      <c r="L17" s="187"/>
      <c r="N17" s="866"/>
    </row>
    <row r="18" spans="1:16" ht="15.75">
      <c r="A18" s="275">
        <v>3</v>
      </c>
      <c r="B18" s="273" t="s">
        <v>100</v>
      </c>
      <c r="C18" s="276"/>
      <c r="D18" s="262" t="s">
        <v>73</v>
      </c>
      <c r="E18" s="277">
        <f>+'Bills-Therms-Revs'!F28</f>
        <v>487</v>
      </c>
      <c r="F18" s="277">
        <f>+'Test Period Volumes'!E34</f>
        <v>12906567.97753373</v>
      </c>
      <c r="G18" s="263"/>
      <c r="H18" s="226">
        <f>+'Bills-Therms-Revs'!I28</f>
        <v>11638459.84</v>
      </c>
      <c r="I18" s="279">
        <f>+'PGA Demand Cost Allocation'!H28+'[48]Summary-WA Gas Cost Track'!$W$112</f>
        <v>0.21625</v>
      </c>
      <c r="J18" s="277">
        <f>F18*I18</f>
        <v>2791045.3251416693</v>
      </c>
      <c r="K18" s="720">
        <f t="shared" si="0"/>
        <v>0.23981225724981059</v>
      </c>
      <c r="L18" s="187"/>
      <c r="N18" s="866"/>
    </row>
    <row r="19" spans="1:16" ht="15.75">
      <c r="A19" s="275">
        <v>4</v>
      </c>
      <c r="B19" s="273" t="s">
        <v>70</v>
      </c>
      <c r="C19" s="221"/>
      <c r="D19" s="262" t="s">
        <v>71</v>
      </c>
      <c r="E19" s="277">
        <f>+'Bills-Therms-Revs'!F19+'Bills-Therms-Revs'!F29</f>
        <v>99</v>
      </c>
      <c r="F19" s="277">
        <f>+'Test Period Volumes'!F34</f>
        <v>15549500.235253498</v>
      </c>
      <c r="G19" s="278"/>
      <c r="H19" s="226">
        <f>+'Bills-Therms-Revs'!I19+'Bills-Therms-Revs'!I23+'Bills-Therms-Revs'!I24+'Bills-Therms-Revs'!I29</f>
        <v>12937586.609999999</v>
      </c>
      <c r="I19" s="279">
        <f>+'PGA Demand Cost Allocation'!H28+'[48]Summary-WA Gas Cost Track'!$W$112</f>
        <v>0.21625</v>
      </c>
      <c r="J19" s="277">
        <f>F19*I19</f>
        <v>3362579.4258735687</v>
      </c>
      <c r="K19" s="720">
        <f t="shared" si="0"/>
        <v>0.25990778088971334</v>
      </c>
      <c r="L19" s="187"/>
      <c r="N19" s="866"/>
    </row>
    <row r="20" spans="1:16" ht="15.75">
      <c r="A20" s="275">
        <v>5</v>
      </c>
      <c r="B20" s="273" t="s">
        <v>101</v>
      </c>
      <c r="C20" s="221"/>
      <c r="D20" s="262" t="s">
        <v>74</v>
      </c>
      <c r="E20" s="277">
        <f>+'Bills-Therms-Revs'!F34</f>
        <v>7</v>
      </c>
      <c r="F20" s="277">
        <f>+'Test Period Volumes'!G34</f>
        <v>2331720.8069831203</v>
      </c>
      <c r="G20" s="278"/>
      <c r="H20" s="226">
        <f>+'Bills-Therms-Revs'!I39</f>
        <v>1682021.53</v>
      </c>
      <c r="I20" s="279">
        <f>+'PGA Demand Cost Allocation'!J28+'[48]Summary-WA Gas Cost Track'!$W$112</f>
        <v>0.21648000000000001</v>
      </c>
      <c r="J20" s="277">
        <f>F20*I20</f>
        <v>504770.9202957059</v>
      </c>
      <c r="K20" s="720">
        <f t="shared" si="0"/>
        <v>0.30009777597538001</v>
      </c>
      <c r="L20" s="187"/>
      <c r="N20" s="866"/>
    </row>
    <row r="21" spans="1:16" ht="15.75">
      <c r="A21" s="280">
        <v>6</v>
      </c>
      <c r="B21" s="269" t="s">
        <v>394</v>
      </c>
      <c r="C21" s="235"/>
      <c r="D21" s="235"/>
      <c r="E21" s="281">
        <f>SUM(E16:E20)</f>
        <v>228159</v>
      </c>
      <c r="F21" s="282">
        <f>SUM(F16:F20)</f>
        <v>256349197</v>
      </c>
      <c r="G21" s="271"/>
      <c r="H21" s="282">
        <f>SUM(H16:H20)</f>
        <v>290870805.63999999</v>
      </c>
      <c r="I21" s="283"/>
      <c r="J21" s="271">
        <f>SUM(J16:J20)</f>
        <v>55378890.99559103</v>
      </c>
      <c r="K21" s="891">
        <f t="shared" si="0"/>
        <v>0.19038999418914332</v>
      </c>
      <c r="L21" s="187"/>
      <c r="N21" s="451"/>
      <c r="P21"/>
    </row>
  </sheetData>
  <mergeCells count="1">
    <mergeCell ref="C6:J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11E8-BC49-4E03-8D6C-C6AFB70D3352}">
  <dimension ref="A1:O38"/>
  <sheetViews>
    <sheetView view="pageBreakPreview" topLeftCell="A17" zoomScale="60" zoomScaleNormal="100" workbookViewId="0">
      <selection activeCell="F21" sqref="F21"/>
    </sheetView>
  </sheetViews>
  <sheetFormatPr defaultColWidth="12" defaultRowHeight="15.75"/>
  <cols>
    <col min="1" max="1" width="7" style="291" customWidth="1"/>
    <col min="2" max="2" width="2.33203125" style="291" customWidth="1"/>
    <col min="3" max="3" width="40.33203125" style="291" bestFit="1" customWidth="1"/>
    <col min="4" max="4" width="13.83203125" style="291" bestFit="1" customWidth="1"/>
    <col min="5" max="5" width="16.83203125" style="291" bestFit="1" customWidth="1"/>
    <col min="6" max="6" width="18" style="291" bestFit="1" customWidth="1"/>
    <col min="7" max="7" width="17.33203125" style="291" bestFit="1" customWidth="1"/>
    <col min="8" max="8" width="18" style="291" bestFit="1" customWidth="1"/>
    <col min="9" max="9" width="17.1640625" style="291" customWidth="1"/>
    <col min="10" max="10" width="15.6640625" style="291" bestFit="1" customWidth="1"/>
    <col min="11" max="11" width="16.1640625" style="291" customWidth="1"/>
    <col min="12" max="12" width="17.1640625" style="291" customWidth="1"/>
    <col min="13" max="13" width="4.1640625" style="291" customWidth="1"/>
    <col min="14" max="255" width="12" style="291"/>
    <col min="256" max="256" width="7" style="291" customWidth="1"/>
    <col min="257" max="257" width="2.33203125" style="291" customWidth="1"/>
    <col min="258" max="259" width="12" style="291"/>
    <col min="260" max="260" width="6.5" style="291" customWidth="1"/>
    <col min="261" max="261" width="5.1640625" style="291" customWidth="1"/>
    <col min="262" max="262" width="12" style="291"/>
    <col min="263" max="263" width="5.1640625" style="291" customWidth="1"/>
    <col min="264" max="264" width="17.1640625" style="291" customWidth="1"/>
    <col min="265" max="265" width="4.5" style="291" customWidth="1"/>
    <col min="266" max="266" width="16.1640625" style="291" customWidth="1"/>
    <col min="267" max="267" width="4.83203125" style="291" customWidth="1"/>
    <col min="268" max="268" width="17.1640625" style="291" customWidth="1"/>
    <col min="269" max="269" width="4.1640625" style="291" customWidth="1"/>
    <col min="270" max="511" width="12" style="291"/>
    <col min="512" max="512" width="7" style="291" customWidth="1"/>
    <col min="513" max="513" width="2.33203125" style="291" customWidth="1"/>
    <col min="514" max="515" width="12" style="291"/>
    <col min="516" max="516" width="6.5" style="291" customWidth="1"/>
    <col min="517" max="517" width="5.1640625" style="291" customWidth="1"/>
    <col min="518" max="518" width="12" style="291"/>
    <col min="519" max="519" width="5.1640625" style="291" customWidth="1"/>
    <col min="520" max="520" width="17.1640625" style="291" customWidth="1"/>
    <col min="521" max="521" width="4.5" style="291" customWidth="1"/>
    <col min="522" max="522" width="16.1640625" style="291" customWidth="1"/>
    <col min="523" max="523" width="4.83203125" style="291" customWidth="1"/>
    <col min="524" max="524" width="17.1640625" style="291" customWidth="1"/>
    <col min="525" max="525" width="4.1640625" style="291" customWidth="1"/>
    <col min="526" max="767" width="12" style="291"/>
    <col min="768" max="768" width="7" style="291" customWidth="1"/>
    <col min="769" max="769" width="2.33203125" style="291" customWidth="1"/>
    <col min="770" max="771" width="12" style="291"/>
    <col min="772" max="772" width="6.5" style="291" customWidth="1"/>
    <col min="773" max="773" width="5.1640625" style="291" customWidth="1"/>
    <col min="774" max="774" width="12" style="291"/>
    <col min="775" max="775" width="5.1640625" style="291" customWidth="1"/>
    <col min="776" max="776" width="17.1640625" style="291" customWidth="1"/>
    <col min="777" max="777" width="4.5" style="291" customWidth="1"/>
    <col min="778" max="778" width="16.1640625" style="291" customWidth="1"/>
    <col min="779" max="779" width="4.83203125" style="291" customWidth="1"/>
    <col min="780" max="780" width="17.1640625" style="291" customWidth="1"/>
    <col min="781" max="781" width="4.1640625" style="291" customWidth="1"/>
    <col min="782" max="1023" width="12" style="291"/>
    <col min="1024" max="1024" width="7" style="291" customWidth="1"/>
    <col min="1025" max="1025" width="2.33203125" style="291" customWidth="1"/>
    <col min="1026" max="1027" width="12" style="291"/>
    <col min="1028" max="1028" width="6.5" style="291" customWidth="1"/>
    <col min="1029" max="1029" width="5.1640625" style="291" customWidth="1"/>
    <col min="1030" max="1030" width="12" style="291"/>
    <col min="1031" max="1031" width="5.1640625" style="291" customWidth="1"/>
    <col min="1032" max="1032" width="17.1640625" style="291" customWidth="1"/>
    <col min="1033" max="1033" width="4.5" style="291" customWidth="1"/>
    <col min="1034" max="1034" width="16.1640625" style="291" customWidth="1"/>
    <col min="1035" max="1035" width="4.83203125" style="291" customWidth="1"/>
    <col min="1036" max="1036" width="17.1640625" style="291" customWidth="1"/>
    <col min="1037" max="1037" width="4.1640625" style="291" customWidth="1"/>
    <col min="1038" max="1279" width="12" style="291"/>
    <col min="1280" max="1280" width="7" style="291" customWidth="1"/>
    <col min="1281" max="1281" width="2.33203125" style="291" customWidth="1"/>
    <col min="1282" max="1283" width="12" style="291"/>
    <col min="1284" max="1284" width="6.5" style="291" customWidth="1"/>
    <col min="1285" max="1285" width="5.1640625" style="291" customWidth="1"/>
    <col min="1286" max="1286" width="12" style="291"/>
    <col min="1287" max="1287" width="5.1640625" style="291" customWidth="1"/>
    <col min="1288" max="1288" width="17.1640625" style="291" customWidth="1"/>
    <col min="1289" max="1289" width="4.5" style="291" customWidth="1"/>
    <col min="1290" max="1290" width="16.1640625" style="291" customWidth="1"/>
    <col min="1291" max="1291" width="4.83203125" style="291" customWidth="1"/>
    <col min="1292" max="1292" width="17.1640625" style="291" customWidth="1"/>
    <col min="1293" max="1293" width="4.1640625" style="291" customWidth="1"/>
    <col min="1294" max="1535" width="12" style="291"/>
    <col min="1536" max="1536" width="7" style="291" customWidth="1"/>
    <col min="1537" max="1537" width="2.33203125" style="291" customWidth="1"/>
    <col min="1538" max="1539" width="12" style="291"/>
    <col min="1540" max="1540" width="6.5" style="291" customWidth="1"/>
    <col min="1541" max="1541" width="5.1640625" style="291" customWidth="1"/>
    <col min="1542" max="1542" width="12" style="291"/>
    <col min="1543" max="1543" width="5.1640625" style="291" customWidth="1"/>
    <col min="1544" max="1544" width="17.1640625" style="291" customWidth="1"/>
    <col min="1545" max="1545" width="4.5" style="291" customWidth="1"/>
    <col min="1546" max="1546" width="16.1640625" style="291" customWidth="1"/>
    <col min="1547" max="1547" width="4.83203125" style="291" customWidth="1"/>
    <col min="1548" max="1548" width="17.1640625" style="291" customWidth="1"/>
    <col min="1549" max="1549" width="4.1640625" style="291" customWidth="1"/>
    <col min="1550" max="1791" width="12" style="291"/>
    <col min="1792" max="1792" width="7" style="291" customWidth="1"/>
    <col min="1793" max="1793" width="2.33203125" style="291" customWidth="1"/>
    <col min="1794" max="1795" width="12" style="291"/>
    <col min="1796" max="1796" width="6.5" style="291" customWidth="1"/>
    <col min="1797" max="1797" width="5.1640625" style="291" customWidth="1"/>
    <col min="1798" max="1798" width="12" style="291"/>
    <col min="1799" max="1799" width="5.1640625" style="291" customWidth="1"/>
    <col min="1800" max="1800" width="17.1640625" style="291" customWidth="1"/>
    <col min="1801" max="1801" width="4.5" style="291" customWidth="1"/>
    <col min="1802" max="1802" width="16.1640625" style="291" customWidth="1"/>
    <col min="1803" max="1803" width="4.83203125" style="291" customWidth="1"/>
    <col min="1804" max="1804" width="17.1640625" style="291" customWidth="1"/>
    <col min="1805" max="1805" width="4.1640625" style="291" customWidth="1"/>
    <col min="1806" max="2047" width="12" style="291"/>
    <col min="2048" max="2048" width="7" style="291" customWidth="1"/>
    <col min="2049" max="2049" width="2.33203125" style="291" customWidth="1"/>
    <col min="2050" max="2051" width="12" style="291"/>
    <col min="2052" max="2052" width="6.5" style="291" customWidth="1"/>
    <col min="2053" max="2053" width="5.1640625" style="291" customWidth="1"/>
    <col min="2054" max="2054" width="12" style="291"/>
    <col min="2055" max="2055" width="5.1640625" style="291" customWidth="1"/>
    <col min="2056" max="2056" width="17.1640625" style="291" customWidth="1"/>
    <col min="2057" max="2057" width="4.5" style="291" customWidth="1"/>
    <col min="2058" max="2058" width="16.1640625" style="291" customWidth="1"/>
    <col min="2059" max="2059" width="4.83203125" style="291" customWidth="1"/>
    <col min="2060" max="2060" width="17.1640625" style="291" customWidth="1"/>
    <col min="2061" max="2061" width="4.1640625" style="291" customWidth="1"/>
    <col min="2062" max="2303" width="12" style="291"/>
    <col min="2304" max="2304" width="7" style="291" customWidth="1"/>
    <col min="2305" max="2305" width="2.33203125" style="291" customWidth="1"/>
    <col min="2306" max="2307" width="12" style="291"/>
    <col min="2308" max="2308" width="6.5" style="291" customWidth="1"/>
    <col min="2309" max="2309" width="5.1640625" style="291" customWidth="1"/>
    <col min="2310" max="2310" width="12" style="291"/>
    <col min="2311" max="2311" width="5.1640625" style="291" customWidth="1"/>
    <col min="2312" max="2312" width="17.1640625" style="291" customWidth="1"/>
    <col min="2313" max="2313" width="4.5" style="291" customWidth="1"/>
    <col min="2314" max="2314" width="16.1640625" style="291" customWidth="1"/>
    <col min="2315" max="2315" width="4.83203125" style="291" customWidth="1"/>
    <col min="2316" max="2316" width="17.1640625" style="291" customWidth="1"/>
    <col min="2317" max="2317" width="4.1640625" style="291" customWidth="1"/>
    <col min="2318" max="2559" width="12" style="291"/>
    <col min="2560" max="2560" width="7" style="291" customWidth="1"/>
    <col min="2561" max="2561" width="2.33203125" style="291" customWidth="1"/>
    <col min="2562" max="2563" width="12" style="291"/>
    <col min="2564" max="2564" width="6.5" style="291" customWidth="1"/>
    <col min="2565" max="2565" width="5.1640625" style="291" customWidth="1"/>
    <col min="2566" max="2566" width="12" style="291"/>
    <col min="2567" max="2567" width="5.1640625" style="291" customWidth="1"/>
    <col min="2568" max="2568" width="17.1640625" style="291" customWidth="1"/>
    <col min="2569" max="2569" width="4.5" style="291" customWidth="1"/>
    <col min="2570" max="2570" width="16.1640625" style="291" customWidth="1"/>
    <col min="2571" max="2571" width="4.83203125" style="291" customWidth="1"/>
    <col min="2572" max="2572" width="17.1640625" style="291" customWidth="1"/>
    <col min="2573" max="2573" width="4.1640625" style="291" customWidth="1"/>
    <col min="2574" max="2815" width="12" style="291"/>
    <col min="2816" max="2816" width="7" style="291" customWidth="1"/>
    <col min="2817" max="2817" width="2.33203125" style="291" customWidth="1"/>
    <col min="2818" max="2819" width="12" style="291"/>
    <col min="2820" max="2820" width="6.5" style="291" customWidth="1"/>
    <col min="2821" max="2821" width="5.1640625" style="291" customWidth="1"/>
    <col min="2822" max="2822" width="12" style="291"/>
    <col min="2823" max="2823" width="5.1640625" style="291" customWidth="1"/>
    <col min="2824" max="2824" width="17.1640625" style="291" customWidth="1"/>
    <col min="2825" max="2825" width="4.5" style="291" customWidth="1"/>
    <col min="2826" max="2826" width="16.1640625" style="291" customWidth="1"/>
    <col min="2827" max="2827" width="4.83203125" style="291" customWidth="1"/>
    <col min="2828" max="2828" width="17.1640625" style="291" customWidth="1"/>
    <col min="2829" max="2829" width="4.1640625" style="291" customWidth="1"/>
    <col min="2830" max="3071" width="12" style="291"/>
    <col min="3072" max="3072" width="7" style="291" customWidth="1"/>
    <col min="3073" max="3073" width="2.33203125" style="291" customWidth="1"/>
    <col min="3074" max="3075" width="12" style="291"/>
    <col min="3076" max="3076" width="6.5" style="291" customWidth="1"/>
    <col min="3077" max="3077" width="5.1640625" style="291" customWidth="1"/>
    <col min="3078" max="3078" width="12" style="291"/>
    <col min="3079" max="3079" width="5.1640625" style="291" customWidth="1"/>
    <col min="3080" max="3080" width="17.1640625" style="291" customWidth="1"/>
    <col min="3081" max="3081" width="4.5" style="291" customWidth="1"/>
    <col min="3082" max="3082" width="16.1640625" style="291" customWidth="1"/>
    <col min="3083" max="3083" width="4.83203125" style="291" customWidth="1"/>
    <col min="3084" max="3084" width="17.1640625" style="291" customWidth="1"/>
    <col min="3085" max="3085" width="4.1640625" style="291" customWidth="1"/>
    <col min="3086" max="3327" width="12" style="291"/>
    <col min="3328" max="3328" width="7" style="291" customWidth="1"/>
    <col min="3329" max="3329" width="2.33203125" style="291" customWidth="1"/>
    <col min="3330" max="3331" width="12" style="291"/>
    <col min="3332" max="3332" width="6.5" style="291" customWidth="1"/>
    <col min="3333" max="3333" width="5.1640625" style="291" customWidth="1"/>
    <col min="3334" max="3334" width="12" style="291"/>
    <col min="3335" max="3335" width="5.1640625" style="291" customWidth="1"/>
    <col min="3336" max="3336" width="17.1640625" style="291" customWidth="1"/>
    <col min="3337" max="3337" width="4.5" style="291" customWidth="1"/>
    <col min="3338" max="3338" width="16.1640625" style="291" customWidth="1"/>
    <col min="3339" max="3339" width="4.83203125" style="291" customWidth="1"/>
    <col min="3340" max="3340" width="17.1640625" style="291" customWidth="1"/>
    <col min="3341" max="3341" width="4.1640625" style="291" customWidth="1"/>
    <col min="3342" max="3583" width="12" style="291"/>
    <col min="3584" max="3584" width="7" style="291" customWidth="1"/>
    <col min="3585" max="3585" width="2.33203125" style="291" customWidth="1"/>
    <col min="3586" max="3587" width="12" style="291"/>
    <col min="3588" max="3588" width="6.5" style="291" customWidth="1"/>
    <col min="3589" max="3589" width="5.1640625" style="291" customWidth="1"/>
    <col min="3590" max="3590" width="12" style="291"/>
    <col min="3591" max="3591" width="5.1640625" style="291" customWidth="1"/>
    <col min="3592" max="3592" width="17.1640625" style="291" customWidth="1"/>
    <col min="3593" max="3593" width="4.5" style="291" customWidth="1"/>
    <col min="3594" max="3594" width="16.1640625" style="291" customWidth="1"/>
    <col min="3595" max="3595" width="4.83203125" style="291" customWidth="1"/>
    <col min="3596" max="3596" width="17.1640625" style="291" customWidth="1"/>
    <col min="3597" max="3597" width="4.1640625" style="291" customWidth="1"/>
    <col min="3598" max="3839" width="12" style="291"/>
    <col min="3840" max="3840" width="7" style="291" customWidth="1"/>
    <col min="3841" max="3841" width="2.33203125" style="291" customWidth="1"/>
    <col min="3842" max="3843" width="12" style="291"/>
    <col min="3844" max="3844" width="6.5" style="291" customWidth="1"/>
    <col min="3845" max="3845" width="5.1640625" style="291" customWidth="1"/>
    <col min="3846" max="3846" width="12" style="291"/>
    <col min="3847" max="3847" width="5.1640625" style="291" customWidth="1"/>
    <col min="3848" max="3848" width="17.1640625" style="291" customWidth="1"/>
    <col min="3849" max="3849" width="4.5" style="291" customWidth="1"/>
    <col min="3850" max="3850" width="16.1640625" style="291" customWidth="1"/>
    <col min="3851" max="3851" width="4.83203125" style="291" customWidth="1"/>
    <col min="3852" max="3852" width="17.1640625" style="291" customWidth="1"/>
    <col min="3853" max="3853" width="4.1640625" style="291" customWidth="1"/>
    <col min="3854" max="4095" width="12" style="291"/>
    <col min="4096" max="4096" width="7" style="291" customWidth="1"/>
    <col min="4097" max="4097" width="2.33203125" style="291" customWidth="1"/>
    <col min="4098" max="4099" width="12" style="291"/>
    <col min="4100" max="4100" width="6.5" style="291" customWidth="1"/>
    <col min="4101" max="4101" width="5.1640625" style="291" customWidth="1"/>
    <col min="4102" max="4102" width="12" style="291"/>
    <col min="4103" max="4103" width="5.1640625" style="291" customWidth="1"/>
    <col min="4104" max="4104" width="17.1640625" style="291" customWidth="1"/>
    <col min="4105" max="4105" width="4.5" style="291" customWidth="1"/>
    <col min="4106" max="4106" width="16.1640625" style="291" customWidth="1"/>
    <col min="4107" max="4107" width="4.83203125" style="291" customWidth="1"/>
    <col min="4108" max="4108" width="17.1640625" style="291" customWidth="1"/>
    <col min="4109" max="4109" width="4.1640625" style="291" customWidth="1"/>
    <col min="4110" max="4351" width="12" style="291"/>
    <col min="4352" max="4352" width="7" style="291" customWidth="1"/>
    <col min="4353" max="4353" width="2.33203125" style="291" customWidth="1"/>
    <col min="4354" max="4355" width="12" style="291"/>
    <col min="4356" max="4356" width="6.5" style="291" customWidth="1"/>
    <col min="4357" max="4357" width="5.1640625" style="291" customWidth="1"/>
    <col min="4358" max="4358" width="12" style="291"/>
    <col min="4359" max="4359" width="5.1640625" style="291" customWidth="1"/>
    <col min="4360" max="4360" width="17.1640625" style="291" customWidth="1"/>
    <col min="4361" max="4361" width="4.5" style="291" customWidth="1"/>
    <col min="4362" max="4362" width="16.1640625" style="291" customWidth="1"/>
    <col min="4363" max="4363" width="4.83203125" style="291" customWidth="1"/>
    <col min="4364" max="4364" width="17.1640625" style="291" customWidth="1"/>
    <col min="4365" max="4365" width="4.1640625" style="291" customWidth="1"/>
    <col min="4366" max="4607" width="12" style="291"/>
    <col min="4608" max="4608" width="7" style="291" customWidth="1"/>
    <col min="4609" max="4609" width="2.33203125" style="291" customWidth="1"/>
    <col min="4610" max="4611" width="12" style="291"/>
    <col min="4612" max="4612" width="6.5" style="291" customWidth="1"/>
    <col min="4613" max="4613" width="5.1640625" style="291" customWidth="1"/>
    <col min="4614" max="4614" width="12" style="291"/>
    <col min="4615" max="4615" width="5.1640625" style="291" customWidth="1"/>
    <col min="4616" max="4616" width="17.1640625" style="291" customWidth="1"/>
    <col min="4617" max="4617" width="4.5" style="291" customWidth="1"/>
    <col min="4618" max="4618" width="16.1640625" style="291" customWidth="1"/>
    <col min="4619" max="4619" width="4.83203125" style="291" customWidth="1"/>
    <col min="4620" max="4620" width="17.1640625" style="291" customWidth="1"/>
    <col min="4621" max="4621" width="4.1640625" style="291" customWidth="1"/>
    <col min="4622" max="4863" width="12" style="291"/>
    <col min="4864" max="4864" width="7" style="291" customWidth="1"/>
    <col min="4865" max="4865" width="2.33203125" style="291" customWidth="1"/>
    <col min="4866" max="4867" width="12" style="291"/>
    <col min="4868" max="4868" width="6.5" style="291" customWidth="1"/>
    <col min="4869" max="4869" width="5.1640625" style="291" customWidth="1"/>
    <col min="4870" max="4870" width="12" style="291"/>
    <col min="4871" max="4871" width="5.1640625" style="291" customWidth="1"/>
    <col min="4872" max="4872" width="17.1640625" style="291" customWidth="1"/>
    <col min="4873" max="4873" width="4.5" style="291" customWidth="1"/>
    <col min="4874" max="4874" width="16.1640625" style="291" customWidth="1"/>
    <col min="4875" max="4875" width="4.83203125" style="291" customWidth="1"/>
    <col min="4876" max="4876" width="17.1640625" style="291" customWidth="1"/>
    <col min="4877" max="4877" width="4.1640625" style="291" customWidth="1"/>
    <col min="4878" max="5119" width="12" style="291"/>
    <col min="5120" max="5120" width="7" style="291" customWidth="1"/>
    <col min="5121" max="5121" width="2.33203125" style="291" customWidth="1"/>
    <col min="5122" max="5123" width="12" style="291"/>
    <col min="5124" max="5124" width="6.5" style="291" customWidth="1"/>
    <col min="5125" max="5125" width="5.1640625" style="291" customWidth="1"/>
    <col min="5126" max="5126" width="12" style="291"/>
    <col min="5127" max="5127" width="5.1640625" style="291" customWidth="1"/>
    <col min="5128" max="5128" width="17.1640625" style="291" customWidth="1"/>
    <col min="5129" max="5129" width="4.5" style="291" customWidth="1"/>
    <col min="5130" max="5130" width="16.1640625" style="291" customWidth="1"/>
    <col min="5131" max="5131" width="4.83203125" style="291" customWidth="1"/>
    <col min="5132" max="5132" width="17.1640625" style="291" customWidth="1"/>
    <col min="5133" max="5133" width="4.1640625" style="291" customWidth="1"/>
    <col min="5134" max="5375" width="12" style="291"/>
    <col min="5376" max="5376" width="7" style="291" customWidth="1"/>
    <col min="5377" max="5377" width="2.33203125" style="291" customWidth="1"/>
    <col min="5378" max="5379" width="12" style="291"/>
    <col min="5380" max="5380" width="6.5" style="291" customWidth="1"/>
    <col min="5381" max="5381" width="5.1640625" style="291" customWidth="1"/>
    <col min="5382" max="5382" width="12" style="291"/>
    <col min="5383" max="5383" width="5.1640625" style="291" customWidth="1"/>
    <col min="5384" max="5384" width="17.1640625" style="291" customWidth="1"/>
    <col min="5385" max="5385" width="4.5" style="291" customWidth="1"/>
    <col min="5386" max="5386" width="16.1640625" style="291" customWidth="1"/>
    <col min="5387" max="5387" width="4.83203125" style="291" customWidth="1"/>
    <col min="5388" max="5388" width="17.1640625" style="291" customWidth="1"/>
    <col min="5389" max="5389" width="4.1640625" style="291" customWidth="1"/>
    <col min="5390" max="5631" width="12" style="291"/>
    <col min="5632" max="5632" width="7" style="291" customWidth="1"/>
    <col min="5633" max="5633" width="2.33203125" style="291" customWidth="1"/>
    <col min="5634" max="5635" width="12" style="291"/>
    <col min="5636" max="5636" width="6.5" style="291" customWidth="1"/>
    <col min="5637" max="5637" width="5.1640625" style="291" customWidth="1"/>
    <col min="5638" max="5638" width="12" style="291"/>
    <col min="5639" max="5639" width="5.1640625" style="291" customWidth="1"/>
    <col min="5640" max="5640" width="17.1640625" style="291" customWidth="1"/>
    <col min="5641" max="5641" width="4.5" style="291" customWidth="1"/>
    <col min="5642" max="5642" width="16.1640625" style="291" customWidth="1"/>
    <col min="5643" max="5643" width="4.83203125" style="291" customWidth="1"/>
    <col min="5644" max="5644" width="17.1640625" style="291" customWidth="1"/>
    <col min="5645" max="5645" width="4.1640625" style="291" customWidth="1"/>
    <col min="5646" max="5887" width="12" style="291"/>
    <col min="5888" max="5888" width="7" style="291" customWidth="1"/>
    <col min="5889" max="5889" width="2.33203125" style="291" customWidth="1"/>
    <col min="5890" max="5891" width="12" style="291"/>
    <col min="5892" max="5892" width="6.5" style="291" customWidth="1"/>
    <col min="5893" max="5893" width="5.1640625" style="291" customWidth="1"/>
    <col min="5894" max="5894" width="12" style="291"/>
    <col min="5895" max="5895" width="5.1640625" style="291" customWidth="1"/>
    <col min="5896" max="5896" width="17.1640625" style="291" customWidth="1"/>
    <col min="5897" max="5897" width="4.5" style="291" customWidth="1"/>
    <col min="5898" max="5898" width="16.1640625" style="291" customWidth="1"/>
    <col min="5899" max="5899" width="4.83203125" style="291" customWidth="1"/>
    <col min="5900" max="5900" width="17.1640625" style="291" customWidth="1"/>
    <col min="5901" max="5901" width="4.1640625" style="291" customWidth="1"/>
    <col min="5902" max="6143" width="12" style="291"/>
    <col min="6144" max="6144" width="7" style="291" customWidth="1"/>
    <col min="6145" max="6145" width="2.33203125" style="291" customWidth="1"/>
    <col min="6146" max="6147" width="12" style="291"/>
    <col min="6148" max="6148" width="6.5" style="291" customWidth="1"/>
    <col min="6149" max="6149" width="5.1640625" style="291" customWidth="1"/>
    <col min="6150" max="6150" width="12" style="291"/>
    <col min="6151" max="6151" width="5.1640625" style="291" customWidth="1"/>
    <col min="6152" max="6152" width="17.1640625" style="291" customWidth="1"/>
    <col min="6153" max="6153" width="4.5" style="291" customWidth="1"/>
    <col min="6154" max="6154" width="16.1640625" style="291" customWidth="1"/>
    <col min="6155" max="6155" width="4.83203125" style="291" customWidth="1"/>
    <col min="6156" max="6156" width="17.1640625" style="291" customWidth="1"/>
    <col min="6157" max="6157" width="4.1640625" style="291" customWidth="1"/>
    <col min="6158" max="6399" width="12" style="291"/>
    <col min="6400" max="6400" width="7" style="291" customWidth="1"/>
    <col min="6401" max="6401" width="2.33203125" style="291" customWidth="1"/>
    <col min="6402" max="6403" width="12" style="291"/>
    <col min="6404" max="6404" width="6.5" style="291" customWidth="1"/>
    <col min="6405" max="6405" width="5.1640625" style="291" customWidth="1"/>
    <col min="6406" max="6406" width="12" style="291"/>
    <col min="6407" max="6407" width="5.1640625" style="291" customWidth="1"/>
    <col min="6408" max="6408" width="17.1640625" style="291" customWidth="1"/>
    <col min="6409" max="6409" width="4.5" style="291" customWidth="1"/>
    <col min="6410" max="6410" width="16.1640625" style="291" customWidth="1"/>
    <col min="6411" max="6411" width="4.83203125" style="291" customWidth="1"/>
    <col min="6412" max="6412" width="17.1640625" style="291" customWidth="1"/>
    <col min="6413" max="6413" width="4.1640625" style="291" customWidth="1"/>
    <col min="6414" max="6655" width="12" style="291"/>
    <col min="6656" max="6656" width="7" style="291" customWidth="1"/>
    <col min="6657" max="6657" width="2.33203125" style="291" customWidth="1"/>
    <col min="6658" max="6659" width="12" style="291"/>
    <col min="6660" max="6660" width="6.5" style="291" customWidth="1"/>
    <col min="6661" max="6661" width="5.1640625" style="291" customWidth="1"/>
    <col min="6662" max="6662" width="12" style="291"/>
    <col min="6663" max="6663" width="5.1640625" style="291" customWidth="1"/>
    <col min="6664" max="6664" width="17.1640625" style="291" customWidth="1"/>
    <col min="6665" max="6665" width="4.5" style="291" customWidth="1"/>
    <col min="6666" max="6666" width="16.1640625" style="291" customWidth="1"/>
    <col min="6667" max="6667" width="4.83203125" style="291" customWidth="1"/>
    <col min="6668" max="6668" width="17.1640625" style="291" customWidth="1"/>
    <col min="6669" max="6669" width="4.1640625" style="291" customWidth="1"/>
    <col min="6670" max="6911" width="12" style="291"/>
    <col min="6912" max="6912" width="7" style="291" customWidth="1"/>
    <col min="6913" max="6913" width="2.33203125" style="291" customWidth="1"/>
    <col min="6914" max="6915" width="12" style="291"/>
    <col min="6916" max="6916" width="6.5" style="291" customWidth="1"/>
    <col min="6917" max="6917" width="5.1640625" style="291" customWidth="1"/>
    <col min="6918" max="6918" width="12" style="291"/>
    <col min="6919" max="6919" width="5.1640625" style="291" customWidth="1"/>
    <col min="6920" max="6920" width="17.1640625" style="291" customWidth="1"/>
    <col min="6921" max="6921" width="4.5" style="291" customWidth="1"/>
    <col min="6922" max="6922" width="16.1640625" style="291" customWidth="1"/>
    <col min="6923" max="6923" width="4.83203125" style="291" customWidth="1"/>
    <col min="6924" max="6924" width="17.1640625" style="291" customWidth="1"/>
    <col min="6925" max="6925" width="4.1640625" style="291" customWidth="1"/>
    <col min="6926" max="7167" width="12" style="291"/>
    <col min="7168" max="7168" width="7" style="291" customWidth="1"/>
    <col min="7169" max="7169" width="2.33203125" style="291" customWidth="1"/>
    <col min="7170" max="7171" width="12" style="291"/>
    <col min="7172" max="7172" width="6.5" style="291" customWidth="1"/>
    <col min="7173" max="7173" width="5.1640625" style="291" customWidth="1"/>
    <col min="7174" max="7174" width="12" style="291"/>
    <col min="7175" max="7175" width="5.1640625" style="291" customWidth="1"/>
    <col min="7176" max="7176" width="17.1640625" style="291" customWidth="1"/>
    <col min="7177" max="7177" width="4.5" style="291" customWidth="1"/>
    <col min="7178" max="7178" width="16.1640625" style="291" customWidth="1"/>
    <col min="7179" max="7179" width="4.83203125" style="291" customWidth="1"/>
    <col min="7180" max="7180" width="17.1640625" style="291" customWidth="1"/>
    <col min="7181" max="7181" width="4.1640625" style="291" customWidth="1"/>
    <col min="7182" max="7423" width="12" style="291"/>
    <col min="7424" max="7424" width="7" style="291" customWidth="1"/>
    <col min="7425" max="7425" width="2.33203125" style="291" customWidth="1"/>
    <col min="7426" max="7427" width="12" style="291"/>
    <col min="7428" max="7428" width="6.5" style="291" customWidth="1"/>
    <col min="7429" max="7429" width="5.1640625" style="291" customWidth="1"/>
    <col min="7430" max="7430" width="12" style="291"/>
    <col min="7431" max="7431" width="5.1640625" style="291" customWidth="1"/>
    <col min="7432" max="7432" width="17.1640625" style="291" customWidth="1"/>
    <col min="7433" max="7433" width="4.5" style="291" customWidth="1"/>
    <col min="7434" max="7434" width="16.1640625" style="291" customWidth="1"/>
    <col min="7435" max="7435" width="4.83203125" style="291" customWidth="1"/>
    <col min="7436" max="7436" width="17.1640625" style="291" customWidth="1"/>
    <col min="7437" max="7437" width="4.1640625" style="291" customWidth="1"/>
    <col min="7438" max="7679" width="12" style="291"/>
    <col min="7680" max="7680" width="7" style="291" customWidth="1"/>
    <col min="7681" max="7681" width="2.33203125" style="291" customWidth="1"/>
    <col min="7682" max="7683" width="12" style="291"/>
    <col min="7684" max="7684" width="6.5" style="291" customWidth="1"/>
    <col min="7685" max="7685" width="5.1640625" style="291" customWidth="1"/>
    <col min="7686" max="7686" width="12" style="291"/>
    <col min="7687" max="7687" width="5.1640625" style="291" customWidth="1"/>
    <col min="7688" max="7688" width="17.1640625" style="291" customWidth="1"/>
    <col min="7689" max="7689" width="4.5" style="291" customWidth="1"/>
    <col min="7690" max="7690" width="16.1640625" style="291" customWidth="1"/>
    <col min="7691" max="7691" width="4.83203125" style="291" customWidth="1"/>
    <col min="7692" max="7692" width="17.1640625" style="291" customWidth="1"/>
    <col min="7693" max="7693" width="4.1640625" style="291" customWidth="1"/>
    <col min="7694" max="7935" width="12" style="291"/>
    <col min="7936" max="7936" width="7" style="291" customWidth="1"/>
    <col min="7937" max="7937" width="2.33203125" style="291" customWidth="1"/>
    <col min="7938" max="7939" width="12" style="291"/>
    <col min="7940" max="7940" width="6.5" style="291" customWidth="1"/>
    <col min="7941" max="7941" width="5.1640625" style="291" customWidth="1"/>
    <col min="7942" max="7942" width="12" style="291"/>
    <col min="7943" max="7943" width="5.1640625" style="291" customWidth="1"/>
    <col min="7944" max="7944" width="17.1640625" style="291" customWidth="1"/>
    <col min="7945" max="7945" width="4.5" style="291" customWidth="1"/>
    <col min="7946" max="7946" width="16.1640625" style="291" customWidth="1"/>
    <col min="7947" max="7947" width="4.83203125" style="291" customWidth="1"/>
    <col min="7948" max="7948" width="17.1640625" style="291" customWidth="1"/>
    <col min="7949" max="7949" width="4.1640625" style="291" customWidth="1"/>
    <col min="7950" max="8191" width="12" style="291"/>
    <col min="8192" max="8192" width="7" style="291" customWidth="1"/>
    <col min="8193" max="8193" width="2.33203125" style="291" customWidth="1"/>
    <col min="8194" max="8195" width="12" style="291"/>
    <col min="8196" max="8196" width="6.5" style="291" customWidth="1"/>
    <col min="8197" max="8197" width="5.1640625" style="291" customWidth="1"/>
    <col min="8198" max="8198" width="12" style="291"/>
    <col min="8199" max="8199" width="5.1640625" style="291" customWidth="1"/>
    <col min="8200" max="8200" width="17.1640625" style="291" customWidth="1"/>
    <col min="8201" max="8201" width="4.5" style="291" customWidth="1"/>
    <col min="8202" max="8202" width="16.1640625" style="291" customWidth="1"/>
    <col min="8203" max="8203" width="4.83203125" style="291" customWidth="1"/>
    <col min="8204" max="8204" width="17.1640625" style="291" customWidth="1"/>
    <col min="8205" max="8205" width="4.1640625" style="291" customWidth="1"/>
    <col min="8206" max="8447" width="12" style="291"/>
    <col min="8448" max="8448" width="7" style="291" customWidth="1"/>
    <col min="8449" max="8449" width="2.33203125" style="291" customWidth="1"/>
    <col min="8450" max="8451" width="12" style="291"/>
    <col min="8452" max="8452" width="6.5" style="291" customWidth="1"/>
    <col min="8453" max="8453" width="5.1640625" style="291" customWidth="1"/>
    <col min="8454" max="8454" width="12" style="291"/>
    <col min="8455" max="8455" width="5.1640625" style="291" customWidth="1"/>
    <col min="8456" max="8456" width="17.1640625" style="291" customWidth="1"/>
    <col min="8457" max="8457" width="4.5" style="291" customWidth="1"/>
    <col min="8458" max="8458" width="16.1640625" style="291" customWidth="1"/>
    <col min="8459" max="8459" width="4.83203125" style="291" customWidth="1"/>
    <col min="8460" max="8460" width="17.1640625" style="291" customWidth="1"/>
    <col min="8461" max="8461" width="4.1640625" style="291" customWidth="1"/>
    <col min="8462" max="8703" width="12" style="291"/>
    <col min="8704" max="8704" width="7" style="291" customWidth="1"/>
    <col min="8705" max="8705" width="2.33203125" style="291" customWidth="1"/>
    <col min="8706" max="8707" width="12" style="291"/>
    <col min="8708" max="8708" width="6.5" style="291" customWidth="1"/>
    <col min="8709" max="8709" width="5.1640625" style="291" customWidth="1"/>
    <col min="8710" max="8710" width="12" style="291"/>
    <col min="8711" max="8711" width="5.1640625" style="291" customWidth="1"/>
    <col min="8712" max="8712" width="17.1640625" style="291" customWidth="1"/>
    <col min="8713" max="8713" width="4.5" style="291" customWidth="1"/>
    <col min="8714" max="8714" width="16.1640625" style="291" customWidth="1"/>
    <col min="8715" max="8715" width="4.83203125" style="291" customWidth="1"/>
    <col min="8716" max="8716" width="17.1640625" style="291" customWidth="1"/>
    <col min="8717" max="8717" width="4.1640625" style="291" customWidth="1"/>
    <col min="8718" max="8959" width="12" style="291"/>
    <col min="8960" max="8960" width="7" style="291" customWidth="1"/>
    <col min="8961" max="8961" width="2.33203125" style="291" customWidth="1"/>
    <col min="8962" max="8963" width="12" style="291"/>
    <col min="8964" max="8964" width="6.5" style="291" customWidth="1"/>
    <col min="8965" max="8965" width="5.1640625" style="291" customWidth="1"/>
    <col min="8966" max="8966" width="12" style="291"/>
    <col min="8967" max="8967" width="5.1640625" style="291" customWidth="1"/>
    <col min="8968" max="8968" width="17.1640625" style="291" customWidth="1"/>
    <col min="8969" max="8969" width="4.5" style="291" customWidth="1"/>
    <col min="8970" max="8970" width="16.1640625" style="291" customWidth="1"/>
    <col min="8971" max="8971" width="4.83203125" style="291" customWidth="1"/>
    <col min="8972" max="8972" width="17.1640625" style="291" customWidth="1"/>
    <col min="8973" max="8973" width="4.1640625" style="291" customWidth="1"/>
    <col min="8974" max="9215" width="12" style="291"/>
    <col min="9216" max="9216" width="7" style="291" customWidth="1"/>
    <col min="9217" max="9217" width="2.33203125" style="291" customWidth="1"/>
    <col min="9218" max="9219" width="12" style="291"/>
    <col min="9220" max="9220" width="6.5" style="291" customWidth="1"/>
    <col min="9221" max="9221" width="5.1640625" style="291" customWidth="1"/>
    <col min="9222" max="9222" width="12" style="291"/>
    <col min="9223" max="9223" width="5.1640625" style="291" customWidth="1"/>
    <col min="9224" max="9224" width="17.1640625" style="291" customWidth="1"/>
    <col min="9225" max="9225" width="4.5" style="291" customWidth="1"/>
    <col min="9226" max="9226" width="16.1640625" style="291" customWidth="1"/>
    <col min="9227" max="9227" width="4.83203125" style="291" customWidth="1"/>
    <col min="9228" max="9228" width="17.1640625" style="291" customWidth="1"/>
    <col min="9229" max="9229" width="4.1640625" style="291" customWidth="1"/>
    <col min="9230" max="9471" width="12" style="291"/>
    <col min="9472" max="9472" width="7" style="291" customWidth="1"/>
    <col min="9473" max="9473" width="2.33203125" style="291" customWidth="1"/>
    <col min="9474" max="9475" width="12" style="291"/>
    <col min="9476" max="9476" width="6.5" style="291" customWidth="1"/>
    <col min="9477" max="9477" width="5.1640625" style="291" customWidth="1"/>
    <col min="9478" max="9478" width="12" style="291"/>
    <col min="9479" max="9479" width="5.1640625" style="291" customWidth="1"/>
    <col min="9480" max="9480" width="17.1640625" style="291" customWidth="1"/>
    <col min="9481" max="9481" width="4.5" style="291" customWidth="1"/>
    <col min="9482" max="9482" width="16.1640625" style="291" customWidth="1"/>
    <col min="9483" max="9483" width="4.83203125" style="291" customWidth="1"/>
    <col min="9484" max="9484" width="17.1640625" style="291" customWidth="1"/>
    <col min="9485" max="9485" width="4.1640625" style="291" customWidth="1"/>
    <col min="9486" max="9727" width="12" style="291"/>
    <col min="9728" max="9728" width="7" style="291" customWidth="1"/>
    <col min="9729" max="9729" width="2.33203125" style="291" customWidth="1"/>
    <col min="9730" max="9731" width="12" style="291"/>
    <col min="9732" max="9732" width="6.5" style="291" customWidth="1"/>
    <col min="9733" max="9733" width="5.1640625" style="291" customWidth="1"/>
    <col min="9734" max="9734" width="12" style="291"/>
    <col min="9735" max="9735" width="5.1640625" style="291" customWidth="1"/>
    <col min="9736" max="9736" width="17.1640625" style="291" customWidth="1"/>
    <col min="9737" max="9737" width="4.5" style="291" customWidth="1"/>
    <col min="9738" max="9738" width="16.1640625" style="291" customWidth="1"/>
    <col min="9739" max="9739" width="4.83203125" style="291" customWidth="1"/>
    <col min="9740" max="9740" width="17.1640625" style="291" customWidth="1"/>
    <col min="9741" max="9741" width="4.1640625" style="291" customWidth="1"/>
    <col min="9742" max="9983" width="12" style="291"/>
    <col min="9984" max="9984" width="7" style="291" customWidth="1"/>
    <col min="9985" max="9985" width="2.33203125" style="291" customWidth="1"/>
    <col min="9986" max="9987" width="12" style="291"/>
    <col min="9988" max="9988" width="6.5" style="291" customWidth="1"/>
    <col min="9989" max="9989" width="5.1640625" style="291" customWidth="1"/>
    <col min="9990" max="9990" width="12" style="291"/>
    <col min="9991" max="9991" width="5.1640625" style="291" customWidth="1"/>
    <col min="9992" max="9992" width="17.1640625" style="291" customWidth="1"/>
    <col min="9993" max="9993" width="4.5" style="291" customWidth="1"/>
    <col min="9994" max="9994" width="16.1640625" style="291" customWidth="1"/>
    <col min="9995" max="9995" width="4.83203125" style="291" customWidth="1"/>
    <col min="9996" max="9996" width="17.1640625" style="291" customWidth="1"/>
    <col min="9997" max="9997" width="4.1640625" style="291" customWidth="1"/>
    <col min="9998" max="10239" width="12" style="291"/>
    <col min="10240" max="10240" width="7" style="291" customWidth="1"/>
    <col min="10241" max="10241" width="2.33203125" style="291" customWidth="1"/>
    <col min="10242" max="10243" width="12" style="291"/>
    <col min="10244" max="10244" width="6.5" style="291" customWidth="1"/>
    <col min="10245" max="10245" width="5.1640625" style="291" customWidth="1"/>
    <col min="10246" max="10246" width="12" style="291"/>
    <col min="10247" max="10247" width="5.1640625" style="291" customWidth="1"/>
    <col min="10248" max="10248" width="17.1640625" style="291" customWidth="1"/>
    <col min="10249" max="10249" width="4.5" style="291" customWidth="1"/>
    <col min="10250" max="10250" width="16.1640625" style="291" customWidth="1"/>
    <col min="10251" max="10251" width="4.83203125" style="291" customWidth="1"/>
    <col min="10252" max="10252" width="17.1640625" style="291" customWidth="1"/>
    <col min="10253" max="10253" width="4.1640625" style="291" customWidth="1"/>
    <col min="10254" max="10495" width="12" style="291"/>
    <col min="10496" max="10496" width="7" style="291" customWidth="1"/>
    <col min="10497" max="10497" width="2.33203125" style="291" customWidth="1"/>
    <col min="10498" max="10499" width="12" style="291"/>
    <col min="10500" max="10500" width="6.5" style="291" customWidth="1"/>
    <col min="10501" max="10501" width="5.1640625" style="291" customWidth="1"/>
    <col min="10502" max="10502" width="12" style="291"/>
    <col min="10503" max="10503" width="5.1640625" style="291" customWidth="1"/>
    <col min="10504" max="10504" width="17.1640625" style="291" customWidth="1"/>
    <col min="10505" max="10505" width="4.5" style="291" customWidth="1"/>
    <col min="10506" max="10506" width="16.1640625" style="291" customWidth="1"/>
    <col min="10507" max="10507" width="4.83203125" style="291" customWidth="1"/>
    <col min="10508" max="10508" width="17.1640625" style="291" customWidth="1"/>
    <col min="10509" max="10509" width="4.1640625" style="291" customWidth="1"/>
    <col min="10510" max="10751" width="12" style="291"/>
    <col min="10752" max="10752" width="7" style="291" customWidth="1"/>
    <col min="10753" max="10753" width="2.33203125" style="291" customWidth="1"/>
    <col min="10754" max="10755" width="12" style="291"/>
    <col min="10756" max="10756" width="6.5" style="291" customWidth="1"/>
    <col min="10757" max="10757" width="5.1640625" style="291" customWidth="1"/>
    <col min="10758" max="10758" width="12" style="291"/>
    <col min="10759" max="10759" width="5.1640625" style="291" customWidth="1"/>
    <col min="10760" max="10760" width="17.1640625" style="291" customWidth="1"/>
    <col min="10761" max="10761" width="4.5" style="291" customWidth="1"/>
    <col min="10762" max="10762" width="16.1640625" style="291" customWidth="1"/>
    <col min="10763" max="10763" width="4.83203125" style="291" customWidth="1"/>
    <col min="10764" max="10764" width="17.1640625" style="291" customWidth="1"/>
    <col min="10765" max="10765" width="4.1640625" style="291" customWidth="1"/>
    <col min="10766" max="11007" width="12" style="291"/>
    <col min="11008" max="11008" width="7" style="291" customWidth="1"/>
    <col min="11009" max="11009" width="2.33203125" style="291" customWidth="1"/>
    <col min="11010" max="11011" width="12" style="291"/>
    <col min="11012" max="11012" width="6.5" style="291" customWidth="1"/>
    <col min="11013" max="11013" width="5.1640625" style="291" customWidth="1"/>
    <col min="11014" max="11014" width="12" style="291"/>
    <col min="11015" max="11015" width="5.1640625" style="291" customWidth="1"/>
    <col min="11016" max="11016" width="17.1640625" style="291" customWidth="1"/>
    <col min="11017" max="11017" width="4.5" style="291" customWidth="1"/>
    <col min="11018" max="11018" width="16.1640625" style="291" customWidth="1"/>
    <col min="11019" max="11019" width="4.83203125" style="291" customWidth="1"/>
    <col min="11020" max="11020" width="17.1640625" style="291" customWidth="1"/>
    <col min="11021" max="11021" width="4.1640625" style="291" customWidth="1"/>
    <col min="11022" max="11263" width="12" style="291"/>
    <col min="11264" max="11264" width="7" style="291" customWidth="1"/>
    <col min="11265" max="11265" width="2.33203125" style="291" customWidth="1"/>
    <col min="11266" max="11267" width="12" style="291"/>
    <col min="11268" max="11268" width="6.5" style="291" customWidth="1"/>
    <col min="11269" max="11269" width="5.1640625" style="291" customWidth="1"/>
    <col min="11270" max="11270" width="12" style="291"/>
    <col min="11271" max="11271" width="5.1640625" style="291" customWidth="1"/>
    <col min="11272" max="11272" width="17.1640625" style="291" customWidth="1"/>
    <col min="11273" max="11273" width="4.5" style="291" customWidth="1"/>
    <col min="11274" max="11274" width="16.1640625" style="291" customWidth="1"/>
    <col min="11275" max="11275" width="4.83203125" style="291" customWidth="1"/>
    <col min="11276" max="11276" width="17.1640625" style="291" customWidth="1"/>
    <col min="11277" max="11277" width="4.1640625" style="291" customWidth="1"/>
    <col min="11278" max="11519" width="12" style="291"/>
    <col min="11520" max="11520" width="7" style="291" customWidth="1"/>
    <col min="11521" max="11521" width="2.33203125" style="291" customWidth="1"/>
    <col min="11522" max="11523" width="12" style="291"/>
    <col min="11524" max="11524" width="6.5" style="291" customWidth="1"/>
    <col min="11525" max="11525" width="5.1640625" style="291" customWidth="1"/>
    <col min="11526" max="11526" width="12" style="291"/>
    <col min="11527" max="11527" width="5.1640625" style="291" customWidth="1"/>
    <col min="11528" max="11528" width="17.1640625" style="291" customWidth="1"/>
    <col min="11529" max="11529" width="4.5" style="291" customWidth="1"/>
    <col min="11530" max="11530" width="16.1640625" style="291" customWidth="1"/>
    <col min="11531" max="11531" width="4.83203125" style="291" customWidth="1"/>
    <col min="11532" max="11532" width="17.1640625" style="291" customWidth="1"/>
    <col min="11533" max="11533" width="4.1640625" style="291" customWidth="1"/>
    <col min="11534" max="11775" width="12" style="291"/>
    <col min="11776" max="11776" width="7" style="291" customWidth="1"/>
    <col min="11777" max="11777" width="2.33203125" style="291" customWidth="1"/>
    <col min="11778" max="11779" width="12" style="291"/>
    <col min="11780" max="11780" width="6.5" style="291" customWidth="1"/>
    <col min="11781" max="11781" width="5.1640625" style="291" customWidth="1"/>
    <col min="11782" max="11782" width="12" style="291"/>
    <col min="11783" max="11783" width="5.1640625" style="291" customWidth="1"/>
    <col min="11784" max="11784" width="17.1640625" style="291" customWidth="1"/>
    <col min="11785" max="11785" width="4.5" style="291" customWidth="1"/>
    <col min="11786" max="11786" width="16.1640625" style="291" customWidth="1"/>
    <col min="11787" max="11787" width="4.83203125" style="291" customWidth="1"/>
    <col min="11788" max="11788" width="17.1640625" style="291" customWidth="1"/>
    <col min="11789" max="11789" width="4.1640625" style="291" customWidth="1"/>
    <col min="11790" max="12031" width="12" style="291"/>
    <col min="12032" max="12032" width="7" style="291" customWidth="1"/>
    <col min="12033" max="12033" width="2.33203125" style="291" customWidth="1"/>
    <col min="12034" max="12035" width="12" style="291"/>
    <col min="12036" max="12036" width="6.5" style="291" customWidth="1"/>
    <col min="12037" max="12037" width="5.1640625" style="291" customWidth="1"/>
    <col min="12038" max="12038" width="12" style="291"/>
    <col min="12039" max="12039" width="5.1640625" style="291" customWidth="1"/>
    <col min="12040" max="12040" width="17.1640625" style="291" customWidth="1"/>
    <col min="12041" max="12041" width="4.5" style="291" customWidth="1"/>
    <col min="12042" max="12042" width="16.1640625" style="291" customWidth="1"/>
    <col min="12043" max="12043" width="4.83203125" style="291" customWidth="1"/>
    <col min="12044" max="12044" width="17.1640625" style="291" customWidth="1"/>
    <col min="12045" max="12045" width="4.1640625" style="291" customWidth="1"/>
    <col min="12046" max="12287" width="12" style="291"/>
    <col min="12288" max="12288" width="7" style="291" customWidth="1"/>
    <col min="12289" max="12289" width="2.33203125" style="291" customWidth="1"/>
    <col min="12290" max="12291" width="12" style="291"/>
    <col min="12292" max="12292" width="6.5" style="291" customWidth="1"/>
    <col min="12293" max="12293" width="5.1640625" style="291" customWidth="1"/>
    <col min="12294" max="12294" width="12" style="291"/>
    <col min="12295" max="12295" width="5.1640625" style="291" customWidth="1"/>
    <col min="12296" max="12296" width="17.1640625" style="291" customWidth="1"/>
    <col min="12297" max="12297" width="4.5" style="291" customWidth="1"/>
    <col min="12298" max="12298" width="16.1640625" style="291" customWidth="1"/>
    <col min="12299" max="12299" width="4.83203125" style="291" customWidth="1"/>
    <col min="12300" max="12300" width="17.1640625" style="291" customWidth="1"/>
    <col min="12301" max="12301" width="4.1640625" style="291" customWidth="1"/>
    <col min="12302" max="12543" width="12" style="291"/>
    <col min="12544" max="12544" width="7" style="291" customWidth="1"/>
    <col min="12545" max="12545" width="2.33203125" style="291" customWidth="1"/>
    <col min="12546" max="12547" width="12" style="291"/>
    <col min="12548" max="12548" width="6.5" style="291" customWidth="1"/>
    <col min="12549" max="12549" width="5.1640625" style="291" customWidth="1"/>
    <col min="12550" max="12550" width="12" style="291"/>
    <col min="12551" max="12551" width="5.1640625" style="291" customWidth="1"/>
    <col min="12552" max="12552" width="17.1640625" style="291" customWidth="1"/>
    <col min="12553" max="12553" width="4.5" style="291" customWidth="1"/>
    <col min="12554" max="12554" width="16.1640625" style="291" customWidth="1"/>
    <col min="12555" max="12555" width="4.83203125" style="291" customWidth="1"/>
    <col min="12556" max="12556" width="17.1640625" style="291" customWidth="1"/>
    <col min="12557" max="12557" width="4.1640625" style="291" customWidth="1"/>
    <col min="12558" max="12799" width="12" style="291"/>
    <col min="12800" max="12800" width="7" style="291" customWidth="1"/>
    <col min="12801" max="12801" width="2.33203125" style="291" customWidth="1"/>
    <col min="12802" max="12803" width="12" style="291"/>
    <col min="12804" max="12804" width="6.5" style="291" customWidth="1"/>
    <col min="12805" max="12805" width="5.1640625" style="291" customWidth="1"/>
    <col min="12806" max="12806" width="12" style="291"/>
    <col min="12807" max="12807" width="5.1640625" style="291" customWidth="1"/>
    <col min="12808" max="12808" width="17.1640625" style="291" customWidth="1"/>
    <col min="12809" max="12809" width="4.5" style="291" customWidth="1"/>
    <col min="12810" max="12810" width="16.1640625" style="291" customWidth="1"/>
    <col min="12811" max="12811" width="4.83203125" style="291" customWidth="1"/>
    <col min="12812" max="12812" width="17.1640625" style="291" customWidth="1"/>
    <col min="12813" max="12813" width="4.1640625" style="291" customWidth="1"/>
    <col min="12814" max="13055" width="12" style="291"/>
    <col min="13056" max="13056" width="7" style="291" customWidth="1"/>
    <col min="13057" max="13057" width="2.33203125" style="291" customWidth="1"/>
    <col min="13058" max="13059" width="12" style="291"/>
    <col min="13060" max="13060" width="6.5" style="291" customWidth="1"/>
    <col min="13061" max="13061" width="5.1640625" style="291" customWidth="1"/>
    <col min="13062" max="13062" width="12" style="291"/>
    <col min="13063" max="13063" width="5.1640625" style="291" customWidth="1"/>
    <col min="13064" max="13064" width="17.1640625" style="291" customWidth="1"/>
    <col min="13065" max="13065" width="4.5" style="291" customWidth="1"/>
    <col min="13066" max="13066" width="16.1640625" style="291" customWidth="1"/>
    <col min="13067" max="13067" width="4.83203125" style="291" customWidth="1"/>
    <col min="13068" max="13068" width="17.1640625" style="291" customWidth="1"/>
    <col min="13069" max="13069" width="4.1640625" style="291" customWidth="1"/>
    <col min="13070" max="13311" width="12" style="291"/>
    <col min="13312" max="13312" width="7" style="291" customWidth="1"/>
    <col min="13313" max="13313" width="2.33203125" style="291" customWidth="1"/>
    <col min="13314" max="13315" width="12" style="291"/>
    <col min="13316" max="13316" width="6.5" style="291" customWidth="1"/>
    <col min="13317" max="13317" width="5.1640625" style="291" customWidth="1"/>
    <col min="13318" max="13318" width="12" style="291"/>
    <col min="13319" max="13319" width="5.1640625" style="291" customWidth="1"/>
    <col min="13320" max="13320" width="17.1640625" style="291" customWidth="1"/>
    <col min="13321" max="13321" width="4.5" style="291" customWidth="1"/>
    <col min="13322" max="13322" width="16.1640625" style="291" customWidth="1"/>
    <col min="13323" max="13323" width="4.83203125" style="291" customWidth="1"/>
    <col min="13324" max="13324" width="17.1640625" style="291" customWidth="1"/>
    <col min="13325" max="13325" width="4.1640625" style="291" customWidth="1"/>
    <col min="13326" max="13567" width="12" style="291"/>
    <col min="13568" max="13568" width="7" style="291" customWidth="1"/>
    <col min="13569" max="13569" width="2.33203125" style="291" customWidth="1"/>
    <col min="13570" max="13571" width="12" style="291"/>
    <col min="13572" max="13572" width="6.5" style="291" customWidth="1"/>
    <col min="13573" max="13573" width="5.1640625" style="291" customWidth="1"/>
    <col min="13574" max="13574" width="12" style="291"/>
    <col min="13575" max="13575" width="5.1640625" style="291" customWidth="1"/>
    <col min="13576" max="13576" width="17.1640625" style="291" customWidth="1"/>
    <col min="13577" max="13577" width="4.5" style="291" customWidth="1"/>
    <col min="13578" max="13578" width="16.1640625" style="291" customWidth="1"/>
    <col min="13579" max="13579" width="4.83203125" style="291" customWidth="1"/>
    <col min="13580" max="13580" width="17.1640625" style="291" customWidth="1"/>
    <col min="13581" max="13581" width="4.1640625" style="291" customWidth="1"/>
    <col min="13582" max="13823" width="12" style="291"/>
    <col min="13824" max="13824" width="7" style="291" customWidth="1"/>
    <col min="13825" max="13825" width="2.33203125" style="291" customWidth="1"/>
    <col min="13826" max="13827" width="12" style="291"/>
    <col min="13828" max="13828" width="6.5" style="291" customWidth="1"/>
    <col min="13829" max="13829" width="5.1640625" style="291" customWidth="1"/>
    <col min="13830" max="13830" width="12" style="291"/>
    <col min="13831" max="13831" width="5.1640625" style="291" customWidth="1"/>
    <col min="13832" max="13832" width="17.1640625" style="291" customWidth="1"/>
    <col min="13833" max="13833" width="4.5" style="291" customWidth="1"/>
    <col min="13834" max="13834" width="16.1640625" style="291" customWidth="1"/>
    <col min="13835" max="13835" width="4.83203125" style="291" customWidth="1"/>
    <col min="13836" max="13836" width="17.1640625" style="291" customWidth="1"/>
    <col min="13837" max="13837" width="4.1640625" style="291" customWidth="1"/>
    <col min="13838" max="14079" width="12" style="291"/>
    <col min="14080" max="14080" width="7" style="291" customWidth="1"/>
    <col min="14081" max="14081" width="2.33203125" style="291" customWidth="1"/>
    <col min="14082" max="14083" width="12" style="291"/>
    <col min="14084" max="14084" width="6.5" style="291" customWidth="1"/>
    <col min="14085" max="14085" width="5.1640625" style="291" customWidth="1"/>
    <col min="14086" max="14086" width="12" style="291"/>
    <col min="14087" max="14087" width="5.1640625" style="291" customWidth="1"/>
    <col min="14088" max="14088" width="17.1640625" style="291" customWidth="1"/>
    <col min="14089" max="14089" width="4.5" style="291" customWidth="1"/>
    <col min="14090" max="14090" width="16.1640625" style="291" customWidth="1"/>
    <col min="14091" max="14091" width="4.83203125" style="291" customWidth="1"/>
    <col min="14092" max="14092" width="17.1640625" style="291" customWidth="1"/>
    <col min="14093" max="14093" width="4.1640625" style="291" customWidth="1"/>
    <col min="14094" max="14335" width="12" style="291"/>
    <col min="14336" max="14336" width="7" style="291" customWidth="1"/>
    <col min="14337" max="14337" width="2.33203125" style="291" customWidth="1"/>
    <col min="14338" max="14339" width="12" style="291"/>
    <col min="14340" max="14340" width="6.5" style="291" customWidth="1"/>
    <col min="14341" max="14341" width="5.1640625" style="291" customWidth="1"/>
    <col min="14342" max="14342" width="12" style="291"/>
    <col min="14343" max="14343" width="5.1640625" style="291" customWidth="1"/>
    <col min="14344" max="14344" width="17.1640625" style="291" customWidth="1"/>
    <col min="14345" max="14345" width="4.5" style="291" customWidth="1"/>
    <col min="14346" max="14346" width="16.1640625" style="291" customWidth="1"/>
    <col min="14347" max="14347" width="4.83203125" style="291" customWidth="1"/>
    <col min="14348" max="14348" width="17.1640625" style="291" customWidth="1"/>
    <col min="14349" max="14349" width="4.1640625" style="291" customWidth="1"/>
    <col min="14350" max="14591" width="12" style="291"/>
    <col min="14592" max="14592" width="7" style="291" customWidth="1"/>
    <col min="14593" max="14593" width="2.33203125" style="291" customWidth="1"/>
    <col min="14594" max="14595" width="12" style="291"/>
    <col min="14596" max="14596" width="6.5" style="291" customWidth="1"/>
    <col min="14597" max="14597" width="5.1640625" style="291" customWidth="1"/>
    <col min="14598" max="14598" width="12" style="291"/>
    <col min="14599" max="14599" width="5.1640625" style="291" customWidth="1"/>
    <col min="14600" max="14600" width="17.1640625" style="291" customWidth="1"/>
    <col min="14601" max="14601" width="4.5" style="291" customWidth="1"/>
    <col min="14602" max="14602" width="16.1640625" style="291" customWidth="1"/>
    <col min="14603" max="14603" width="4.83203125" style="291" customWidth="1"/>
    <col min="14604" max="14604" width="17.1640625" style="291" customWidth="1"/>
    <col min="14605" max="14605" width="4.1640625" style="291" customWidth="1"/>
    <col min="14606" max="14847" width="12" style="291"/>
    <col min="14848" max="14848" width="7" style="291" customWidth="1"/>
    <col min="14849" max="14849" width="2.33203125" style="291" customWidth="1"/>
    <col min="14850" max="14851" width="12" style="291"/>
    <col min="14852" max="14852" width="6.5" style="291" customWidth="1"/>
    <col min="14853" max="14853" width="5.1640625" style="291" customWidth="1"/>
    <col min="14854" max="14854" width="12" style="291"/>
    <col min="14855" max="14855" width="5.1640625" style="291" customWidth="1"/>
    <col min="14856" max="14856" width="17.1640625" style="291" customWidth="1"/>
    <col min="14857" max="14857" width="4.5" style="291" customWidth="1"/>
    <col min="14858" max="14858" width="16.1640625" style="291" customWidth="1"/>
    <col min="14859" max="14859" width="4.83203125" style="291" customWidth="1"/>
    <col min="14860" max="14860" width="17.1640625" style="291" customWidth="1"/>
    <col min="14861" max="14861" width="4.1640625" style="291" customWidth="1"/>
    <col min="14862" max="15103" width="12" style="291"/>
    <col min="15104" max="15104" width="7" style="291" customWidth="1"/>
    <col min="15105" max="15105" width="2.33203125" style="291" customWidth="1"/>
    <col min="15106" max="15107" width="12" style="291"/>
    <col min="15108" max="15108" width="6.5" style="291" customWidth="1"/>
    <col min="15109" max="15109" width="5.1640625" style="291" customWidth="1"/>
    <col min="15110" max="15110" width="12" style="291"/>
    <col min="15111" max="15111" width="5.1640625" style="291" customWidth="1"/>
    <col min="15112" max="15112" width="17.1640625" style="291" customWidth="1"/>
    <col min="15113" max="15113" width="4.5" style="291" customWidth="1"/>
    <col min="15114" max="15114" width="16.1640625" style="291" customWidth="1"/>
    <col min="15115" max="15115" width="4.83203125" style="291" customWidth="1"/>
    <col min="15116" max="15116" width="17.1640625" style="291" customWidth="1"/>
    <col min="15117" max="15117" width="4.1640625" style="291" customWidth="1"/>
    <col min="15118" max="15359" width="12" style="291"/>
    <col min="15360" max="15360" width="7" style="291" customWidth="1"/>
    <col min="15361" max="15361" width="2.33203125" style="291" customWidth="1"/>
    <col min="15362" max="15363" width="12" style="291"/>
    <col min="15364" max="15364" width="6.5" style="291" customWidth="1"/>
    <col min="15365" max="15365" width="5.1640625" style="291" customWidth="1"/>
    <col min="15366" max="15366" width="12" style="291"/>
    <col min="15367" max="15367" width="5.1640625" style="291" customWidth="1"/>
    <col min="15368" max="15368" width="17.1640625" style="291" customWidth="1"/>
    <col min="15369" max="15369" width="4.5" style="291" customWidth="1"/>
    <col min="15370" max="15370" width="16.1640625" style="291" customWidth="1"/>
    <col min="15371" max="15371" width="4.83203125" style="291" customWidth="1"/>
    <col min="15372" max="15372" width="17.1640625" style="291" customWidth="1"/>
    <col min="15373" max="15373" width="4.1640625" style="291" customWidth="1"/>
    <col min="15374" max="15615" width="12" style="291"/>
    <col min="15616" max="15616" width="7" style="291" customWidth="1"/>
    <col min="15617" max="15617" width="2.33203125" style="291" customWidth="1"/>
    <col min="15618" max="15619" width="12" style="291"/>
    <col min="15620" max="15620" width="6.5" style="291" customWidth="1"/>
    <col min="15621" max="15621" width="5.1640625" style="291" customWidth="1"/>
    <col min="15622" max="15622" width="12" style="291"/>
    <col min="15623" max="15623" width="5.1640625" style="291" customWidth="1"/>
    <col min="15624" max="15624" width="17.1640625" style="291" customWidth="1"/>
    <col min="15625" max="15625" width="4.5" style="291" customWidth="1"/>
    <col min="15626" max="15626" width="16.1640625" style="291" customWidth="1"/>
    <col min="15627" max="15627" width="4.83203125" style="291" customWidth="1"/>
    <col min="15628" max="15628" width="17.1640625" style="291" customWidth="1"/>
    <col min="15629" max="15629" width="4.1640625" style="291" customWidth="1"/>
    <col min="15630" max="15871" width="12" style="291"/>
    <col min="15872" max="15872" width="7" style="291" customWidth="1"/>
    <col min="15873" max="15873" width="2.33203125" style="291" customWidth="1"/>
    <col min="15874" max="15875" width="12" style="291"/>
    <col min="15876" max="15876" width="6.5" style="291" customWidth="1"/>
    <col min="15877" max="15877" width="5.1640625" style="291" customWidth="1"/>
    <col min="15878" max="15878" width="12" style="291"/>
    <col min="15879" max="15879" width="5.1640625" style="291" customWidth="1"/>
    <col min="15880" max="15880" width="17.1640625" style="291" customWidth="1"/>
    <col min="15881" max="15881" width="4.5" style="291" customWidth="1"/>
    <col min="15882" max="15882" width="16.1640625" style="291" customWidth="1"/>
    <col min="15883" max="15883" width="4.83203125" style="291" customWidth="1"/>
    <col min="15884" max="15884" width="17.1640625" style="291" customWidth="1"/>
    <col min="15885" max="15885" width="4.1640625" style="291" customWidth="1"/>
    <col min="15886" max="16127" width="12" style="291"/>
    <col min="16128" max="16128" width="7" style="291" customWidth="1"/>
    <col min="16129" max="16129" width="2.33203125" style="291" customWidth="1"/>
    <col min="16130" max="16131" width="12" style="291"/>
    <col min="16132" max="16132" width="6.5" style="291" customWidth="1"/>
    <col min="16133" max="16133" width="5.1640625" style="291" customWidth="1"/>
    <col min="16134" max="16134" width="12" style="291"/>
    <col min="16135" max="16135" width="5.1640625" style="291" customWidth="1"/>
    <col min="16136" max="16136" width="17.1640625" style="291" customWidth="1"/>
    <col min="16137" max="16137" width="4.5" style="291" customWidth="1"/>
    <col min="16138" max="16138" width="16.1640625" style="291" customWidth="1"/>
    <col min="16139" max="16139" width="4.83203125" style="291" customWidth="1"/>
    <col min="16140" max="16140" width="17.1640625" style="291" customWidth="1"/>
    <col min="16141" max="16141" width="4.1640625" style="291" customWidth="1"/>
    <col min="16142" max="16384" width="12" style="291"/>
  </cols>
  <sheetData>
    <row r="1" spans="1:15">
      <c r="A1" s="443"/>
      <c r="J1" s="198" t="str">
        <f>+'PGA Demand Cost Allocation'!J2</f>
        <v>CNGC Advice W22-09-01</v>
      </c>
    </row>
    <row r="2" spans="1:15">
      <c r="A2" s="443"/>
      <c r="J2" s="212" t="s">
        <v>192</v>
      </c>
    </row>
    <row r="3" spans="1:15">
      <c r="A3" s="443"/>
      <c r="J3" s="212" t="s">
        <v>376</v>
      </c>
    </row>
    <row r="4" spans="1:15">
      <c r="A4" s="443"/>
      <c r="M4" s="444"/>
    </row>
    <row r="5" spans="1:15">
      <c r="A5" s="443"/>
      <c r="C5" s="445" t="s">
        <v>47</v>
      </c>
      <c r="D5" s="445"/>
      <c r="E5" s="446"/>
      <c r="F5" s="446"/>
      <c r="G5" s="446"/>
      <c r="H5" s="446"/>
      <c r="I5" s="446"/>
      <c r="J5" s="446"/>
      <c r="K5" s="446"/>
      <c r="L5" s="446"/>
      <c r="M5" s="444"/>
    </row>
    <row r="6" spans="1:15">
      <c r="C6" s="1015" t="s">
        <v>202</v>
      </c>
      <c r="D6" s="1015"/>
      <c r="E6" s="1015"/>
      <c r="F6" s="1015"/>
      <c r="G6" s="1015"/>
      <c r="H6" s="1015"/>
      <c r="I6" s="1015"/>
      <c r="J6" s="1015"/>
      <c r="K6" s="1015"/>
      <c r="L6" s="1015"/>
      <c r="M6" s="363"/>
    </row>
    <row r="7" spans="1:15" hidden="1">
      <c r="C7" s="445" t="s">
        <v>174</v>
      </c>
      <c r="D7" s="445"/>
      <c r="E7" s="446"/>
      <c r="F7" s="446"/>
      <c r="G7" s="446"/>
      <c r="H7" s="446"/>
      <c r="I7" s="446"/>
      <c r="J7" s="446"/>
      <c r="K7" s="446"/>
      <c r="L7" s="446"/>
      <c r="M7" s="444"/>
    </row>
    <row r="8" spans="1:15">
      <c r="C8" s="445" t="s">
        <v>48</v>
      </c>
      <c r="D8" s="445"/>
      <c r="E8" s="446"/>
      <c r="F8" s="446"/>
      <c r="G8" s="446"/>
      <c r="H8" s="447"/>
      <c r="I8" s="446"/>
      <c r="J8" s="446"/>
      <c r="K8" s="446"/>
      <c r="L8" s="446"/>
    </row>
    <row r="9" spans="1:15">
      <c r="D9" s="291" t="s">
        <v>390</v>
      </c>
      <c r="I9" s="469" t="s">
        <v>6</v>
      </c>
      <c r="K9" s="893" t="s">
        <v>6</v>
      </c>
    </row>
    <row r="10" spans="1:15">
      <c r="D10" s="290" t="s">
        <v>79</v>
      </c>
      <c r="F10" s="469" t="s">
        <v>154</v>
      </c>
      <c r="G10" s="290" t="s">
        <v>154</v>
      </c>
      <c r="H10" s="469" t="s">
        <v>6</v>
      </c>
      <c r="I10" s="471">
        <v>44866</v>
      </c>
      <c r="K10" s="481">
        <v>44866</v>
      </c>
    </row>
    <row r="11" spans="1:15">
      <c r="A11" s="448" t="s">
        <v>7</v>
      </c>
      <c r="D11" s="290" t="s">
        <v>80</v>
      </c>
      <c r="E11" s="469" t="s">
        <v>229</v>
      </c>
      <c r="F11" s="471" t="s">
        <v>396</v>
      </c>
      <c r="G11" s="471" t="s">
        <v>396</v>
      </c>
      <c r="H11" s="471">
        <v>44866</v>
      </c>
      <c r="I11" s="469" t="s">
        <v>239</v>
      </c>
      <c r="J11" s="469" t="s">
        <v>241</v>
      </c>
      <c r="K11" s="482" t="s">
        <v>238</v>
      </c>
      <c r="L11" s="290"/>
      <c r="N11" s="447"/>
    </row>
    <row r="12" spans="1:15">
      <c r="A12" s="892" t="s">
        <v>9</v>
      </c>
      <c r="B12" s="291" t="s">
        <v>399</v>
      </c>
      <c r="C12" s="478" t="s">
        <v>228</v>
      </c>
      <c r="D12" s="478" t="s">
        <v>236</v>
      </c>
      <c r="E12" s="479" t="s">
        <v>230</v>
      </c>
      <c r="F12" s="479" t="s">
        <v>231</v>
      </c>
      <c r="G12" s="478" t="s">
        <v>235</v>
      </c>
      <c r="H12" s="479" t="s">
        <v>238</v>
      </c>
      <c r="I12" s="479" t="s">
        <v>235</v>
      </c>
      <c r="J12" s="479" t="s">
        <v>242</v>
      </c>
      <c r="K12" s="483" t="s">
        <v>243</v>
      </c>
      <c r="L12" s="290"/>
      <c r="N12" s="447"/>
    </row>
    <row r="13" spans="1:15">
      <c r="A13" s="448"/>
      <c r="C13" s="290"/>
      <c r="D13" s="290"/>
      <c r="E13" s="469"/>
      <c r="F13" s="469"/>
      <c r="G13" s="290" t="s">
        <v>237</v>
      </c>
      <c r="H13" s="469"/>
      <c r="I13" s="290" t="s">
        <v>240</v>
      </c>
      <c r="K13" s="484"/>
      <c r="L13" s="290"/>
      <c r="N13" s="447"/>
    </row>
    <row r="14" spans="1:15">
      <c r="C14" s="290" t="s">
        <v>14</v>
      </c>
      <c r="D14" s="469" t="s">
        <v>15</v>
      </c>
      <c r="E14" s="290" t="s">
        <v>16</v>
      </c>
      <c r="F14" s="290" t="s">
        <v>17</v>
      </c>
      <c r="G14" s="290" t="s">
        <v>18</v>
      </c>
      <c r="H14" s="290" t="s">
        <v>81</v>
      </c>
      <c r="I14" s="469" t="s">
        <v>62</v>
      </c>
      <c r="J14" s="469" t="s">
        <v>63</v>
      </c>
      <c r="K14" s="490" t="s">
        <v>64</v>
      </c>
      <c r="O14" s="862"/>
    </row>
    <row r="15" spans="1:15">
      <c r="K15" s="485"/>
      <c r="O15" s="862"/>
    </row>
    <row r="16" spans="1:15">
      <c r="A16" s="443">
        <v>1</v>
      </c>
      <c r="C16" s="291" t="s">
        <v>218</v>
      </c>
      <c r="D16" s="476">
        <v>54</v>
      </c>
      <c r="E16" s="894">
        <v>5</v>
      </c>
      <c r="F16" s="472">
        <v>1.03712</v>
      </c>
      <c r="G16" s="292">
        <f>+E16+(D16*F16)</f>
        <v>61.004480000000001</v>
      </c>
      <c r="H16" s="472">
        <f>+F16+'PGA Amount Change'!I16</f>
        <v>1.2531000000000001</v>
      </c>
      <c r="I16" s="477">
        <f>E16+(D16*H16)</f>
        <v>72.667400000000001</v>
      </c>
      <c r="J16" s="475">
        <f>+I16-G16</f>
        <v>11.66292</v>
      </c>
      <c r="K16" s="486">
        <f>+J16/G16</f>
        <v>0.19118136897486873</v>
      </c>
      <c r="L16" s="449"/>
      <c r="N16" s="449"/>
      <c r="O16" s="862"/>
    </row>
    <row r="17" spans="1:15">
      <c r="D17" s="476"/>
      <c r="E17" s="894"/>
      <c r="F17" s="472"/>
      <c r="G17" s="292"/>
      <c r="H17" s="472"/>
      <c r="I17" s="477"/>
      <c r="J17" s="475"/>
      <c r="K17" s="486"/>
      <c r="O17" s="862"/>
    </row>
    <row r="18" spans="1:15">
      <c r="A18" s="443">
        <v>2</v>
      </c>
      <c r="C18" s="291" t="s">
        <v>219</v>
      </c>
      <c r="D18" s="476">
        <v>271</v>
      </c>
      <c r="E18" s="894">
        <v>13</v>
      </c>
      <c r="F18" s="472">
        <v>0.97065999999999997</v>
      </c>
      <c r="G18" s="292">
        <f>+E18+(D18*F18)</f>
        <v>276.04885999999999</v>
      </c>
      <c r="H18" s="472">
        <f>+F18+'PGA Amount Change'!I17</f>
        <v>1.18668</v>
      </c>
      <c r="I18" s="477">
        <f>E18+(D18*H18)</f>
        <v>334.59028000000001</v>
      </c>
      <c r="J18" s="475">
        <f t="shared" ref="J18:J30" si="0">+I18-G18</f>
        <v>58.541420000000016</v>
      </c>
      <c r="K18" s="486">
        <f t="shared" ref="K18:K30" si="1">+J18/G18</f>
        <v>0.21206905183379499</v>
      </c>
      <c r="L18" s="449"/>
      <c r="N18" s="449"/>
      <c r="O18" s="862"/>
    </row>
    <row r="19" spans="1:15">
      <c r="D19" s="476"/>
      <c r="E19" s="894"/>
      <c r="F19" s="472"/>
      <c r="G19" s="292"/>
      <c r="H19" s="472"/>
      <c r="J19" s="475"/>
      <c r="K19" s="486"/>
      <c r="O19" s="862"/>
    </row>
    <row r="20" spans="1:15">
      <c r="A20" s="443">
        <v>3</v>
      </c>
      <c r="C20" s="291" t="s">
        <v>220</v>
      </c>
      <c r="D20" s="476"/>
      <c r="E20" s="894">
        <v>60</v>
      </c>
      <c r="F20" s="472"/>
      <c r="G20" s="292"/>
      <c r="H20" s="472"/>
      <c r="J20" s="475"/>
      <c r="K20" s="486"/>
      <c r="L20" s="293"/>
      <c r="N20" s="449"/>
      <c r="O20" s="862"/>
    </row>
    <row r="21" spans="1:15">
      <c r="A21" s="443">
        <v>4</v>
      </c>
      <c r="C21" s="291" t="s">
        <v>221</v>
      </c>
      <c r="D21" s="476"/>
      <c r="E21" s="894"/>
      <c r="F21" s="472">
        <v>0.89552000000000009</v>
      </c>
      <c r="G21" s="292">
        <f>+E20+(500*F21)</f>
        <v>507.76000000000005</v>
      </c>
      <c r="H21" s="472">
        <f>+F21+'PGA Amount Change'!I18</f>
        <v>1.1117700000000001</v>
      </c>
      <c r="I21" s="292">
        <f>+E20+(500*H21)</f>
        <v>615.8850000000001</v>
      </c>
      <c r="J21" s="475"/>
      <c r="K21" s="486"/>
      <c r="L21" s="293"/>
      <c r="N21" s="449"/>
      <c r="O21" s="862"/>
    </row>
    <row r="22" spans="1:15">
      <c r="A22" s="443">
        <v>5</v>
      </c>
      <c r="C22" s="291" t="s">
        <v>222</v>
      </c>
      <c r="D22" s="476"/>
      <c r="E22" s="894"/>
      <c r="F22" s="472">
        <v>0.85544000000000009</v>
      </c>
      <c r="G22" s="292">
        <f>+(D24-500)*F22</f>
        <v>1276.3164800000002</v>
      </c>
      <c r="H22" s="472">
        <f>+F22+'PGA Amount Change'!I18</f>
        <v>1.07169</v>
      </c>
      <c r="I22" s="292">
        <f>+(D24-500)*H22</f>
        <v>1598.9614799999999</v>
      </c>
      <c r="J22" s="475"/>
      <c r="K22" s="486"/>
      <c r="L22" s="293"/>
      <c r="N22" s="449"/>
      <c r="O22" s="862"/>
    </row>
    <row r="23" spans="1:15">
      <c r="A23" s="443">
        <v>6</v>
      </c>
      <c r="C23" s="291" t="s">
        <v>223</v>
      </c>
      <c r="D23" s="476"/>
      <c r="E23" s="894"/>
      <c r="F23" s="472">
        <v>0.84938000000000002</v>
      </c>
      <c r="G23" s="292"/>
      <c r="H23" s="472">
        <f>+F23+'PGA Amount Change'!I18</f>
        <v>1.0656300000000001</v>
      </c>
      <c r="J23" s="475"/>
      <c r="K23" s="486"/>
      <c r="L23" s="293"/>
    </row>
    <row r="24" spans="1:15">
      <c r="A24" s="443">
        <v>7</v>
      </c>
      <c r="C24" s="448" t="s">
        <v>232</v>
      </c>
      <c r="D24" s="470">
        <v>1992</v>
      </c>
      <c r="E24" s="894"/>
      <c r="F24" s="472"/>
      <c r="G24" s="292">
        <f>+SUM((G21:G23))</f>
        <v>1784.0764800000002</v>
      </c>
      <c r="H24" s="292"/>
      <c r="I24" s="292">
        <f>+SUM(I21:I23)</f>
        <v>2214.8464800000002</v>
      </c>
      <c r="J24" s="475">
        <f t="shared" si="0"/>
        <v>430.77</v>
      </c>
      <c r="K24" s="486">
        <f t="shared" si="1"/>
        <v>0.24145265341988026</v>
      </c>
      <c r="L24" s="449"/>
      <c r="N24" s="449"/>
    </row>
    <row r="25" spans="1:15">
      <c r="A25" s="443"/>
      <c r="C25" s="444"/>
      <c r="D25" s="476"/>
      <c r="E25" s="894"/>
      <c r="F25" s="472"/>
      <c r="G25" s="292"/>
      <c r="H25" s="472"/>
      <c r="J25" s="475"/>
      <c r="K25" s="486"/>
      <c r="L25" s="293"/>
      <c r="N25" s="449"/>
    </row>
    <row r="26" spans="1:15">
      <c r="A26" s="291">
        <v>8</v>
      </c>
      <c r="C26" s="291" t="s">
        <v>224</v>
      </c>
      <c r="D26" s="476"/>
      <c r="E26" s="894">
        <v>125</v>
      </c>
      <c r="F26" s="472"/>
      <c r="G26" s="292"/>
      <c r="H26" s="472"/>
      <c r="J26" s="475"/>
      <c r="K26" s="486"/>
      <c r="L26" s="293"/>
      <c r="N26" s="449"/>
    </row>
    <row r="27" spans="1:15">
      <c r="A27" s="291">
        <v>9</v>
      </c>
      <c r="C27" s="291" t="s">
        <v>221</v>
      </c>
      <c r="D27" s="476"/>
      <c r="E27" s="894"/>
      <c r="F27" s="472">
        <v>0.78754000000000002</v>
      </c>
      <c r="G27" s="292">
        <f>+E26+(+F27*500)</f>
        <v>518.77</v>
      </c>
      <c r="H27" s="472">
        <f>+F27+'PGA Amount Change'!I19</f>
        <v>1.00379</v>
      </c>
      <c r="I27" s="292">
        <f>+E26+(+H27*500)</f>
        <v>626.89499999999998</v>
      </c>
      <c r="J27" s="475"/>
      <c r="K27" s="486"/>
    </row>
    <row r="28" spans="1:15">
      <c r="A28" s="291">
        <v>10</v>
      </c>
      <c r="B28" s="444"/>
      <c r="C28" s="291" t="s">
        <v>222</v>
      </c>
      <c r="D28" s="476"/>
      <c r="E28" s="894"/>
      <c r="F28" s="472">
        <v>0.74803999999999993</v>
      </c>
      <c r="G28" s="292">
        <f>+F28*3500</f>
        <v>2618.14</v>
      </c>
      <c r="H28" s="472">
        <f>+F28+'PGA Amount Change'!I19</f>
        <v>0.96428999999999987</v>
      </c>
      <c r="I28" s="292">
        <f>+H28*3500</f>
        <v>3375.0149999999994</v>
      </c>
      <c r="J28" s="475"/>
      <c r="K28" s="486"/>
    </row>
    <row r="29" spans="1:15">
      <c r="A29" s="291">
        <v>11</v>
      </c>
      <c r="B29" s="444"/>
      <c r="C29" s="291" t="s">
        <v>223</v>
      </c>
      <c r="D29" s="476"/>
      <c r="E29" s="894"/>
      <c r="F29" s="472">
        <v>0.65034000000000003</v>
      </c>
      <c r="G29" s="292">
        <f>+(+D30-(4000))*F29</f>
        <v>8219.6472599999997</v>
      </c>
      <c r="H29" s="472">
        <f>+F29+'PGA Amount Change'!I19</f>
        <v>0.86658999999999997</v>
      </c>
      <c r="I29" s="292">
        <f>+(+D30-(4000))*H29</f>
        <v>10952.83101</v>
      </c>
      <c r="J29" s="475"/>
      <c r="K29" s="486"/>
    </row>
    <row r="30" spans="1:15">
      <c r="A30" s="291">
        <v>12</v>
      </c>
      <c r="B30" s="444"/>
      <c r="C30" s="473" t="s">
        <v>233</v>
      </c>
      <c r="D30" s="470">
        <v>16639</v>
      </c>
      <c r="E30" s="894"/>
      <c r="F30" s="472"/>
      <c r="G30" s="292">
        <f>+SUM(G27:G29)</f>
        <v>11356.55726</v>
      </c>
      <c r="H30" s="292"/>
      <c r="I30" s="292">
        <f>+SUM(I27:I29)</f>
        <v>14954.74101</v>
      </c>
      <c r="J30" s="475">
        <f t="shared" si="0"/>
        <v>3598.1837500000001</v>
      </c>
      <c r="K30" s="486">
        <f t="shared" si="1"/>
        <v>0.31683754747343212</v>
      </c>
      <c r="L30" s="449"/>
    </row>
    <row r="31" spans="1:15">
      <c r="D31" s="470"/>
      <c r="E31" s="894"/>
      <c r="F31" s="472"/>
      <c r="G31" s="292"/>
      <c r="H31" s="472"/>
      <c r="J31" s="475"/>
      <c r="K31" s="486"/>
    </row>
    <row r="32" spans="1:15">
      <c r="A32" s="291">
        <v>13</v>
      </c>
      <c r="C32" s="291" t="s">
        <v>225</v>
      </c>
      <c r="D32" s="470"/>
      <c r="E32" s="894">
        <v>163</v>
      </c>
      <c r="F32" s="472"/>
      <c r="G32" s="292"/>
      <c r="H32" s="472"/>
      <c r="J32" s="475"/>
      <c r="K32" s="486"/>
    </row>
    <row r="33" spans="1:14">
      <c r="A33" s="291">
        <v>14</v>
      </c>
      <c r="C33" s="291" t="s">
        <v>226</v>
      </c>
      <c r="D33" s="470"/>
      <c r="F33" s="472">
        <v>0.75481999999999994</v>
      </c>
      <c r="G33" s="292">
        <f>+E32+(D35*F33)</f>
        <v>17699.733059999999</v>
      </c>
      <c r="H33" s="472">
        <f>+F33+'PGA Amount Change'!I20</f>
        <v>0.97129999999999994</v>
      </c>
      <c r="I33" s="292">
        <f>+E32+(D35*H33)</f>
        <v>22729.212899999999</v>
      </c>
      <c r="J33" s="475"/>
      <c r="K33" s="486"/>
    </row>
    <row r="34" spans="1:14">
      <c r="A34" s="291">
        <v>15</v>
      </c>
      <c r="C34" s="291" t="s">
        <v>227</v>
      </c>
      <c r="D34" s="470"/>
      <c r="F34" s="472">
        <v>0.68815000000000004</v>
      </c>
      <c r="G34" s="292"/>
      <c r="H34" s="472">
        <f>+F34+'PGA Amount Change'!I20</f>
        <v>0.90463000000000005</v>
      </c>
      <c r="J34" s="475"/>
      <c r="K34" s="486"/>
    </row>
    <row r="35" spans="1:14">
      <c r="A35" s="291">
        <v>16</v>
      </c>
      <c r="C35" s="473" t="s">
        <v>234</v>
      </c>
      <c r="D35" s="470">
        <v>23233</v>
      </c>
      <c r="G35" s="859">
        <f>+G33+G34</f>
        <v>17699.733059999999</v>
      </c>
      <c r="H35" s="292"/>
      <c r="I35" s="292">
        <f>+I33+I34</f>
        <v>22729.212899999999</v>
      </c>
      <c r="J35" s="475">
        <f t="shared" ref="J35" si="2">+I35-G35</f>
        <v>5029.47984</v>
      </c>
      <c r="K35" s="858">
        <f>+J35/G33</f>
        <v>0.28415568884291414</v>
      </c>
      <c r="L35" s="449"/>
    </row>
    <row r="37" spans="1:14" ht="15.75" customHeight="1">
      <c r="A37" s="291">
        <v>17</v>
      </c>
      <c r="C37" s="1016" t="s">
        <v>397</v>
      </c>
      <c r="D37" s="1016"/>
      <c r="N37" s="474"/>
    </row>
    <row r="38" spans="1:14">
      <c r="C38" s="1016"/>
      <c r="D38" s="1016"/>
    </row>
  </sheetData>
  <mergeCells count="2">
    <mergeCell ref="C6:L6"/>
    <mergeCell ref="C37:D38"/>
  </mergeCells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Q39"/>
  <sheetViews>
    <sheetView workbookViewId="0">
      <selection activeCell="F21" sqref="F21"/>
    </sheetView>
  </sheetViews>
  <sheetFormatPr defaultRowHeight="10.5"/>
  <cols>
    <col min="1" max="1" width="7.1640625" style="189" customWidth="1"/>
    <col min="2" max="2" width="4.1640625" style="173" customWidth="1"/>
    <col min="3" max="5" width="9.33203125" style="173"/>
    <col min="6" max="6" width="36.83203125" style="173" customWidth="1"/>
    <col min="7" max="7" width="16.5" style="173" bestFit="1" customWidth="1"/>
    <col min="8" max="8" width="16" style="173" customWidth="1"/>
    <col min="9" max="9" width="15.83203125" style="173" customWidth="1"/>
    <col min="10" max="10" width="18.6640625" style="173" customWidth="1"/>
    <col min="11" max="11" width="4.83203125" style="173" customWidth="1"/>
    <col min="12" max="12" width="6" style="173" customWidth="1"/>
    <col min="13" max="13" width="14.5" style="173" customWidth="1"/>
    <col min="14" max="16" width="9.33203125" style="173"/>
    <col min="17" max="17" width="16.6640625" style="173" customWidth="1"/>
    <col min="18" max="254" width="9.33203125" style="173"/>
    <col min="255" max="255" width="7.1640625" style="173" customWidth="1"/>
    <col min="256" max="256" width="4.1640625" style="173" customWidth="1"/>
    <col min="257" max="260" width="9.33203125" style="173"/>
    <col min="261" max="261" width="14.5" style="173" customWidth="1"/>
    <col min="262" max="262" width="16" style="173" customWidth="1"/>
    <col min="263" max="263" width="15.83203125" style="173" customWidth="1"/>
    <col min="264" max="264" width="4.83203125" style="173" customWidth="1"/>
    <col min="265" max="265" width="18.5" style="173" customWidth="1"/>
    <col min="266" max="266" width="4.83203125" style="173" customWidth="1"/>
    <col min="267" max="267" width="0" style="173" hidden="1" customWidth="1"/>
    <col min="268" max="268" width="6" style="173" customWidth="1"/>
    <col min="269" max="269" width="14.5" style="173" customWidth="1"/>
    <col min="270" max="272" width="9.33203125" style="173"/>
    <col min="273" max="273" width="16.6640625" style="173" customWidth="1"/>
    <col min="274" max="510" width="9.33203125" style="173"/>
    <col min="511" max="511" width="7.1640625" style="173" customWidth="1"/>
    <col min="512" max="512" width="4.1640625" style="173" customWidth="1"/>
    <col min="513" max="516" width="9.33203125" style="173"/>
    <col min="517" max="517" width="14.5" style="173" customWidth="1"/>
    <col min="518" max="518" width="16" style="173" customWidth="1"/>
    <col min="519" max="519" width="15.83203125" style="173" customWidth="1"/>
    <col min="520" max="520" width="4.83203125" style="173" customWidth="1"/>
    <col min="521" max="521" width="18.5" style="173" customWidth="1"/>
    <col min="522" max="522" width="4.83203125" style="173" customWidth="1"/>
    <col min="523" max="523" width="0" style="173" hidden="1" customWidth="1"/>
    <col min="524" max="524" width="6" style="173" customWidth="1"/>
    <col min="525" max="525" width="14.5" style="173" customWidth="1"/>
    <col min="526" max="528" width="9.33203125" style="173"/>
    <col min="529" max="529" width="16.6640625" style="173" customWidth="1"/>
    <col min="530" max="766" width="9.33203125" style="173"/>
    <col min="767" max="767" width="7.1640625" style="173" customWidth="1"/>
    <col min="768" max="768" width="4.1640625" style="173" customWidth="1"/>
    <col min="769" max="772" width="9.33203125" style="173"/>
    <col min="773" max="773" width="14.5" style="173" customWidth="1"/>
    <col min="774" max="774" width="16" style="173" customWidth="1"/>
    <col min="775" max="775" width="15.83203125" style="173" customWidth="1"/>
    <col min="776" max="776" width="4.83203125" style="173" customWidth="1"/>
    <col min="777" max="777" width="18.5" style="173" customWidth="1"/>
    <col min="778" max="778" width="4.83203125" style="173" customWidth="1"/>
    <col min="779" max="779" width="0" style="173" hidden="1" customWidth="1"/>
    <col min="780" max="780" width="6" style="173" customWidth="1"/>
    <col min="781" max="781" width="14.5" style="173" customWidth="1"/>
    <col min="782" max="784" width="9.33203125" style="173"/>
    <col min="785" max="785" width="16.6640625" style="173" customWidth="1"/>
    <col min="786" max="1022" width="9.33203125" style="173"/>
    <col min="1023" max="1023" width="7.1640625" style="173" customWidth="1"/>
    <col min="1024" max="1024" width="4.1640625" style="173" customWidth="1"/>
    <col min="1025" max="1028" width="9.33203125" style="173"/>
    <col min="1029" max="1029" width="14.5" style="173" customWidth="1"/>
    <col min="1030" max="1030" width="16" style="173" customWidth="1"/>
    <col min="1031" max="1031" width="15.83203125" style="173" customWidth="1"/>
    <col min="1032" max="1032" width="4.83203125" style="173" customWidth="1"/>
    <col min="1033" max="1033" width="18.5" style="173" customWidth="1"/>
    <col min="1034" max="1034" width="4.83203125" style="173" customWidth="1"/>
    <col min="1035" max="1035" width="0" style="173" hidden="1" customWidth="1"/>
    <col min="1036" max="1036" width="6" style="173" customWidth="1"/>
    <col min="1037" max="1037" width="14.5" style="173" customWidth="1"/>
    <col min="1038" max="1040" width="9.33203125" style="173"/>
    <col min="1041" max="1041" width="16.6640625" style="173" customWidth="1"/>
    <col min="1042" max="1278" width="9.33203125" style="173"/>
    <col min="1279" max="1279" width="7.1640625" style="173" customWidth="1"/>
    <col min="1280" max="1280" width="4.1640625" style="173" customWidth="1"/>
    <col min="1281" max="1284" width="9.33203125" style="173"/>
    <col min="1285" max="1285" width="14.5" style="173" customWidth="1"/>
    <col min="1286" max="1286" width="16" style="173" customWidth="1"/>
    <col min="1287" max="1287" width="15.83203125" style="173" customWidth="1"/>
    <col min="1288" max="1288" width="4.83203125" style="173" customWidth="1"/>
    <col min="1289" max="1289" width="18.5" style="173" customWidth="1"/>
    <col min="1290" max="1290" width="4.83203125" style="173" customWidth="1"/>
    <col min="1291" max="1291" width="0" style="173" hidden="1" customWidth="1"/>
    <col min="1292" max="1292" width="6" style="173" customWidth="1"/>
    <col min="1293" max="1293" width="14.5" style="173" customWidth="1"/>
    <col min="1294" max="1296" width="9.33203125" style="173"/>
    <col min="1297" max="1297" width="16.6640625" style="173" customWidth="1"/>
    <col min="1298" max="1534" width="9.33203125" style="173"/>
    <col min="1535" max="1535" width="7.1640625" style="173" customWidth="1"/>
    <col min="1536" max="1536" width="4.1640625" style="173" customWidth="1"/>
    <col min="1537" max="1540" width="9.33203125" style="173"/>
    <col min="1541" max="1541" width="14.5" style="173" customWidth="1"/>
    <col min="1542" max="1542" width="16" style="173" customWidth="1"/>
    <col min="1543" max="1543" width="15.83203125" style="173" customWidth="1"/>
    <col min="1544" max="1544" width="4.83203125" style="173" customWidth="1"/>
    <col min="1545" max="1545" width="18.5" style="173" customWidth="1"/>
    <col min="1546" max="1546" width="4.83203125" style="173" customWidth="1"/>
    <col min="1547" max="1547" width="0" style="173" hidden="1" customWidth="1"/>
    <col min="1548" max="1548" width="6" style="173" customWidth="1"/>
    <col min="1549" max="1549" width="14.5" style="173" customWidth="1"/>
    <col min="1550" max="1552" width="9.33203125" style="173"/>
    <col min="1553" max="1553" width="16.6640625" style="173" customWidth="1"/>
    <col min="1554" max="1790" width="9.33203125" style="173"/>
    <col min="1791" max="1791" width="7.1640625" style="173" customWidth="1"/>
    <col min="1792" max="1792" width="4.1640625" style="173" customWidth="1"/>
    <col min="1793" max="1796" width="9.33203125" style="173"/>
    <col min="1797" max="1797" width="14.5" style="173" customWidth="1"/>
    <col min="1798" max="1798" width="16" style="173" customWidth="1"/>
    <col min="1799" max="1799" width="15.83203125" style="173" customWidth="1"/>
    <col min="1800" max="1800" width="4.83203125" style="173" customWidth="1"/>
    <col min="1801" max="1801" width="18.5" style="173" customWidth="1"/>
    <col min="1802" max="1802" width="4.83203125" style="173" customWidth="1"/>
    <col min="1803" max="1803" width="0" style="173" hidden="1" customWidth="1"/>
    <col min="1804" max="1804" width="6" style="173" customWidth="1"/>
    <col min="1805" max="1805" width="14.5" style="173" customWidth="1"/>
    <col min="1806" max="1808" width="9.33203125" style="173"/>
    <col min="1809" max="1809" width="16.6640625" style="173" customWidth="1"/>
    <col min="1810" max="2046" width="9.33203125" style="173"/>
    <col min="2047" max="2047" width="7.1640625" style="173" customWidth="1"/>
    <col min="2048" max="2048" width="4.1640625" style="173" customWidth="1"/>
    <col min="2049" max="2052" width="9.33203125" style="173"/>
    <col min="2053" max="2053" width="14.5" style="173" customWidth="1"/>
    <col min="2054" max="2054" width="16" style="173" customWidth="1"/>
    <col min="2055" max="2055" width="15.83203125" style="173" customWidth="1"/>
    <col min="2056" max="2056" width="4.83203125" style="173" customWidth="1"/>
    <col min="2057" max="2057" width="18.5" style="173" customWidth="1"/>
    <col min="2058" max="2058" width="4.83203125" style="173" customWidth="1"/>
    <col min="2059" max="2059" width="0" style="173" hidden="1" customWidth="1"/>
    <col min="2060" max="2060" width="6" style="173" customWidth="1"/>
    <col min="2061" max="2061" width="14.5" style="173" customWidth="1"/>
    <col min="2062" max="2064" width="9.33203125" style="173"/>
    <col min="2065" max="2065" width="16.6640625" style="173" customWidth="1"/>
    <col min="2066" max="2302" width="9.33203125" style="173"/>
    <col min="2303" max="2303" width="7.1640625" style="173" customWidth="1"/>
    <col min="2304" max="2304" width="4.1640625" style="173" customWidth="1"/>
    <col min="2305" max="2308" width="9.33203125" style="173"/>
    <col min="2309" max="2309" width="14.5" style="173" customWidth="1"/>
    <col min="2310" max="2310" width="16" style="173" customWidth="1"/>
    <col min="2311" max="2311" width="15.83203125" style="173" customWidth="1"/>
    <col min="2312" max="2312" width="4.83203125" style="173" customWidth="1"/>
    <col min="2313" max="2313" width="18.5" style="173" customWidth="1"/>
    <col min="2314" max="2314" width="4.83203125" style="173" customWidth="1"/>
    <col min="2315" max="2315" width="0" style="173" hidden="1" customWidth="1"/>
    <col min="2316" max="2316" width="6" style="173" customWidth="1"/>
    <col min="2317" max="2317" width="14.5" style="173" customWidth="1"/>
    <col min="2318" max="2320" width="9.33203125" style="173"/>
    <col min="2321" max="2321" width="16.6640625" style="173" customWidth="1"/>
    <col min="2322" max="2558" width="9.33203125" style="173"/>
    <col min="2559" max="2559" width="7.1640625" style="173" customWidth="1"/>
    <col min="2560" max="2560" width="4.1640625" style="173" customWidth="1"/>
    <col min="2561" max="2564" width="9.33203125" style="173"/>
    <col min="2565" max="2565" width="14.5" style="173" customWidth="1"/>
    <col min="2566" max="2566" width="16" style="173" customWidth="1"/>
    <col min="2567" max="2567" width="15.83203125" style="173" customWidth="1"/>
    <col min="2568" max="2568" width="4.83203125" style="173" customWidth="1"/>
    <col min="2569" max="2569" width="18.5" style="173" customWidth="1"/>
    <col min="2570" max="2570" width="4.83203125" style="173" customWidth="1"/>
    <col min="2571" max="2571" width="0" style="173" hidden="1" customWidth="1"/>
    <col min="2572" max="2572" width="6" style="173" customWidth="1"/>
    <col min="2573" max="2573" width="14.5" style="173" customWidth="1"/>
    <col min="2574" max="2576" width="9.33203125" style="173"/>
    <col min="2577" max="2577" width="16.6640625" style="173" customWidth="1"/>
    <col min="2578" max="2814" width="9.33203125" style="173"/>
    <col min="2815" max="2815" width="7.1640625" style="173" customWidth="1"/>
    <col min="2816" max="2816" width="4.1640625" style="173" customWidth="1"/>
    <col min="2817" max="2820" width="9.33203125" style="173"/>
    <col min="2821" max="2821" width="14.5" style="173" customWidth="1"/>
    <col min="2822" max="2822" width="16" style="173" customWidth="1"/>
    <col min="2823" max="2823" width="15.83203125" style="173" customWidth="1"/>
    <col min="2824" max="2824" width="4.83203125" style="173" customWidth="1"/>
    <col min="2825" max="2825" width="18.5" style="173" customWidth="1"/>
    <col min="2826" max="2826" width="4.83203125" style="173" customWidth="1"/>
    <col min="2827" max="2827" width="0" style="173" hidden="1" customWidth="1"/>
    <col min="2828" max="2828" width="6" style="173" customWidth="1"/>
    <col min="2829" max="2829" width="14.5" style="173" customWidth="1"/>
    <col min="2830" max="2832" width="9.33203125" style="173"/>
    <col min="2833" max="2833" width="16.6640625" style="173" customWidth="1"/>
    <col min="2834" max="3070" width="9.33203125" style="173"/>
    <col min="3071" max="3071" width="7.1640625" style="173" customWidth="1"/>
    <col min="3072" max="3072" width="4.1640625" style="173" customWidth="1"/>
    <col min="3073" max="3076" width="9.33203125" style="173"/>
    <col min="3077" max="3077" width="14.5" style="173" customWidth="1"/>
    <col min="3078" max="3078" width="16" style="173" customWidth="1"/>
    <col min="3079" max="3079" width="15.83203125" style="173" customWidth="1"/>
    <col min="3080" max="3080" width="4.83203125" style="173" customWidth="1"/>
    <col min="3081" max="3081" width="18.5" style="173" customWidth="1"/>
    <col min="3082" max="3082" width="4.83203125" style="173" customWidth="1"/>
    <col min="3083" max="3083" width="0" style="173" hidden="1" customWidth="1"/>
    <col min="3084" max="3084" width="6" style="173" customWidth="1"/>
    <col min="3085" max="3085" width="14.5" style="173" customWidth="1"/>
    <col min="3086" max="3088" width="9.33203125" style="173"/>
    <col min="3089" max="3089" width="16.6640625" style="173" customWidth="1"/>
    <col min="3090" max="3326" width="9.33203125" style="173"/>
    <col min="3327" max="3327" width="7.1640625" style="173" customWidth="1"/>
    <col min="3328" max="3328" width="4.1640625" style="173" customWidth="1"/>
    <col min="3329" max="3332" width="9.33203125" style="173"/>
    <col min="3333" max="3333" width="14.5" style="173" customWidth="1"/>
    <col min="3334" max="3334" width="16" style="173" customWidth="1"/>
    <col min="3335" max="3335" width="15.83203125" style="173" customWidth="1"/>
    <col min="3336" max="3336" width="4.83203125" style="173" customWidth="1"/>
    <col min="3337" max="3337" width="18.5" style="173" customWidth="1"/>
    <col min="3338" max="3338" width="4.83203125" style="173" customWidth="1"/>
    <col min="3339" max="3339" width="0" style="173" hidden="1" customWidth="1"/>
    <col min="3340" max="3340" width="6" style="173" customWidth="1"/>
    <col min="3341" max="3341" width="14.5" style="173" customWidth="1"/>
    <col min="3342" max="3344" width="9.33203125" style="173"/>
    <col min="3345" max="3345" width="16.6640625" style="173" customWidth="1"/>
    <col min="3346" max="3582" width="9.33203125" style="173"/>
    <col min="3583" max="3583" width="7.1640625" style="173" customWidth="1"/>
    <col min="3584" max="3584" width="4.1640625" style="173" customWidth="1"/>
    <col min="3585" max="3588" width="9.33203125" style="173"/>
    <col min="3589" max="3589" width="14.5" style="173" customWidth="1"/>
    <col min="3590" max="3590" width="16" style="173" customWidth="1"/>
    <col min="3591" max="3591" width="15.83203125" style="173" customWidth="1"/>
    <col min="3592" max="3592" width="4.83203125" style="173" customWidth="1"/>
    <col min="3593" max="3593" width="18.5" style="173" customWidth="1"/>
    <col min="3594" max="3594" width="4.83203125" style="173" customWidth="1"/>
    <col min="3595" max="3595" width="0" style="173" hidden="1" customWidth="1"/>
    <col min="3596" max="3596" width="6" style="173" customWidth="1"/>
    <col min="3597" max="3597" width="14.5" style="173" customWidth="1"/>
    <col min="3598" max="3600" width="9.33203125" style="173"/>
    <col min="3601" max="3601" width="16.6640625" style="173" customWidth="1"/>
    <col min="3602" max="3838" width="9.33203125" style="173"/>
    <col min="3839" max="3839" width="7.1640625" style="173" customWidth="1"/>
    <col min="3840" max="3840" width="4.1640625" style="173" customWidth="1"/>
    <col min="3841" max="3844" width="9.33203125" style="173"/>
    <col min="3845" max="3845" width="14.5" style="173" customWidth="1"/>
    <col min="3846" max="3846" width="16" style="173" customWidth="1"/>
    <col min="3847" max="3847" width="15.83203125" style="173" customWidth="1"/>
    <col min="3848" max="3848" width="4.83203125" style="173" customWidth="1"/>
    <col min="3849" max="3849" width="18.5" style="173" customWidth="1"/>
    <col min="3850" max="3850" width="4.83203125" style="173" customWidth="1"/>
    <col min="3851" max="3851" width="0" style="173" hidden="1" customWidth="1"/>
    <col min="3852" max="3852" width="6" style="173" customWidth="1"/>
    <col min="3853" max="3853" width="14.5" style="173" customWidth="1"/>
    <col min="3854" max="3856" width="9.33203125" style="173"/>
    <col min="3857" max="3857" width="16.6640625" style="173" customWidth="1"/>
    <col min="3858" max="4094" width="9.33203125" style="173"/>
    <col min="4095" max="4095" width="7.1640625" style="173" customWidth="1"/>
    <col min="4096" max="4096" width="4.1640625" style="173" customWidth="1"/>
    <col min="4097" max="4100" width="9.33203125" style="173"/>
    <col min="4101" max="4101" width="14.5" style="173" customWidth="1"/>
    <col min="4102" max="4102" width="16" style="173" customWidth="1"/>
    <col min="4103" max="4103" width="15.83203125" style="173" customWidth="1"/>
    <col min="4104" max="4104" width="4.83203125" style="173" customWidth="1"/>
    <col min="4105" max="4105" width="18.5" style="173" customWidth="1"/>
    <col min="4106" max="4106" width="4.83203125" style="173" customWidth="1"/>
    <col min="4107" max="4107" width="0" style="173" hidden="1" customWidth="1"/>
    <col min="4108" max="4108" width="6" style="173" customWidth="1"/>
    <col min="4109" max="4109" width="14.5" style="173" customWidth="1"/>
    <col min="4110" max="4112" width="9.33203125" style="173"/>
    <col min="4113" max="4113" width="16.6640625" style="173" customWidth="1"/>
    <col min="4114" max="4350" width="9.33203125" style="173"/>
    <col min="4351" max="4351" width="7.1640625" style="173" customWidth="1"/>
    <col min="4352" max="4352" width="4.1640625" style="173" customWidth="1"/>
    <col min="4353" max="4356" width="9.33203125" style="173"/>
    <col min="4357" max="4357" width="14.5" style="173" customWidth="1"/>
    <col min="4358" max="4358" width="16" style="173" customWidth="1"/>
    <col min="4359" max="4359" width="15.83203125" style="173" customWidth="1"/>
    <col min="4360" max="4360" width="4.83203125" style="173" customWidth="1"/>
    <col min="4361" max="4361" width="18.5" style="173" customWidth="1"/>
    <col min="4362" max="4362" width="4.83203125" style="173" customWidth="1"/>
    <col min="4363" max="4363" width="0" style="173" hidden="1" customWidth="1"/>
    <col min="4364" max="4364" width="6" style="173" customWidth="1"/>
    <col min="4365" max="4365" width="14.5" style="173" customWidth="1"/>
    <col min="4366" max="4368" width="9.33203125" style="173"/>
    <col min="4369" max="4369" width="16.6640625" style="173" customWidth="1"/>
    <col min="4370" max="4606" width="9.33203125" style="173"/>
    <col min="4607" max="4607" width="7.1640625" style="173" customWidth="1"/>
    <col min="4608" max="4608" width="4.1640625" style="173" customWidth="1"/>
    <col min="4609" max="4612" width="9.33203125" style="173"/>
    <col min="4613" max="4613" width="14.5" style="173" customWidth="1"/>
    <col min="4614" max="4614" width="16" style="173" customWidth="1"/>
    <col min="4615" max="4615" width="15.83203125" style="173" customWidth="1"/>
    <col min="4616" max="4616" width="4.83203125" style="173" customWidth="1"/>
    <col min="4617" max="4617" width="18.5" style="173" customWidth="1"/>
    <col min="4618" max="4618" width="4.83203125" style="173" customWidth="1"/>
    <col min="4619" max="4619" width="0" style="173" hidden="1" customWidth="1"/>
    <col min="4620" max="4620" width="6" style="173" customWidth="1"/>
    <col min="4621" max="4621" width="14.5" style="173" customWidth="1"/>
    <col min="4622" max="4624" width="9.33203125" style="173"/>
    <col min="4625" max="4625" width="16.6640625" style="173" customWidth="1"/>
    <col min="4626" max="4862" width="9.33203125" style="173"/>
    <col min="4863" max="4863" width="7.1640625" style="173" customWidth="1"/>
    <col min="4864" max="4864" width="4.1640625" style="173" customWidth="1"/>
    <col min="4865" max="4868" width="9.33203125" style="173"/>
    <col min="4869" max="4869" width="14.5" style="173" customWidth="1"/>
    <col min="4870" max="4870" width="16" style="173" customWidth="1"/>
    <col min="4871" max="4871" width="15.83203125" style="173" customWidth="1"/>
    <col min="4872" max="4872" width="4.83203125" style="173" customWidth="1"/>
    <col min="4873" max="4873" width="18.5" style="173" customWidth="1"/>
    <col min="4874" max="4874" width="4.83203125" style="173" customWidth="1"/>
    <col min="4875" max="4875" width="0" style="173" hidden="1" customWidth="1"/>
    <col min="4876" max="4876" width="6" style="173" customWidth="1"/>
    <col min="4877" max="4877" width="14.5" style="173" customWidth="1"/>
    <col min="4878" max="4880" width="9.33203125" style="173"/>
    <col min="4881" max="4881" width="16.6640625" style="173" customWidth="1"/>
    <col min="4882" max="5118" width="9.33203125" style="173"/>
    <col min="5119" max="5119" width="7.1640625" style="173" customWidth="1"/>
    <col min="5120" max="5120" width="4.1640625" style="173" customWidth="1"/>
    <col min="5121" max="5124" width="9.33203125" style="173"/>
    <col min="5125" max="5125" width="14.5" style="173" customWidth="1"/>
    <col min="5126" max="5126" width="16" style="173" customWidth="1"/>
    <col min="5127" max="5127" width="15.83203125" style="173" customWidth="1"/>
    <col min="5128" max="5128" width="4.83203125" style="173" customWidth="1"/>
    <col min="5129" max="5129" width="18.5" style="173" customWidth="1"/>
    <col min="5130" max="5130" width="4.83203125" style="173" customWidth="1"/>
    <col min="5131" max="5131" width="0" style="173" hidden="1" customWidth="1"/>
    <col min="5132" max="5132" width="6" style="173" customWidth="1"/>
    <col min="5133" max="5133" width="14.5" style="173" customWidth="1"/>
    <col min="5134" max="5136" width="9.33203125" style="173"/>
    <col min="5137" max="5137" width="16.6640625" style="173" customWidth="1"/>
    <col min="5138" max="5374" width="9.33203125" style="173"/>
    <col min="5375" max="5375" width="7.1640625" style="173" customWidth="1"/>
    <col min="5376" max="5376" width="4.1640625" style="173" customWidth="1"/>
    <col min="5377" max="5380" width="9.33203125" style="173"/>
    <col min="5381" max="5381" width="14.5" style="173" customWidth="1"/>
    <col min="5382" max="5382" width="16" style="173" customWidth="1"/>
    <col min="5383" max="5383" width="15.83203125" style="173" customWidth="1"/>
    <col min="5384" max="5384" width="4.83203125" style="173" customWidth="1"/>
    <col min="5385" max="5385" width="18.5" style="173" customWidth="1"/>
    <col min="5386" max="5386" width="4.83203125" style="173" customWidth="1"/>
    <col min="5387" max="5387" width="0" style="173" hidden="1" customWidth="1"/>
    <col min="5388" max="5388" width="6" style="173" customWidth="1"/>
    <col min="5389" max="5389" width="14.5" style="173" customWidth="1"/>
    <col min="5390" max="5392" width="9.33203125" style="173"/>
    <col min="5393" max="5393" width="16.6640625" style="173" customWidth="1"/>
    <col min="5394" max="5630" width="9.33203125" style="173"/>
    <col min="5631" max="5631" width="7.1640625" style="173" customWidth="1"/>
    <col min="5632" max="5632" width="4.1640625" style="173" customWidth="1"/>
    <col min="5633" max="5636" width="9.33203125" style="173"/>
    <col min="5637" max="5637" width="14.5" style="173" customWidth="1"/>
    <col min="5638" max="5638" width="16" style="173" customWidth="1"/>
    <col min="5639" max="5639" width="15.83203125" style="173" customWidth="1"/>
    <col min="5640" max="5640" width="4.83203125" style="173" customWidth="1"/>
    <col min="5641" max="5641" width="18.5" style="173" customWidth="1"/>
    <col min="5642" max="5642" width="4.83203125" style="173" customWidth="1"/>
    <col min="5643" max="5643" width="0" style="173" hidden="1" customWidth="1"/>
    <col min="5644" max="5644" width="6" style="173" customWidth="1"/>
    <col min="5645" max="5645" width="14.5" style="173" customWidth="1"/>
    <col min="5646" max="5648" width="9.33203125" style="173"/>
    <col min="5649" max="5649" width="16.6640625" style="173" customWidth="1"/>
    <col min="5650" max="5886" width="9.33203125" style="173"/>
    <col min="5887" max="5887" width="7.1640625" style="173" customWidth="1"/>
    <col min="5888" max="5888" width="4.1640625" style="173" customWidth="1"/>
    <col min="5889" max="5892" width="9.33203125" style="173"/>
    <col min="5893" max="5893" width="14.5" style="173" customWidth="1"/>
    <col min="5894" max="5894" width="16" style="173" customWidth="1"/>
    <col min="5895" max="5895" width="15.83203125" style="173" customWidth="1"/>
    <col min="5896" max="5896" width="4.83203125" style="173" customWidth="1"/>
    <col min="5897" max="5897" width="18.5" style="173" customWidth="1"/>
    <col min="5898" max="5898" width="4.83203125" style="173" customWidth="1"/>
    <col min="5899" max="5899" width="0" style="173" hidden="1" customWidth="1"/>
    <col min="5900" max="5900" width="6" style="173" customWidth="1"/>
    <col min="5901" max="5901" width="14.5" style="173" customWidth="1"/>
    <col min="5902" max="5904" width="9.33203125" style="173"/>
    <col min="5905" max="5905" width="16.6640625" style="173" customWidth="1"/>
    <col min="5906" max="6142" width="9.33203125" style="173"/>
    <col min="6143" max="6143" width="7.1640625" style="173" customWidth="1"/>
    <col min="6144" max="6144" width="4.1640625" style="173" customWidth="1"/>
    <col min="6145" max="6148" width="9.33203125" style="173"/>
    <col min="6149" max="6149" width="14.5" style="173" customWidth="1"/>
    <col min="6150" max="6150" width="16" style="173" customWidth="1"/>
    <col min="6151" max="6151" width="15.83203125" style="173" customWidth="1"/>
    <col min="6152" max="6152" width="4.83203125" style="173" customWidth="1"/>
    <col min="6153" max="6153" width="18.5" style="173" customWidth="1"/>
    <col min="6154" max="6154" width="4.83203125" style="173" customWidth="1"/>
    <col min="6155" max="6155" width="0" style="173" hidden="1" customWidth="1"/>
    <col min="6156" max="6156" width="6" style="173" customWidth="1"/>
    <col min="6157" max="6157" width="14.5" style="173" customWidth="1"/>
    <col min="6158" max="6160" width="9.33203125" style="173"/>
    <col min="6161" max="6161" width="16.6640625" style="173" customWidth="1"/>
    <col min="6162" max="6398" width="9.33203125" style="173"/>
    <col min="6399" max="6399" width="7.1640625" style="173" customWidth="1"/>
    <col min="6400" max="6400" width="4.1640625" style="173" customWidth="1"/>
    <col min="6401" max="6404" width="9.33203125" style="173"/>
    <col min="6405" max="6405" width="14.5" style="173" customWidth="1"/>
    <col min="6406" max="6406" width="16" style="173" customWidth="1"/>
    <col min="6407" max="6407" width="15.83203125" style="173" customWidth="1"/>
    <col min="6408" max="6408" width="4.83203125" style="173" customWidth="1"/>
    <col min="6409" max="6409" width="18.5" style="173" customWidth="1"/>
    <col min="6410" max="6410" width="4.83203125" style="173" customWidth="1"/>
    <col min="6411" max="6411" width="0" style="173" hidden="1" customWidth="1"/>
    <col min="6412" max="6412" width="6" style="173" customWidth="1"/>
    <col min="6413" max="6413" width="14.5" style="173" customWidth="1"/>
    <col min="6414" max="6416" width="9.33203125" style="173"/>
    <col min="6417" max="6417" width="16.6640625" style="173" customWidth="1"/>
    <col min="6418" max="6654" width="9.33203125" style="173"/>
    <col min="6655" max="6655" width="7.1640625" style="173" customWidth="1"/>
    <col min="6656" max="6656" width="4.1640625" style="173" customWidth="1"/>
    <col min="6657" max="6660" width="9.33203125" style="173"/>
    <col min="6661" max="6661" width="14.5" style="173" customWidth="1"/>
    <col min="6662" max="6662" width="16" style="173" customWidth="1"/>
    <col min="6663" max="6663" width="15.83203125" style="173" customWidth="1"/>
    <col min="6664" max="6664" width="4.83203125" style="173" customWidth="1"/>
    <col min="6665" max="6665" width="18.5" style="173" customWidth="1"/>
    <col min="6666" max="6666" width="4.83203125" style="173" customWidth="1"/>
    <col min="6667" max="6667" width="0" style="173" hidden="1" customWidth="1"/>
    <col min="6668" max="6668" width="6" style="173" customWidth="1"/>
    <col min="6669" max="6669" width="14.5" style="173" customWidth="1"/>
    <col min="6670" max="6672" width="9.33203125" style="173"/>
    <col min="6673" max="6673" width="16.6640625" style="173" customWidth="1"/>
    <col min="6674" max="6910" width="9.33203125" style="173"/>
    <col min="6911" max="6911" width="7.1640625" style="173" customWidth="1"/>
    <col min="6912" max="6912" width="4.1640625" style="173" customWidth="1"/>
    <col min="6913" max="6916" width="9.33203125" style="173"/>
    <col min="6917" max="6917" width="14.5" style="173" customWidth="1"/>
    <col min="6918" max="6918" width="16" style="173" customWidth="1"/>
    <col min="6919" max="6919" width="15.83203125" style="173" customWidth="1"/>
    <col min="6920" max="6920" width="4.83203125" style="173" customWidth="1"/>
    <col min="6921" max="6921" width="18.5" style="173" customWidth="1"/>
    <col min="6922" max="6922" width="4.83203125" style="173" customWidth="1"/>
    <col min="6923" max="6923" width="0" style="173" hidden="1" customWidth="1"/>
    <col min="6924" max="6924" width="6" style="173" customWidth="1"/>
    <col min="6925" max="6925" width="14.5" style="173" customWidth="1"/>
    <col min="6926" max="6928" width="9.33203125" style="173"/>
    <col min="6929" max="6929" width="16.6640625" style="173" customWidth="1"/>
    <col min="6930" max="7166" width="9.33203125" style="173"/>
    <col min="7167" max="7167" width="7.1640625" style="173" customWidth="1"/>
    <col min="7168" max="7168" width="4.1640625" style="173" customWidth="1"/>
    <col min="7169" max="7172" width="9.33203125" style="173"/>
    <col min="7173" max="7173" width="14.5" style="173" customWidth="1"/>
    <col min="7174" max="7174" width="16" style="173" customWidth="1"/>
    <col min="7175" max="7175" width="15.83203125" style="173" customWidth="1"/>
    <col min="7176" max="7176" width="4.83203125" style="173" customWidth="1"/>
    <col min="7177" max="7177" width="18.5" style="173" customWidth="1"/>
    <col min="7178" max="7178" width="4.83203125" style="173" customWidth="1"/>
    <col min="7179" max="7179" width="0" style="173" hidden="1" customWidth="1"/>
    <col min="7180" max="7180" width="6" style="173" customWidth="1"/>
    <col min="7181" max="7181" width="14.5" style="173" customWidth="1"/>
    <col min="7182" max="7184" width="9.33203125" style="173"/>
    <col min="7185" max="7185" width="16.6640625" style="173" customWidth="1"/>
    <col min="7186" max="7422" width="9.33203125" style="173"/>
    <col min="7423" max="7423" width="7.1640625" style="173" customWidth="1"/>
    <col min="7424" max="7424" width="4.1640625" style="173" customWidth="1"/>
    <col min="7425" max="7428" width="9.33203125" style="173"/>
    <col min="7429" max="7429" width="14.5" style="173" customWidth="1"/>
    <col min="7430" max="7430" width="16" style="173" customWidth="1"/>
    <col min="7431" max="7431" width="15.83203125" style="173" customWidth="1"/>
    <col min="7432" max="7432" width="4.83203125" style="173" customWidth="1"/>
    <col min="7433" max="7433" width="18.5" style="173" customWidth="1"/>
    <col min="7434" max="7434" width="4.83203125" style="173" customWidth="1"/>
    <col min="7435" max="7435" width="0" style="173" hidden="1" customWidth="1"/>
    <col min="7436" max="7436" width="6" style="173" customWidth="1"/>
    <col min="7437" max="7437" width="14.5" style="173" customWidth="1"/>
    <col min="7438" max="7440" width="9.33203125" style="173"/>
    <col min="7441" max="7441" width="16.6640625" style="173" customWidth="1"/>
    <col min="7442" max="7678" width="9.33203125" style="173"/>
    <col min="7679" max="7679" width="7.1640625" style="173" customWidth="1"/>
    <col min="7680" max="7680" width="4.1640625" style="173" customWidth="1"/>
    <col min="7681" max="7684" width="9.33203125" style="173"/>
    <col min="7685" max="7685" width="14.5" style="173" customWidth="1"/>
    <col min="7686" max="7686" width="16" style="173" customWidth="1"/>
    <col min="7687" max="7687" width="15.83203125" style="173" customWidth="1"/>
    <col min="7688" max="7688" width="4.83203125" style="173" customWidth="1"/>
    <col min="7689" max="7689" width="18.5" style="173" customWidth="1"/>
    <col min="7690" max="7690" width="4.83203125" style="173" customWidth="1"/>
    <col min="7691" max="7691" width="0" style="173" hidden="1" customWidth="1"/>
    <col min="7692" max="7692" width="6" style="173" customWidth="1"/>
    <col min="7693" max="7693" width="14.5" style="173" customWidth="1"/>
    <col min="7694" max="7696" width="9.33203125" style="173"/>
    <col min="7697" max="7697" width="16.6640625" style="173" customWidth="1"/>
    <col min="7698" max="7934" width="9.33203125" style="173"/>
    <col min="7935" max="7935" width="7.1640625" style="173" customWidth="1"/>
    <col min="7936" max="7936" width="4.1640625" style="173" customWidth="1"/>
    <col min="7937" max="7940" width="9.33203125" style="173"/>
    <col min="7941" max="7941" width="14.5" style="173" customWidth="1"/>
    <col min="7942" max="7942" width="16" style="173" customWidth="1"/>
    <col min="7943" max="7943" width="15.83203125" style="173" customWidth="1"/>
    <col min="7944" max="7944" width="4.83203125" style="173" customWidth="1"/>
    <col min="7945" max="7945" width="18.5" style="173" customWidth="1"/>
    <col min="7946" max="7946" width="4.83203125" style="173" customWidth="1"/>
    <col min="7947" max="7947" width="0" style="173" hidden="1" customWidth="1"/>
    <col min="7948" max="7948" width="6" style="173" customWidth="1"/>
    <col min="7949" max="7949" width="14.5" style="173" customWidth="1"/>
    <col min="7950" max="7952" width="9.33203125" style="173"/>
    <col min="7953" max="7953" width="16.6640625" style="173" customWidth="1"/>
    <col min="7954" max="8190" width="9.33203125" style="173"/>
    <col min="8191" max="8191" width="7.1640625" style="173" customWidth="1"/>
    <col min="8192" max="8192" width="4.1640625" style="173" customWidth="1"/>
    <col min="8193" max="8196" width="9.33203125" style="173"/>
    <col min="8197" max="8197" width="14.5" style="173" customWidth="1"/>
    <col min="8198" max="8198" width="16" style="173" customWidth="1"/>
    <col min="8199" max="8199" width="15.83203125" style="173" customWidth="1"/>
    <col min="8200" max="8200" width="4.83203125" style="173" customWidth="1"/>
    <col min="8201" max="8201" width="18.5" style="173" customWidth="1"/>
    <col min="8202" max="8202" width="4.83203125" style="173" customWidth="1"/>
    <col min="8203" max="8203" width="0" style="173" hidden="1" customWidth="1"/>
    <col min="8204" max="8204" width="6" style="173" customWidth="1"/>
    <col min="8205" max="8205" width="14.5" style="173" customWidth="1"/>
    <col min="8206" max="8208" width="9.33203125" style="173"/>
    <col min="8209" max="8209" width="16.6640625" style="173" customWidth="1"/>
    <col min="8210" max="8446" width="9.33203125" style="173"/>
    <col min="8447" max="8447" width="7.1640625" style="173" customWidth="1"/>
    <col min="8448" max="8448" width="4.1640625" style="173" customWidth="1"/>
    <col min="8449" max="8452" width="9.33203125" style="173"/>
    <col min="8453" max="8453" width="14.5" style="173" customWidth="1"/>
    <col min="8454" max="8454" width="16" style="173" customWidth="1"/>
    <col min="8455" max="8455" width="15.83203125" style="173" customWidth="1"/>
    <col min="8456" max="8456" width="4.83203125" style="173" customWidth="1"/>
    <col min="8457" max="8457" width="18.5" style="173" customWidth="1"/>
    <col min="8458" max="8458" width="4.83203125" style="173" customWidth="1"/>
    <col min="8459" max="8459" width="0" style="173" hidden="1" customWidth="1"/>
    <col min="8460" max="8460" width="6" style="173" customWidth="1"/>
    <col min="8461" max="8461" width="14.5" style="173" customWidth="1"/>
    <col min="8462" max="8464" width="9.33203125" style="173"/>
    <col min="8465" max="8465" width="16.6640625" style="173" customWidth="1"/>
    <col min="8466" max="8702" width="9.33203125" style="173"/>
    <col min="8703" max="8703" width="7.1640625" style="173" customWidth="1"/>
    <col min="8704" max="8704" width="4.1640625" style="173" customWidth="1"/>
    <col min="8705" max="8708" width="9.33203125" style="173"/>
    <col min="8709" max="8709" width="14.5" style="173" customWidth="1"/>
    <col min="8710" max="8710" width="16" style="173" customWidth="1"/>
    <col min="8711" max="8711" width="15.83203125" style="173" customWidth="1"/>
    <col min="8712" max="8712" width="4.83203125" style="173" customWidth="1"/>
    <col min="8713" max="8713" width="18.5" style="173" customWidth="1"/>
    <col min="8714" max="8714" width="4.83203125" style="173" customWidth="1"/>
    <col min="8715" max="8715" width="0" style="173" hidden="1" customWidth="1"/>
    <col min="8716" max="8716" width="6" style="173" customWidth="1"/>
    <col min="8717" max="8717" width="14.5" style="173" customWidth="1"/>
    <col min="8718" max="8720" width="9.33203125" style="173"/>
    <col min="8721" max="8721" width="16.6640625" style="173" customWidth="1"/>
    <col min="8722" max="8958" width="9.33203125" style="173"/>
    <col min="8959" max="8959" width="7.1640625" style="173" customWidth="1"/>
    <col min="8960" max="8960" width="4.1640625" style="173" customWidth="1"/>
    <col min="8961" max="8964" width="9.33203125" style="173"/>
    <col min="8965" max="8965" width="14.5" style="173" customWidth="1"/>
    <col min="8966" max="8966" width="16" style="173" customWidth="1"/>
    <col min="8967" max="8967" width="15.83203125" style="173" customWidth="1"/>
    <col min="8968" max="8968" width="4.83203125" style="173" customWidth="1"/>
    <col min="8969" max="8969" width="18.5" style="173" customWidth="1"/>
    <col min="8970" max="8970" width="4.83203125" style="173" customWidth="1"/>
    <col min="8971" max="8971" width="0" style="173" hidden="1" customWidth="1"/>
    <col min="8972" max="8972" width="6" style="173" customWidth="1"/>
    <col min="8973" max="8973" width="14.5" style="173" customWidth="1"/>
    <col min="8974" max="8976" width="9.33203125" style="173"/>
    <col min="8977" max="8977" width="16.6640625" style="173" customWidth="1"/>
    <col min="8978" max="9214" width="9.33203125" style="173"/>
    <col min="9215" max="9215" width="7.1640625" style="173" customWidth="1"/>
    <col min="9216" max="9216" width="4.1640625" style="173" customWidth="1"/>
    <col min="9217" max="9220" width="9.33203125" style="173"/>
    <col min="9221" max="9221" width="14.5" style="173" customWidth="1"/>
    <col min="9222" max="9222" width="16" style="173" customWidth="1"/>
    <col min="9223" max="9223" width="15.83203125" style="173" customWidth="1"/>
    <col min="9224" max="9224" width="4.83203125" style="173" customWidth="1"/>
    <col min="9225" max="9225" width="18.5" style="173" customWidth="1"/>
    <col min="9226" max="9226" width="4.83203125" style="173" customWidth="1"/>
    <col min="9227" max="9227" width="0" style="173" hidden="1" customWidth="1"/>
    <col min="9228" max="9228" width="6" style="173" customWidth="1"/>
    <col min="9229" max="9229" width="14.5" style="173" customWidth="1"/>
    <col min="9230" max="9232" width="9.33203125" style="173"/>
    <col min="9233" max="9233" width="16.6640625" style="173" customWidth="1"/>
    <col min="9234" max="9470" width="9.33203125" style="173"/>
    <col min="9471" max="9471" width="7.1640625" style="173" customWidth="1"/>
    <col min="9472" max="9472" width="4.1640625" style="173" customWidth="1"/>
    <col min="9473" max="9476" width="9.33203125" style="173"/>
    <col min="9477" max="9477" width="14.5" style="173" customWidth="1"/>
    <col min="9478" max="9478" width="16" style="173" customWidth="1"/>
    <col min="9479" max="9479" width="15.83203125" style="173" customWidth="1"/>
    <col min="9480" max="9480" width="4.83203125" style="173" customWidth="1"/>
    <col min="9481" max="9481" width="18.5" style="173" customWidth="1"/>
    <col min="9482" max="9482" width="4.83203125" style="173" customWidth="1"/>
    <col min="9483" max="9483" width="0" style="173" hidden="1" customWidth="1"/>
    <col min="9484" max="9484" width="6" style="173" customWidth="1"/>
    <col min="9485" max="9485" width="14.5" style="173" customWidth="1"/>
    <col min="9486" max="9488" width="9.33203125" style="173"/>
    <col min="9489" max="9489" width="16.6640625" style="173" customWidth="1"/>
    <col min="9490" max="9726" width="9.33203125" style="173"/>
    <col min="9727" max="9727" width="7.1640625" style="173" customWidth="1"/>
    <col min="9728" max="9728" width="4.1640625" style="173" customWidth="1"/>
    <col min="9729" max="9732" width="9.33203125" style="173"/>
    <col min="9733" max="9733" width="14.5" style="173" customWidth="1"/>
    <col min="9734" max="9734" width="16" style="173" customWidth="1"/>
    <col min="9735" max="9735" width="15.83203125" style="173" customWidth="1"/>
    <col min="9736" max="9736" width="4.83203125" style="173" customWidth="1"/>
    <col min="9737" max="9737" width="18.5" style="173" customWidth="1"/>
    <col min="9738" max="9738" width="4.83203125" style="173" customWidth="1"/>
    <col min="9739" max="9739" width="0" style="173" hidden="1" customWidth="1"/>
    <col min="9740" max="9740" width="6" style="173" customWidth="1"/>
    <col min="9741" max="9741" width="14.5" style="173" customWidth="1"/>
    <col min="9742" max="9744" width="9.33203125" style="173"/>
    <col min="9745" max="9745" width="16.6640625" style="173" customWidth="1"/>
    <col min="9746" max="9982" width="9.33203125" style="173"/>
    <col min="9983" max="9983" width="7.1640625" style="173" customWidth="1"/>
    <col min="9984" max="9984" width="4.1640625" style="173" customWidth="1"/>
    <col min="9985" max="9988" width="9.33203125" style="173"/>
    <col min="9989" max="9989" width="14.5" style="173" customWidth="1"/>
    <col min="9990" max="9990" width="16" style="173" customWidth="1"/>
    <col min="9991" max="9991" width="15.83203125" style="173" customWidth="1"/>
    <col min="9992" max="9992" width="4.83203125" style="173" customWidth="1"/>
    <col min="9993" max="9993" width="18.5" style="173" customWidth="1"/>
    <col min="9994" max="9994" width="4.83203125" style="173" customWidth="1"/>
    <col min="9995" max="9995" width="0" style="173" hidden="1" customWidth="1"/>
    <col min="9996" max="9996" width="6" style="173" customWidth="1"/>
    <col min="9997" max="9997" width="14.5" style="173" customWidth="1"/>
    <col min="9998" max="10000" width="9.33203125" style="173"/>
    <col min="10001" max="10001" width="16.6640625" style="173" customWidth="1"/>
    <col min="10002" max="10238" width="9.33203125" style="173"/>
    <col min="10239" max="10239" width="7.1640625" style="173" customWidth="1"/>
    <col min="10240" max="10240" width="4.1640625" style="173" customWidth="1"/>
    <col min="10241" max="10244" width="9.33203125" style="173"/>
    <col min="10245" max="10245" width="14.5" style="173" customWidth="1"/>
    <col min="10246" max="10246" width="16" style="173" customWidth="1"/>
    <col min="10247" max="10247" width="15.83203125" style="173" customWidth="1"/>
    <col min="10248" max="10248" width="4.83203125" style="173" customWidth="1"/>
    <col min="10249" max="10249" width="18.5" style="173" customWidth="1"/>
    <col min="10250" max="10250" width="4.83203125" style="173" customWidth="1"/>
    <col min="10251" max="10251" width="0" style="173" hidden="1" customWidth="1"/>
    <col min="10252" max="10252" width="6" style="173" customWidth="1"/>
    <col min="10253" max="10253" width="14.5" style="173" customWidth="1"/>
    <col min="10254" max="10256" width="9.33203125" style="173"/>
    <col min="10257" max="10257" width="16.6640625" style="173" customWidth="1"/>
    <col min="10258" max="10494" width="9.33203125" style="173"/>
    <col min="10495" max="10495" width="7.1640625" style="173" customWidth="1"/>
    <col min="10496" max="10496" width="4.1640625" style="173" customWidth="1"/>
    <col min="10497" max="10500" width="9.33203125" style="173"/>
    <col min="10501" max="10501" width="14.5" style="173" customWidth="1"/>
    <col min="10502" max="10502" width="16" style="173" customWidth="1"/>
    <col min="10503" max="10503" width="15.83203125" style="173" customWidth="1"/>
    <col min="10504" max="10504" width="4.83203125" style="173" customWidth="1"/>
    <col min="10505" max="10505" width="18.5" style="173" customWidth="1"/>
    <col min="10506" max="10506" width="4.83203125" style="173" customWidth="1"/>
    <col min="10507" max="10507" width="0" style="173" hidden="1" customWidth="1"/>
    <col min="10508" max="10508" width="6" style="173" customWidth="1"/>
    <col min="10509" max="10509" width="14.5" style="173" customWidth="1"/>
    <col min="10510" max="10512" width="9.33203125" style="173"/>
    <col min="10513" max="10513" width="16.6640625" style="173" customWidth="1"/>
    <col min="10514" max="10750" width="9.33203125" style="173"/>
    <col min="10751" max="10751" width="7.1640625" style="173" customWidth="1"/>
    <col min="10752" max="10752" width="4.1640625" style="173" customWidth="1"/>
    <col min="10753" max="10756" width="9.33203125" style="173"/>
    <col min="10757" max="10757" width="14.5" style="173" customWidth="1"/>
    <col min="10758" max="10758" width="16" style="173" customWidth="1"/>
    <col min="10759" max="10759" width="15.83203125" style="173" customWidth="1"/>
    <col min="10760" max="10760" width="4.83203125" style="173" customWidth="1"/>
    <col min="10761" max="10761" width="18.5" style="173" customWidth="1"/>
    <col min="10762" max="10762" width="4.83203125" style="173" customWidth="1"/>
    <col min="10763" max="10763" width="0" style="173" hidden="1" customWidth="1"/>
    <col min="10764" max="10764" width="6" style="173" customWidth="1"/>
    <col min="10765" max="10765" width="14.5" style="173" customWidth="1"/>
    <col min="10766" max="10768" width="9.33203125" style="173"/>
    <col min="10769" max="10769" width="16.6640625" style="173" customWidth="1"/>
    <col min="10770" max="11006" width="9.33203125" style="173"/>
    <col min="11007" max="11007" width="7.1640625" style="173" customWidth="1"/>
    <col min="11008" max="11008" width="4.1640625" style="173" customWidth="1"/>
    <col min="11009" max="11012" width="9.33203125" style="173"/>
    <col min="11013" max="11013" width="14.5" style="173" customWidth="1"/>
    <col min="11014" max="11014" width="16" style="173" customWidth="1"/>
    <col min="11015" max="11015" width="15.83203125" style="173" customWidth="1"/>
    <col min="11016" max="11016" width="4.83203125" style="173" customWidth="1"/>
    <col min="11017" max="11017" width="18.5" style="173" customWidth="1"/>
    <col min="11018" max="11018" width="4.83203125" style="173" customWidth="1"/>
    <col min="11019" max="11019" width="0" style="173" hidden="1" customWidth="1"/>
    <col min="11020" max="11020" width="6" style="173" customWidth="1"/>
    <col min="11021" max="11021" width="14.5" style="173" customWidth="1"/>
    <col min="11022" max="11024" width="9.33203125" style="173"/>
    <col min="11025" max="11025" width="16.6640625" style="173" customWidth="1"/>
    <col min="11026" max="11262" width="9.33203125" style="173"/>
    <col min="11263" max="11263" width="7.1640625" style="173" customWidth="1"/>
    <col min="11264" max="11264" width="4.1640625" style="173" customWidth="1"/>
    <col min="11265" max="11268" width="9.33203125" style="173"/>
    <col min="11269" max="11269" width="14.5" style="173" customWidth="1"/>
    <col min="11270" max="11270" width="16" style="173" customWidth="1"/>
    <col min="11271" max="11271" width="15.83203125" style="173" customWidth="1"/>
    <col min="11272" max="11272" width="4.83203125" style="173" customWidth="1"/>
    <col min="11273" max="11273" width="18.5" style="173" customWidth="1"/>
    <col min="11274" max="11274" width="4.83203125" style="173" customWidth="1"/>
    <col min="11275" max="11275" width="0" style="173" hidden="1" customWidth="1"/>
    <col min="11276" max="11276" width="6" style="173" customWidth="1"/>
    <col min="11277" max="11277" width="14.5" style="173" customWidth="1"/>
    <col min="11278" max="11280" width="9.33203125" style="173"/>
    <col min="11281" max="11281" width="16.6640625" style="173" customWidth="1"/>
    <col min="11282" max="11518" width="9.33203125" style="173"/>
    <col min="11519" max="11519" width="7.1640625" style="173" customWidth="1"/>
    <col min="11520" max="11520" width="4.1640625" style="173" customWidth="1"/>
    <col min="11521" max="11524" width="9.33203125" style="173"/>
    <col min="11525" max="11525" width="14.5" style="173" customWidth="1"/>
    <col min="11526" max="11526" width="16" style="173" customWidth="1"/>
    <col min="11527" max="11527" width="15.83203125" style="173" customWidth="1"/>
    <col min="11528" max="11528" width="4.83203125" style="173" customWidth="1"/>
    <col min="11529" max="11529" width="18.5" style="173" customWidth="1"/>
    <col min="11530" max="11530" width="4.83203125" style="173" customWidth="1"/>
    <col min="11531" max="11531" width="0" style="173" hidden="1" customWidth="1"/>
    <col min="11532" max="11532" width="6" style="173" customWidth="1"/>
    <col min="11533" max="11533" width="14.5" style="173" customWidth="1"/>
    <col min="11534" max="11536" width="9.33203125" style="173"/>
    <col min="11537" max="11537" width="16.6640625" style="173" customWidth="1"/>
    <col min="11538" max="11774" width="9.33203125" style="173"/>
    <col min="11775" max="11775" width="7.1640625" style="173" customWidth="1"/>
    <col min="11776" max="11776" width="4.1640625" style="173" customWidth="1"/>
    <col min="11777" max="11780" width="9.33203125" style="173"/>
    <col min="11781" max="11781" width="14.5" style="173" customWidth="1"/>
    <col min="11782" max="11782" width="16" style="173" customWidth="1"/>
    <col min="11783" max="11783" width="15.83203125" style="173" customWidth="1"/>
    <col min="11784" max="11784" width="4.83203125" style="173" customWidth="1"/>
    <col min="11785" max="11785" width="18.5" style="173" customWidth="1"/>
    <col min="11786" max="11786" width="4.83203125" style="173" customWidth="1"/>
    <col min="11787" max="11787" width="0" style="173" hidden="1" customWidth="1"/>
    <col min="11788" max="11788" width="6" style="173" customWidth="1"/>
    <col min="11789" max="11789" width="14.5" style="173" customWidth="1"/>
    <col min="11790" max="11792" width="9.33203125" style="173"/>
    <col min="11793" max="11793" width="16.6640625" style="173" customWidth="1"/>
    <col min="11794" max="12030" width="9.33203125" style="173"/>
    <col min="12031" max="12031" width="7.1640625" style="173" customWidth="1"/>
    <col min="12032" max="12032" width="4.1640625" style="173" customWidth="1"/>
    <col min="12033" max="12036" width="9.33203125" style="173"/>
    <col min="12037" max="12037" width="14.5" style="173" customWidth="1"/>
    <col min="12038" max="12038" width="16" style="173" customWidth="1"/>
    <col min="12039" max="12039" width="15.83203125" style="173" customWidth="1"/>
    <col min="12040" max="12040" width="4.83203125" style="173" customWidth="1"/>
    <col min="12041" max="12041" width="18.5" style="173" customWidth="1"/>
    <col min="12042" max="12042" width="4.83203125" style="173" customWidth="1"/>
    <col min="12043" max="12043" width="0" style="173" hidden="1" customWidth="1"/>
    <col min="12044" max="12044" width="6" style="173" customWidth="1"/>
    <col min="12045" max="12045" width="14.5" style="173" customWidth="1"/>
    <col min="12046" max="12048" width="9.33203125" style="173"/>
    <col min="12049" max="12049" width="16.6640625" style="173" customWidth="1"/>
    <col min="12050" max="12286" width="9.33203125" style="173"/>
    <col min="12287" max="12287" width="7.1640625" style="173" customWidth="1"/>
    <col min="12288" max="12288" width="4.1640625" style="173" customWidth="1"/>
    <col min="12289" max="12292" width="9.33203125" style="173"/>
    <col min="12293" max="12293" width="14.5" style="173" customWidth="1"/>
    <col min="12294" max="12294" width="16" style="173" customWidth="1"/>
    <col min="12295" max="12295" width="15.83203125" style="173" customWidth="1"/>
    <col min="12296" max="12296" width="4.83203125" style="173" customWidth="1"/>
    <col min="12297" max="12297" width="18.5" style="173" customWidth="1"/>
    <col min="12298" max="12298" width="4.83203125" style="173" customWidth="1"/>
    <col min="12299" max="12299" width="0" style="173" hidden="1" customWidth="1"/>
    <col min="12300" max="12300" width="6" style="173" customWidth="1"/>
    <col min="12301" max="12301" width="14.5" style="173" customWidth="1"/>
    <col min="12302" max="12304" width="9.33203125" style="173"/>
    <col min="12305" max="12305" width="16.6640625" style="173" customWidth="1"/>
    <col min="12306" max="12542" width="9.33203125" style="173"/>
    <col min="12543" max="12543" width="7.1640625" style="173" customWidth="1"/>
    <col min="12544" max="12544" width="4.1640625" style="173" customWidth="1"/>
    <col min="12545" max="12548" width="9.33203125" style="173"/>
    <col min="12549" max="12549" width="14.5" style="173" customWidth="1"/>
    <col min="12550" max="12550" width="16" style="173" customWidth="1"/>
    <col min="12551" max="12551" width="15.83203125" style="173" customWidth="1"/>
    <col min="12552" max="12552" width="4.83203125" style="173" customWidth="1"/>
    <col min="12553" max="12553" width="18.5" style="173" customWidth="1"/>
    <col min="12554" max="12554" width="4.83203125" style="173" customWidth="1"/>
    <col min="12555" max="12555" width="0" style="173" hidden="1" customWidth="1"/>
    <col min="12556" max="12556" width="6" style="173" customWidth="1"/>
    <col min="12557" max="12557" width="14.5" style="173" customWidth="1"/>
    <col min="12558" max="12560" width="9.33203125" style="173"/>
    <col min="12561" max="12561" width="16.6640625" style="173" customWidth="1"/>
    <col min="12562" max="12798" width="9.33203125" style="173"/>
    <col min="12799" max="12799" width="7.1640625" style="173" customWidth="1"/>
    <col min="12800" max="12800" width="4.1640625" style="173" customWidth="1"/>
    <col min="12801" max="12804" width="9.33203125" style="173"/>
    <col min="12805" max="12805" width="14.5" style="173" customWidth="1"/>
    <col min="12806" max="12806" width="16" style="173" customWidth="1"/>
    <col min="12807" max="12807" width="15.83203125" style="173" customWidth="1"/>
    <col min="12808" max="12808" width="4.83203125" style="173" customWidth="1"/>
    <col min="12809" max="12809" width="18.5" style="173" customWidth="1"/>
    <col min="12810" max="12810" width="4.83203125" style="173" customWidth="1"/>
    <col min="12811" max="12811" width="0" style="173" hidden="1" customWidth="1"/>
    <col min="12812" max="12812" width="6" style="173" customWidth="1"/>
    <col min="12813" max="12813" width="14.5" style="173" customWidth="1"/>
    <col min="12814" max="12816" width="9.33203125" style="173"/>
    <col min="12817" max="12817" width="16.6640625" style="173" customWidth="1"/>
    <col min="12818" max="13054" width="9.33203125" style="173"/>
    <col min="13055" max="13055" width="7.1640625" style="173" customWidth="1"/>
    <col min="13056" max="13056" width="4.1640625" style="173" customWidth="1"/>
    <col min="13057" max="13060" width="9.33203125" style="173"/>
    <col min="13061" max="13061" width="14.5" style="173" customWidth="1"/>
    <col min="13062" max="13062" width="16" style="173" customWidth="1"/>
    <col min="13063" max="13063" width="15.83203125" style="173" customWidth="1"/>
    <col min="13064" max="13064" width="4.83203125" style="173" customWidth="1"/>
    <col min="13065" max="13065" width="18.5" style="173" customWidth="1"/>
    <col min="13066" max="13066" width="4.83203125" style="173" customWidth="1"/>
    <col min="13067" max="13067" width="0" style="173" hidden="1" customWidth="1"/>
    <col min="13068" max="13068" width="6" style="173" customWidth="1"/>
    <col min="13069" max="13069" width="14.5" style="173" customWidth="1"/>
    <col min="13070" max="13072" width="9.33203125" style="173"/>
    <col min="13073" max="13073" width="16.6640625" style="173" customWidth="1"/>
    <col min="13074" max="13310" width="9.33203125" style="173"/>
    <col min="13311" max="13311" width="7.1640625" style="173" customWidth="1"/>
    <col min="13312" max="13312" width="4.1640625" style="173" customWidth="1"/>
    <col min="13313" max="13316" width="9.33203125" style="173"/>
    <col min="13317" max="13317" width="14.5" style="173" customWidth="1"/>
    <col min="13318" max="13318" width="16" style="173" customWidth="1"/>
    <col min="13319" max="13319" width="15.83203125" style="173" customWidth="1"/>
    <col min="13320" max="13320" width="4.83203125" style="173" customWidth="1"/>
    <col min="13321" max="13321" width="18.5" style="173" customWidth="1"/>
    <col min="13322" max="13322" width="4.83203125" style="173" customWidth="1"/>
    <col min="13323" max="13323" width="0" style="173" hidden="1" customWidth="1"/>
    <col min="13324" max="13324" width="6" style="173" customWidth="1"/>
    <col min="13325" max="13325" width="14.5" style="173" customWidth="1"/>
    <col min="13326" max="13328" width="9.33203125" style="173"/>
    <col min="13329" max="13329" width="16.6640625" style="173" customWidth="1"/>
    <col min="13330" max="13566" width="9.33203125" style="173"/>
    <col min="13567" max="13567" width="7.1640625" style="173" customWidth="1"/>
    <col min="13568" max="13568" width="4.1640625" style="173" customWidth="1"/>
    <col min="13569" max="13572" width="9.33203125" style="173"/>
    <col min="13573" max="13573" width="14.5" style="173" customWidth="1"/>
    <col min="13574" max="13574" width="16" style="173" customWidth="1"/>
    <col min="13575" max="13575" width="15.83203125" style="173" customWidth="1"/>
    <col min="13576" max="13576" width="4.83203125" style="173" customWidth="1"/>
    <col min="13577" max="13577" width="18.5" style="173" customWidth="1"/>
    <col min="13578" max="13578" width="4.83203125" style="173" customWidth="1"/>
    <col min="13579" max="13579" width="0" style="173" hidden="1" customWidth="1"/>
    <col min="13580" max="13580" width="6" style="173" customWidth="1"/>
    <col min="13581" max="13581" width="14.5" style="173" customWidth="1"/>
    <col min="13582" max="13584" width="9.33203125" style="173"/>
    <col min="13585" max="13585" width="16.6640625" style="173" customWidth="1"/>
    <col min="13586" max="13822" width="9.33203125" style="173"/>
    <col min="13823" max="13823" width="7.1640625" style="173" customWidth="1"/>
    <col min="13824" max="13824" width="4.1640625" style="173" customWidth="1"/>
    <col min="13825" max="13828" width="9.33203125" style="173"/>
    <col min="13829" max="13829" width="14.5" style="173" customWidth="1"/>
    <col min="13830" max="13830" width="16" style="173" customWidth="1"/>
    <col min="13831" max="13831" width="15.83203125" style="173" customWidth="1"/>
    <col min="13832" max="13832" width="4.83203125" style="173" customWidth="1"/>
    <col min="13833" max="13833" width="18.5" style="173" customWidth="1"/>
    <col min="13834" max="13834" width="4.83203125" style="173" customWidth="1"/>
    <col min="13835" max="13835" width="0" style="173" hidden="1" customWidth="1"/>
    <col min="13836" max="13836" width="6" style="173" customWidth="1"/>
    <col min="13837" max="13837" width="14.5" style="173" customWidth="1"/>
    <col min="13838" max="13840" width="9.33203125" style="173"/>
    <col min="13841" max="13841" width="16.6640625" style="173" customWidth="1"/>
    <col min="13842" max="14078" width="9.33203125" style="173"/>
    <col min="14079" max="14079" width="7.1640625" style="173" customWidth="1"/>
    <col min="14080" max="14080" width="4.1640625" style="173" customWidth="1"/>
    <col min="14081" max="14084" width="9.33203125" style="173"/>
    <col min="14085" max="14085" width="14.5" style="173" customWidth="1"/>
    <col min="14086" max="14086" width="16" style="173" customWidth="1"/>
    <col min="14087" max="14087" width="15.83203125" style="173" customWidth="1"/>
    <col min="14088" max="14088" width="4.83203125" style="173" customWidth="1"/>
    <col min="14089" max="14089" width="18.5" style="173" customWidth="1"/>
    <col min="14090" max="14090" width="4.83203125" style="173" customWidth="1"/>
    <col min="14091" max="14091" width="0" style="173" hidden="1" customWidth="1"/>
    <col min="14092" max="14092" width="6" style="173" customWidth="1"/>
    <col min="14093" max="14093" width="14.5" style="173" customWidth="1"/>
    <col min="14094" max="14096" width="9.33203125" style="173"/>
    <col min="14097" max="14097" width="16.6640625" style="173" customWidth="1"/>
    <col min="14098" max="14334" width="9.33203125" style="173"/>
    <col min="14335" max="14335" width="7.1640625" style="173" customWidth="1"/>
    <col min="14336" max="14336" width="4.1640625" style="173" customWidth="1"/>
    <col min="14337" max="14340" width="9.33203125" style="173"/>
    <col min="14341" max="14341" width="14.5" style="173" customWidth="1"/>
    <col min="14342" max="14342" width="16" style="173" customWidth="1"/>
    <col min="14343" max="14343" width="15.83203125" style="173" customWidth="1"/>
    <col min="14344" max="14344" width="4.83203125" style="173" customWidth="1"/>
    <col min="14345" max="14345" width="18.5" style="173" customWidth="1"/>
    <col min="14346" max="14346" width="4.83203125" style="173" customWidth="1"/>
    <col min="14347" max="14347" width="0" style="173" hidden="1" customWidth="1"/>
    <col min="14348" max="14348" width="6" style="173" customWidth="1"/>
    <col min="14349" max="14349" width="14.5" style="173" customWidth="1"/>
    <col min="14350" max="14352" width="9.33203125" style="173"/>
    <col min="14353" max="14353" width="16.6640625" style="173" customWidth="1"/>
    <col min="14354" max="14590" width="9.33203125" style="173"/>
    <col min="14591" max="14591" width="7.1640625" style="173" customWidth="1"/>
    <col min="14592" max="14592" width="4.1640625" style="173" customWidth="1"/>
    <col min="14593" max="14596" width="9.33203125" style="173"/>
    <col min="14597" max="14597" width="14.5" style="173" customWidth="1"/>
    <col min="14598" max="14598" width="16" style="173" customWidth="1"/>
    <col min="14599" max="14599" width="15.83203125" style="173" customWidth="1"/>
    <col min="14600" max="14600" width="4.83203125" style="173" customWidth="1"/>
    <col min="14601" max="14601" width="18.5" style="173" customWidth="1"/>
    <col min="14602" max="14602" width="4.83203125" style="173" customWidth="1"/>
    <col min="14603" max="14603" width="0" style="173" hidden="1" customWidth="1"/>
    <col min="14604" max="14604" width="6" style="173" customWidth="1"/>
    <col min="14605" max="14605" width="14.5" style="173" customWidth="1"/>
    <col min="14606" max="14608" width="9.33203125" style="173"/>
    <col min="14609" max="14609" width="16.6640625" style="173" customWidth="1"/>
    <col min="14610" max="14846" width="9.33203125" style="173"/>
    <col min="14847" max="14847" width="7.1640625" style="173" customWidth="1"/>
    <col min="14848" max="14848" width="4.1640625" style="173" customWidth="1"/>
    <col min="14849" max="14852" width="9.33203125" style="173"/>
    <col min="14853" max="14853" width="14.5" style="173" customWidth="1"/>
    <col min="14854" max="14854" width="16" style="173" customWidth="1"/>
    <col min="14855" max="14855" width="15.83203125" style="173" customWidth="1"/>
    <col min="14856" max="14856" width="4.83203125" style="173" customWidth="1"/>
    <col min="14857" max="14857" width="18.5" style="173" customWidth="1"/>
    <col min="14858" max="14858" width="4.83203125" style="173" customWidth="1"/>
    <col min="14859" max="14859" width="0" style="173" hidden="1" customWidth="1"/>
    <col min="14860" max="14860" width="6" style="173" customWidth="1"/>
    <col min="14861" max="14861" width="14.5" style="173" customWidth="1"/>
    <col min="14862" max="14864" width="9.33203125" style="173"/>
    <col min="14865" max="14865" width="16.6640625" style="173" customWidth="1"/>
    <col min="14866" max="15102" width="9.33203125" style="173"/>
    <col min="15103" max="15103" width="7.1640625" style="173" customWidth="1"/>
    <col min="15104" max="15104" width="4.1640625" style="173" customWidth="1"/>
    <col min="15105" max="15108" width="9.33203125" style="173"/>
    <col min="15109" max="15109" width="14.5" style="173" customWidth="1"/>
    <col min="15110" max="15110" width="16" style="173" customWidth="1"/>
    <col min="15111" max="15111" width="15.83203125" style="173" customWidth="1"/>
    <col min="15112" max="15112" width="4.83203125" style="173" customWidth="1"/>
    <col min="15113" max="15113" width="18.5" style="173" customWidth="1"/>
    <col min="15114" max="15114" width="4.83203125" style="173" customWidth="1"/>
    <col min="15115" max="15115" width="0" style="173" hidden="1" customWidth="1"/>
    <col min="15116" max="15116" width="6" style="173" customWidth="1"/>
    <col min="15117" max="15117" width="14.5" style="173" customWidth="1"/>
    <col min="15118" max="15120" width="9.33203125" style="173"/>
    <col min="15121" max="15121" width="16.6640625" style="173" customWidth="1"/>
    <col min="15122" max="15358" width="9.33203125" style="173"/>
    <col min="15359" max="15359" width="7.1640625" style="173" customWidth="1"/>
    <col min="15360" max="15360" width="4.1640625" style="173" customWidth="1"/>
    <col min="15361" max="15364" width="9.33203125" style="173"/>
    <col min="15365" max="15365" width="14.5" style="173" customWidth="1"/>
    <col min="15366" max="15366" width="16" style="173" customWidth="1"/>
    <col min="15367" max="15367" width="15.83203125" style="173" customWidth="1"/>
    <col min="15368" max="15368" width="4.83203125" style="173" customWidth="1"/>
    <col min="15369" max="15369" width="18.5" style="173" customWidth="1"/>
    <col min="15370" max="15370" width="4.83203125" style="173" customWidth="1"/>
    <col min="15371" max="15371" width="0" style="173" hidden="1" customWidth="1"/>
    <col min="15372" max="15372" width="6" style="173" customWidth="1"/>
    <col min="15373" max="15373" width="14.5" style="173" customWidth="1"/>
    <col min="15374" max="15376" width="9.33203125" style="173"/>
    <col min="15377" max="15377" width="16.6640625" style="173" customWidth="1"/>
    <col min="15378" max="15614" width="9.33203125" style="173"/>
    <col min="15615" max="15615" width="7.1640625" style="173" customWidth="1"/>
    <col min="15616" max="15616" width="4.1640625" style="173" customWidth="1"/>
    <col min="15617" max="15620" width="9.33203125" style="173"/>
    <col min="15621" max="15621" width="14.5" style="173" customWidth="1"/>
    <col min="15622" max="15622" width="16" style="173" customWidth="1"/>
    <col min="15623" max="15623" width="15.83203125" style="173" customWidth="1"/>
    <col min="15624" max="15624" width="4.83203125" style="173" customWidth="1"/>
    <col min="15625" max="15625" width="18.5" style="173" customWidth="1"/>
    <col min="15626" max="15626" width="4.83203125" style="173" customWidth="1"/>
    <col min="15627" max="15627" width="0" style="173" hidden="1" customWidth="1"/>
    <col min="15628" max="15628" width="6" style="173" customWidth="1"/>
    <col min="15629" max="15629" width="14.5" style="173" customWidth="1"/>
    <col min="15630" max="15632" width="9.33203125" style="173"/>
    <col min="15633" max="15633" width="16.6640625" style="173" customWidth="1"/>
    <col min="15634" max="15870" width="9.33203125" style="173"/>
    <col min="15871" max="15871" width="7.1640625" style="173" customWidth="1"/>
    <col min="15872" max="15872" width="4.1640625" style="173" customWidth="1"/>
    <col min="15873" max="15876" width="9.33203125" style="173"/>
    <col min="15877" max="15877" width="14.5" style="173" customWidth="1"/>
    <col min="15878" max="15878" width="16" style="173" customWidth="1"/>
    <col min="15879" max="15879" width="15.83203125" style="173" customWidth="1"/>
    <col min="15880" max="15880" width="4.83203125" style="173" customWidth="1"/>
    <col min="15881" max="15881" width="18.5" style="173" customWidth="1"/>
    <col min="15882" max="15882" width="4.83203125" style="173" customWidth="1"/>
    <col min="15883" max="15883" width="0" style="173" hidden="1" customWidth="1"/>
    <col min="15884" max="15884" width="6" style="173" customWidth="1"/>
    <col min="15885" max="15885" width="14.5" style="173" customWidth="1"/>
    <col min="15886" max="15888" width="9.33203125" style="173"/>
    <col min="15889" max="15889" width="16.6640625" style="173" customWidth="1"/>
    <col min="15890" max="16126" width="9.33203125" style="173"/>
    <col min="16127" max="16127" width="7.1640625" style="173" customWidth="1"/>
    <col min="16128" max="16128" width="4.1640625" style="173" customWidth="1"/>
    <col min="16129" max="16132" width="9.33203125" style="173"/>
    <col min="16133" max="16133" width="14.5" style="173" customWidth="1"/>
    <col min="16134" max="16134" width="16" style="173" customWidth="1"/>
    <col min="16135" max="16135" width="15.83203125" style="173" customWidth="1"/>
    <col min="16136" max="16136" width="4.83203125" style="173" customWidth="1"/>
    <col min="16137" max="16137" width="18.5" style="173" customWidth="1"/>
    <col min="16138" max="16138" width="4.83203125" style="173" customWidth="1"/>
    <col min="16139" max="16139" width="0" style="173" hidden="1" customWidth="1"/>
    <col min="16140" max="16140" width="6" style="173" customWidth="1"/>
    <col min="16141" max="16141" width="14.5" style="173" customWidth="1"/>
    <col min="16142" max="16144" width="9.33203125" style="173"/>
    <col min="16145" max="16145" width="16.6640625" style="173" customWidth="1"/>
    <col min="16146" max="16384" width="9.33203125" style="173"/>
  </cols>
  <sheetData>
    <row r="1" spans="1:17" ht="12.75">
      <c r="A1" s="188"/>
      <c r="J1" s="425" t="str">
        <f>+'PGA Demand Cost Allocation'!J2</f>
        <v>CNGC Advice W22-09-01</v>
      </c>
      <c r="M1" s="179"/>
    </row>
    <row r="2" spans="1:17" ht="15.75">
      <c r="A2" s="197"/>
      <c r="B2" s="198"/>
      <c r="C2" s="198"/>
      <c r="D2" s="199"/>
      <c r="E2" s="200"/>
      <c r="F2" s="200"/>
      <c r="G2" s="200"/>
      <c r="H2" s="200"/>
      <c r="I2" s="200"/>
      <c r="J2" s="426" t="s">
        <v>192</v>
      </c>
      <c r="L2" s="190"/>
      <c r="M2" s="179"/>
    </row>
    <row r="3" spans="1:17" ht="15.75">
      <c r="A3" s="197"/>
      <c r="B3" s="198"/>
      <c r="C3" s="198"/>
      <c r="F3" s="445" t="s">
        <v>47</v>
      </c>
      <c r="G3" s="445"/>
      <c r="H3" s="445"/>
      <c r="I3" s="445"/>
      <c r="J3" s="426" t="s">
        <v>377</v>
      </c>
      <c r="L3" s="190"/>
    </row>
    <row r="4" spans="1:17" ht="15.75">
      <c r="A4" s="197"/>
      <c r="B4" s="198"/>
      <c r="C4" s="198"/>
      <c r="D4" s="1017" t="s">
        <v>203</v>
      </c>
      <c r="E4" s="1017"/>
      <c r="F4" s="1017"/>
      <c r="G4" s="1017"/>
      <c r="H4" s="1017"/>
      <c r="I4" s="1017"/>
      <c r="J4" s="1017"/>
      <c r="K4" s="190"/>
      <c r="L4" s="190"/>
    </row>
    <row r="5" spans="1:17" ht="15.75">
      <c r="A5" s="197"/>
      <c r="B5" s="198"/>
      <c r="C5" s="198"/>
      <c r="E5" s="771"/>
      <c r="F5" s="1017" t="s">
        <v>48</v>
      </c>
      <c r="G5" s="1017"/>
      <c r="H5" s="1017"/>
      <c r="I5" s="1017"/>
      <c r="J5" s="771"/>
      <c r="K5" s="190"/>
      <c r="L5" s="190"/>
    </row>
    <row r="6" spans="1:17" ht="15.75">
      <c r="A6" s="197"/>
      <c r="B6" s="198"/>
      <c r="C6" s="198"/>
      <c r="D6" s="198"/>
      <c r="E6" s="198"/>
      <c r="F6" s="198"/>
      <c r="G6" s="198"/>
      <c r="H6" s="198"/>
      <c r="I6" s="198"/>
      <c r="J6" s="198"/>
    </row>
    <row r="7" spans="1:17" ht="15.75">
      <c r="A7" s="197"/>
      <c r="B7" s="198"/>
      <c r="C7" s="198"/>
      <c r="D7" s="198" t="s">
        <v>175</v>
      </c>
      <c r="E7" s="198"/>
      <c r="F7" s="198"/>
      <c r="G7" s="201" t="s">
        <v>67</v>
      </c>
      <c r="H7" s="201" t="s">
        <v>69</v>
      </c>
      <c r="I7" s="197" t="s">
        <v>157</v>
      </c>
      <c r="J7" s="197">
        <v>570</v>
      </c>
      <c r="M7" s="191"/>
    </row>
    <row r="8" spans="1:17" ht="15.75">
      <c r="A8" s="202" t="s">
        <v>7</v>
      </c>
      <c r="B8" s="198"/>
      <c r="C8" s="198"/>
      <c r="D8" s="198"/>
      <c r="E8" s="198"/>
      <c r="F8" s="198"/>
      <c r="G8" s="202" t="s">
        <v>66</v>
      </c>
      <c r="H8" s="197" t="s">
        <v>68</v>
      </c>
      <c r="I8" s="202" t="s">
        <v>176</v>
      </c>
      <c r="J8" s="202" t="s">
        <v>12</v>
      </c>
      <c r="M8" s="188"/>
    </row>
    <row r="9" spans="1:17" ht="15.75">
      <c r="A9" s="203" t="s">
        <v>9</v>
      </c>
      <c r="B9" s="198"/>
      <c r="C9" s="204" t="s">
        <v>177</v>
      </c>
      <c r="D9" s="205"/>
      <c r="E9" s="205"/>
      <c r="F9" s="205"/>
      <c r="G9" s="203" t="s">
        <v>178</v>
      </c>
      <c r="H9" s="203" t="s">
        <v>178</v>
      </c>
      <c r="I9" s="203" t="s">
        <v>178</v>
      </c>
      <c r="J9" s="203" t="s">
        <v>178</v>
      </c>
      <c r="M9" s="192"/>
    </row>
    <row r="10" spans="1:17" ht="15.75">
      <c r="A10" s="197"/>
      <c r="B10" s="198"/>
      <c r="C10" s="198"/>
      <c r="D10" s="198"/>
      <c r="E10" s="198"/>
      <c r="F10" s="198"/>
      <c r="G10" s="198"/>
      <c r="H10" s="198"/>
      <c r="I10" s="198"/>
      <c r="J10" s="198"/>
    </row>
    <row r="11" spans="1:17" ht="15.75">
      <c r="A11" s="206" t="s">
        <v>179</v>
      </c>
      <c r="B11" s="198"/>
      <c r="C11" s="207" t="s">
        <v>217</v>
      </c>
      <c r="D11" s="198"/>
      <c r="E11" s="198"/>
      <c r="F11" s="198"/>
      <c r="G11" s="208">
        <v>0.43833</v>
      </c>
      <c r="H11" s="208">
        <v>0.43558000000000002</v>
      </c>
      <c r="I11" s="208">
        <v>0.42197000000000001</v>
      </c>
      <c r="J11" s="208">
        <v>0.40839999999999999</v>
      </c>
      <c r="K11" s="193"/>
      <c r="M11" s="193"/>
      <c r="Q11" s="193"/>
    </row>
    <row r="12" spans="1:17" ht="15.75">
      <c r="A12" s="206"/>
      <c r="B12" s="198" t="s">
        <v>399</v>
      </c>
      <c r="C12" s="207" t="s">
        <v>364</v>
      </c>
      <c r="D12" s="198"/>
      <c r="E12" s="198"/>
      <c r="F12" s="198"/>
      <c r="G12" s="208">
        <v>7.7829999999999996E-2</v>
      </c>
      <c r="H12" s="208">
        <v>7.776000000000001E-2</v>
      </c>
      <c r="I12" s="208">
        <v>7.7450000000000005E-2</v>
      </c>
      <c r="J12" s="208">
        <v>7.714E-2</v>
      </c>
      <c r="K12" s="193"/>
      <c r="M12" s="193"/>
      <c r="Q12" s="193"/>
    </row>
    <row r="13" spans="1:17" ht="15.75">
      <c r="A13" s="206"/>
      <c r="B13" s="198"/>
      <c r="C13" s="207"/>
      <c r="D13" s="198"/>
      <c r="E13" s="198"/>
      <c r="F13" s="198"/>
      <c r="G13" s="208"/>
      <c r="H13" s="208"/>
      <c r="I13" s="208"/>
      <c r="J13" s="208"/>
      <c r="K13" s="193"/>
      <c r="M13" s="193"/>
      <c r="Q13" s="193"/>
    </row>
    <row r="14" spans="1:17" ht="15.75">
      <c r="A14" s="209"/>
      <c r="B14" s="198"/>
      <c r="C14" s="198"/>
      <c r="D14" s="198"/>
      <c r="E14" s="198"/>
      <c r="F14" s="198"/>
      <c r="G14" s="198"/>
      <c r="H14" s="198"/>
      <c r="I14" s="198"/>
      <c r="J14" s="198"/>
    </row>
    <row r="15" spans="1:17" ht="15.75">
      <c r="A15" s="209"/>
      <c r="B15" s="198"/>
      <c r="C15" s="210" t="s">
        <v>180</v>
      </c>
      <c r="D15" s="211"/>
      <c r="E15" s="211"/>
      <c r="F15" s="211"/>
      <c r="G15" s="198"/>
      <c r="H15" s="198"/>
      <c r="I15" s="198"/>
      <c r="J15" s="198"/>
    </row>
    <row r="16" spans="1:17" ht="15.75">
      <c r="A16" s="209"/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13" ht="15.75">
      <c r="A17" s="206" t="s">
        <v>181</v>
      </c>
      <c r="B17" s="198"/>
      <c r="C17" s="207" t="s">
        <v>182</v>
      </c>
      <c r="D17" s="198"/>
      <c r="E17" s="198"/>
      <c r="F17" s="198"/>
      <c r="G17" s="208">
        <f>+'PGA Amount Change'!I16</f>
        <v>0.21598000000000001</v>
      </c>
      <c r="H17" s="208"/>
      <c r="I17" s="208"/>
      <c r="J17" s="208"/>
      <c r="K17" s="193"/>
      <c r="M17" s="193"/>
    </row>
    <row r="18" spans="1:13" ht="15.75">
      <c r="A18" s="206"/>
      <c r="B18" s="198"/>
      <c r="C18" s="212"/>
      <c r="D18" s="198"/>
      <c r="E18" s="198"/>
      <c r="F18" s="198"/>
      <c r="G18" s="208"/>
      <c r="H18" s="208"/>
      <c r="I18" s="208"/>
      <c r="J18" s="208"/>
      <c r="K18" s="193"/>
      <c r="M18" s="193"/>
    </row>
    <row r="19" spans="1:13" ht="15.75">
      <c r="A19" s="206" t="s">
        <v>183</v>
      </c>
      <c r="B19" s="198"/>
      <c r="C19" s="207" t="s">
        <v>184</v>
      </c>
      <c r="D19" s="198"/>
      <c r="E19" s="198"/>
      <c r="F19" s="198"/>
      <c r="G19" s="208"/>
      <c r="H19" s="208">
        <f>+'PGA Amount Change'!I17</f>
        <v>0.21601999999999999</v>
      </c>
      <c r="I19" s="208"/>
      <c r="J19" s="208"/>
      <c r="K19" s="193"/>
      <c r="M19" s="193"/>
    </row>
    <row r="20" spans="1:13" ht="15.75">
      <c r="A20" s="209"/>
      <c r="B20" s="198"/>
      <c r="C20" s="198"/>
      <c r="D20" s="198"/>
      <c r="E20" s="198"/>
      <c r="F20" s="198"/>
      <c r="G20" s="208"/>
      <c r="H20" s="208"/>
      <c r="I20" s="208"/>
      <c r="J20" s="208"/>
      <c r="K20" s="193"/>
      <c r="M20" s="193"/>
    </row>
    <row r="21" spans="1:13" ht="15.75">
      <c r="A21" s="206" t="s">
        <v>185</v>
      </c>
      <c r="B21" s="198"/>
      <c r="C21" s="207" t="s">
        <v>186</v>
      </c>
      <c r="D21" s="198"/>
      <c r="E21" s="198"/>
      <c r="F21" s="198"/>
      <c r="G21" s="208"/>
      <c r="H21" s="208"/>
      <c r="I21" s="208">
        <f>+'PGA Amount Change'!I18</f>
        <v>0.21625</v>
      </c>
      <c r="J21" s="208"/>
      <c r="K21" s="193"/>
      <c r="M21" s="193"/>
    </row>
    <row r="22" spans="1:13" ht="15.75">
      <c r="A22" s="209"/>
      <c r="B22" s="198"/>
      <c r="C22" s="198"/>
      <c r="D22" s="198"/>
      <c r="E22" s="198"/>
      <c r="F22" s="198"/>
      <c r="G22" s="208"/>
      <c r="H22" s="208"/>
      <c r="I22" s="208"/>
      <c r="J22" s="208"/>
      <c r="K22" s="193"/>
      <c r="M22" s="193"/>
    </row>
    <row r="23" spans="1:13" ht="15.75">
      <c r="A23" s="206" t="s">
        <v>187</v>
      </c>
      <c r="B23" s="198"/>
      <c r="C23" s="212" t="s">
        <v>188</v>
      </c>
      <c r="D23" s="198"/>
      <c r="E23" s="198"/>
      <c r="F23" s="198"/>
      <c r="G23" s="208"/>
      <c r="H23" s="208"/>
      <c r="I23" s="208"/>
      <c r="J23" s="208">
        <f>+'PGA Amount Change'!I20</f>
        <v>0.21648000000000001</v>
      </c>
      <c r="K23" s="193"/>
      <c r="M23" s="193"/>
    </row>
    <row r="24" spans="1:13" ht="15.75">
      <c r="A24" s="209"/>
      <c r="B24" s="198"/>
      <c r="C24" s="198"/>
      <c r="D24" s="198"/>
      <c r="E24" s="198"/>
      <c r="F24" s="198"/>
      <c r="G24" s="208"/>
      <c r="H24" s="208"/>
      <c r="I24" s="208"/>
      <c r="J24" s="208"/>
      <c r="K24" s="193"/>
      <c r="M24" s="193"/>
    </row>
    <row r="25" spans="1:13" ht="15.75">
      <c r="A25" s="206" t="s">
        <v>189</v>
      </c>
      <c r="B25" s="198"/>
      <c r="C25" s="207" t="s">
        <v>190</v>
      </c>
      <c r="D25" s="198"/>
      <c r="E25" s="198"/>
      <c r="F25" s="198"/>
      <c r="G25" s="208"/>
      <c r="H25" s="208"/>
      <c r="I25" s="208"/>
      <c r="J25" s="208"/>
      <c r="K25" s="193"/>
    </row>
    <row r="26" spans="1:13" ht="15.75">
      <c r="A26" s="209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M26" s="174"/>
    </row>
    <row r="27" spans="1:13" ht="15.75">
      <c r="A27" s="206">
        <v>7</v>
      </c>
      <c r="B27" s="198"/>
      <c r="C27" s="207" t="s">
        <v>191</v>
      </c>
      <c r="D27" s="198"/>
      <c r="E27" s="198"/>
      <c r="F27" s="198"/>
      <c r="G27" s="213">
        <f>G17+G11+G12</f>
        <v>0.7321399999999999</v>
      </c>
      <c r="H27" s="213">
        <f>H19+H11+H12</f>
        <v>0.72936000000000001</v>
      </c>
      <c r="I27" s="213">
        <f>I21+I11+I12</f>
        <v>0.71567000000000003</v>
      </c>
      <c r="J27" s="213">
        <f>J23+J11+J12</f>
        <v>0.70201999999999998</v>
      </c>
      <c r="M27" s="194"/>
    </row>
    <row r="28" spans="1:13" ht="15.75">
      <c r="A28" s="197"/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3" ht="15.75">
      <c r="C29" s="212" t="s">
        <v>367</v>
      </c>
      <c r="G29" s="430">
        <f>+G12+G17</f>
        <v>0.29381000000000002</v>
      </c>
      <c r="H29" s="430">
        <f>+H12+H19</f>
        <v>0.29377999999999999</v>
      </c>
      <c r="I29" s="430">
        <f>+I12+I21</f>
        <v>0.29370000000000002</v>
      </c>
      <c r="J29" s="430">
        <f>+J12+J23</f>
        <v>0.29361999999999999</v>
      </c>
    </row>
    <row r="30" spans="1:13">
      <c r="C30" s="179"/>
      <c r="G30" s="195"/>
      <c r="H30" s="195"/>
      <c r="I30" s="195"/>
      <c r="J30" s="195"/>
    </row>
    <row r="32" spans="1:13">
      <c r="C32" s="179"/>
    </row>
    <row r="34" spans="3:15">
      <c r="C34" s="179"/>
    </row>
    <row r="36" spans="3:15">
      <c r="C36" s="179"/>
    </row>
    <row r="38" spans="3:15">
      <c r="C38" s="179"/>
    </row>
    <row r="39" spans="3:15">
      <c r="C39" s="179"/>
      <c r="O39" s="196"/>
    </row>
  </sheetData>
  <mergeCells count="2">
    <mergeCell ref="D4:J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Q36"/>
  <sheetViews>
    <sheetView workbookViewId="0">
      <selection activeCell="F21" sqref="F21"/>
    </sheetView>
  </sheetViews>
  <sheetFormatPr defaultColWidth="9.83203125" defaultRowHeight="15" customHeight="1"/>
  <cols>
    <col min="1" max="1" width="5.5" style="463" bestFit="1" customWidth="1"/>
    <col min="2" max="2" width="24.1640625" style="114" bestFit="1" customWidth="1"/>
    <col min="3" max="3" width="17.83203125" style="114" bestFit="1" customWidth="1"/>
    <col min="4" max="4" width="17.6640625" style="114" bestFit="1" customWidth="1"/>
    <col min="5" max="5" width="20" style="114" bestFit="1" customWidth="1"/>
    <col min="6" max="6" width="15" style="114" bestFit="1" customWidth="1"/>
    <col min="7" max="7" width="18.1640625" style="114" customWidth="1"/>
    <col min="8" max="8" width="2.33203125" style="114" hidden="1" customWidth="1"/>
    <col min="9" max="9" width="19.1640625" style="114" customWidth="1"/>
    <col min="10" max="10" width="26" style="12" customWidth="1"/>
    <col min="11" max="11" width="2.33203125" style="114" customWidth="1"/>
    <col min="12" max="12" width="11.5" style="114" bestFit="1" customWidth="1"/>
    <col min="13" max="13" width="2.33203125" style="114" customWidth="1"/>
    <col min="14" max="14" width="24.1640625" style="114" bestFit="1" customWidth="1"/>
    <col min="15" max="15" width="11.1640625" style="114" customWidth="1"/>
    <col min="16" max="16" width="13" style="114" customWidth="1"/>
    <col min="17" max="17" width="13" style="114" bestFit="1" customWidth="1"/>
    <col min="18" max="16384" width="9.83203125" style="114"/>
  </cols>
  <sheetData>
    <row r="1" spans="1:17" ht="15" customHeight="1">
      <c r="M1" s="425" t="str">
        <f>+'PGA Demand Cost Allocation'!J2</f>
        <v>CNGC Advice W22-09-01</v>
      </c>
    </row>
    <row r="2" spans="1:17" ht="15" customHeight="1">
      <c r="A2" s="6"/>
      <c r="C2" s="294"/>
      <c r="D2" s="294"/>
      <c r="E2" s="294"/>
      <c r="F2" s="294"/>
      <c r="G2" s="294"/>
      <c r="H2" s="294"/>
      <c r="I2" s="294"/>
      <c r="J2" s="295"/>
      <c r="K2" s="294"/>
      <c r="M2" s="426" t="s">
        <v>193</v>
      </c>
    </row>
    <row r="3" spans="1:17" ht="15" customHeight="1">
      <c r="C3" s="294"/>
      <c r="E3" s="1023" t="s">
        <v>47</v>
      </c>
      <c r="F3" s="1023"/>
      <c r="G3" s="1023"/>
      <c r="H3" s="1023"/>
      <c r="I3" s="1023"/>
      <c r="J3" s="1023"/>
      <c r="K3" s="413"/>
      <c r="M3" s="426" t="s">
        <v>378</v>
      </c>
      <c r="P3" s="14"/>
      <c r="Q3" s="14"/>
    </row>
    <row r="4" spans="1:17" ht="15" customHeight="1">
      <c r="C4" s="294"/>
      <c r="D4" s="1018" t="s">
        <v>204</v>
      </c>
      <c r="E4" s="1018"/>
      <c r="F4" s="1018"/>
      <c r="G4" s="1018"/>
      <c r="H4" s="1018"/>
      <c r="I4" s="1018"/>
      <c r="J4" s="1018"/>
      <c r="K4" s="1018"/>
      <c r="L4" s="1018"/>
      <c r="M4" s="1018"/>
      <c r="N4" s="296"/>
    </row>
    <row r="5" spans="1:17" ht="15" customHeight="1">
      <c r="C5" s="294"/>
      <c r="D5" s="294"/>
      <c r="E5" s="462"/>
      <c r="F5" s="462"/>
      <c r="G5" s="462"/>
      <c r="H5" s="462" t="s">
        <v>48</v>
      </c>
      <c r="I5" s="462"/>
      <c r="J5" s="462"/>
      <c r="K5" s="462"/>
      <c r="L5" s="462"/>
      <c r="M5" s="462"/>
      <c r="N5" s="296"/>
      <c r="P5" s="71"/>
      <c r="Q5" s="71"/>
    </row>
    <row r="6" spans="1:17" ht="15" customHeight="1" thickBot="1">
      <c r="C6" s="294"/>
      <c r="D6" s="297"/>
      <c r="E6" s="298"/>
      <c r="F6" s="298"/>
      <c r="G6" s="298"/>
      <c r="H6" s="298"/>
      <c r="I6" s="298"/>
      <c r="J6" s="299"/>
      <c r="K6" s="298"/>
      <c r="L6" s="298"/>
      <c r="M6" s="298"/>
      <c r="N6" s="300"/>
    </row>
    <row r="7" spans="1:17" s="463" customFormat="1" ht="15" customHeight="1">
      <c r="C7" s="301"/>
      <c r="D7" s="302"/>
      <c r="E7" s="863"/>
      <c r="F7" s="301"/>
      <c r="G7" s="301"/>
      <c r="H7" s="301"/>
      <c r="I7" s="1019" t="s">
        <v>127</v>
      </c>
      <c r="J7" s="1020"/>
      <c r="K7" s="301"/>
      <c r="L7" s="301"/>
      <c r="M7" s="301"/>
      <c r="N7" s="302"/>
    </row>
    <row r="8" spans="1:17" s="463" customFormat="1" ht="15.75">
      <c r="C8" s="301"/>
      <c r="D8" s="301"/>
      <c r="E8" s="864"/>
      <c r="F8" s="864"/>
      <c r="G8" s="303"/>
      <c r="H8" s="301"/>
      <c r="I8" s="1021" t="s">
        <v>4</v>
      </c>
      <c r="J8" s="1022"/>
      <c r="K8" s="304"/>
      <c r="L8" s="302"/>
      <c r="M8" s="302"/>
      <c r="N8" s="301"/>
    </row>
    <row r="9" spans="1:17" s="463" customFormat="1" ht="78.75">
      <c r="A9" s="58" t="s">
        <v>125</v>
      </c>
      <c r="B9" s="58" t="s">
        <v>124</v>
      </c>
      <c r="C9" s="303" t="s">
        <v>280</v>
      </c>
      <c r="D9" s="303" t="s">
        <v>281</v>
      </c>
      <c r="E9" s="305" t="s">
        <v>123</v>
      </c>
      <c r="F9" s="306" t="s">
        <v>126</v>
      </c>
      <c r="G9" s="304" t="s">
        <v>11</v>
      </c>
      <c r="H9" s="304"/>
      <c r="I9" s="307" t="s">
        <v>97</v>
      </c>
      <c r="J9" s="954" t="s">
        <v>102</v>
      </c>
      <c r="K9" s="304"/>
      <c r="L9" s="308" t="s">
        <v>128</v>
      </c>
      <c r="M9" s="304"/>
      <c r="N9" s="304" t="s">
        <v>13</v>
      </c>
    </row>
    <row r="10" spans="1:17" ht="15" customHeight="1">
      <c r="A10" s="119"/>
      <c r="B10" s="57" t="s">
        <v>14</v>
      </c>
      <c r="C10" s="309" t="s">
        <v>15</v>
      </c>
      <c r="D10" s="309" t="s">
        <v>16</v>
      </c>
      <c r="E10" s="309" t="s">
        <v>17</v>
      </c>
      <c r="F10" s="309" t="s">
        <v>18</v>
      </c>
      <c r="G10" s="309" t="s">
        <v>19</v>
      </c>
      <c r="H10" s="309"/>
      <c r="I10" s="310" t="s">
        <v>20</v>
      </c>
      <c r="J10" s="955" t="s">
        <v>21</v>
      </c>
      <c r="K10" s="309"/>
      <c r="L10" s="309" t="s">
        <v>22</v>
      </c>
      <c r="M10" s="309"/>
      <c r="N10" s="309" t="s">
        <v>23</v>
      </c>
    </row>
    <row r="11" spans="1:17" ht="15" customHeight="1">
      <c r="B11" s="8" t="s">
        <v>399</v>
      </c>
      <c r="C11" s="304"/>
      <c r="D11" s="311"/>
      <c r="E11" s="304"/>
      <c r="F11" s="304"/>
      <c r="G11" s="304"/>
      <c r="H11" s="304"/>
      <c r="I11" s="312"/>
      <c r="J11" s="956"/>
      <c r="K11" s="304"/>
      <c r="L11" s="304"/>
      <c r="M11" s="304"/>
      <c r="N11" s="304"/>
    </row>
    <row r="12" spans="1:17" ht="15" customHeight="1">
      <c r="A12" s="4">
        <v>1</v>
      </c>
      <c r="B12" s="7" t="s">
        <v>147</v>
      </c>
      <c r="C12" s="313">
        <f>+'Balances at 7-31-2022'!D13</f>
        <v>45190005.730000004</v>
      </c>
      <c r="D12" s="314">
        <f>+EstimatedBalances!H13</f>
        <v>-4052567.8560000006</v>
      </c>
      <c r="E12" s="315">
        <f>((C12+D12)/(1-0.04423))-(C12+D12)</f>
        <v>1903709.9691003263</v>
      </c>
      <c r="F12" s="314">
        <f>+' Int during Amort'!S23</f>
        <v>592365.32567609567</v>
      </c>
      <c r="G12" s="314">
        <f>SUM(C12:F12)</f>
        <v>43633513.16877643</v>
      </c>
      <c r="H12" s="316"/>
      <c r="I12" s="312"/>
      <c r="J12" s="956"/>
      <c r="K12" s="304"/>
      <c r="L12" s="304"/>
      <c r="M12" s="304"/>
      <c r="N12" s="294" t="s">
        <v>134</v>
      </c>
    </row>
    <row r="13" spans="1:17" ht="15" customHeight="1">
      <c r="A13" s="4">
        <v>2</v>
      </c>
      <c r="B13" s="8"/>
      <c r="C13" s="313"/>
      <c r="D13" s="314"/>
      <c r="E13" s="311"/>
      <c r="F13" s="317" t="s">
        <v>35</v>
      </c>
      <c r="G13" s="318">
        <f>+'Test Period Volumes'!I34</f>
        <v>256349197</v>
      </c>
      <c r="H13" s="319"/>
      <c r="I13" s="320">
        <f>ROUND(G12/G13,5)</f>
        <v>0.17021</v>
      </c>
      <c r="J13" s="909">
        <f>ROUND(G12/G13,5)</f>
        <v>0.17021</v>
      </c>
      <c r="K13" s="304"/>
      <c r="L13" s="302" t="s">
        <v>215</v>
      </c>
      <c r="M13" s="302"/>
      <c r="N13" s="317" t="s">
        <v>36</v>
      </c>
    </row>
    <row r="14" spans="1:17" ht="15" customHeight="1">
      <c r="A14" s="4"/>
      <c r="B14" s="8"/>
      <c r="C14" s="313"/>
      <c r="D14" s="314"/>
      <c r="E14" s="311"/>
      <c r="F14" s="317"/>
      <c r="G14" s="319"/>
      <c r="H14" s="319"/>
      <c r="I14" s="320"/>
      <c r="J14" s="909"/>
      <c r="K14" s="304"/>
      <c r="L14" s="302"/>
      <c r="M14" s="302"/>
      <c r="N14" s="317"/>
    </row>
    <row r="15" spans="1:17" ht="15" customHeight="1">
      <c r="A15" s="4">
        <v>3</v>
      </c>
      <c r="B15" s="7"/>
      <c r="C15" s="313"/>
      <c r="D15" s="314"/>
      <c r="E15" s="314"/>
      <c r="F15" s="314"/>
      <c r="G15" s="314"/>
      <c r="H15" s="316"/>
      <c r="I15" s="321"/>
      <c r="J15" s="908"/>
      <c r="K15" s="294"/>
      <c r="L15" s="294"/>
      <c r="M15" s="294"/>
      <c r="N15" s="294"/>
    </row>
    <row r="16" spans="1:17" ht="15" customHeight="1">
      <c r="A16" s="4">
        <v>4</v>
      </c>
      <c r="C16" s="323"/>
      <c r="D16" s="324"/>
      <c r="E16" s="324"/>
      <c r="F16" s="325"/>
      <c r="G16" s="326"/>
      <c r="H16" s="319"/>
      <c r="I16" s="320"/>
      <c r="J16" s="909"/>
      <c r="K16" s="294"/>
      <c r="L16" s="302"/>
      <c r="M16" s="302"/>
      <c r="N16" s="317"/>
    </row>
    <row r="17" spans="1:14" ht="15" customHeight="1">
      <c r="A17" s="4"/>
      <c r="C17" s="323"/>
      <c r="D17" s="324"/>
      <c r="E17" s="324"/>
      <c r="F17" s="325"/>
      <c r="G17" s="319"/>
      <c r="H17" s="319"/>
      <c r="I17" s="320"/>
      <c r="J17" s="909"/>
      <c r="K17" s="294"/>
      <c r="L17" s="302"/>
      <c r="M17" s="302"/>
      <c r="N17" s="317"/>
    </row>
    <row r="18" spans="1:14" ht="15" customHeight="1">
      <c r="A18" s="4">
        <v>5</v>
      </c>
      <c r="B18" s="7"/>
      <c r="C18" s="313"/>
      <c r="D18" s="314"/>
      <c r="E18" s="314"/>
      <c r="F18" s="314"/>
      <c r="G18" s="314"/>
      <c r="H18" s="319"/>
      <c r="I18" s="320"/>
      <c r="J18" s="909"/>
      <c r="K18" s="294"/>
      <c r="L18" s="302"/>
      <c r="M18" s="302"/>
      <c r="N18" s="317"/>
    </row>
    <row r="19" spans="1:14" ht="15" customHeight="1">
      <c r="A19" s="4">
        <v>6</v>
      </c>
      <c r="B19" s="7"/>
      <c r="C19" s="323"/>
      <c r="D19" s="314"/>
      <c r="E19" s="314"/>
      <c r="F19" s="325"/>
      <c r="G19" s="326"/>
      <c r="H19" s="319"/>
      <c r="I19" s="320"/>
      <c r="J19" s="957"/>
      <c r="K19" s="294"/>
      <c r="L19" s="302"/>
      <c r="M19" s="302"/>
      <c r="N19" s="317"/>
    </row>
    <row r="20" spans="1:14" ht="22.5" customHeight="1">
      <c r="A20" s="4">
        <v>7</v>
      </c>
      <c r="B20" s="11" t="s">
        <v>96</v>
      </c>
      <c r="C20" s="327">
        <f>SUM(C12:C19)</f>
        <v>45190005.730000004</v>
      </c>
      <c r="D20" s="327">
        <f>SUM(D12:D19)</f>
        <v>-4052567.8560000006</v>
      </c>
      <c r="E20" s="327">
        <f>SUM(E12:E19)</f>
        <v>1903709.9691003263</v>
      </c>
      <c r="F20" s="327">
        <f>SUM(F12:F19)</f>
        <v>592365.32567609567</v>
      </c>
      <c r="G20" s="327">
        <f>+G12+G15+G18</f>
        <v>43633513.16877643</v>
      </c>
      <c r="H20" s="328"/>
      <c r="I20" s="329">
        <f>SUM(I13:I19)</f>
        <v>0.17021</v>
      </c>
      <c r="J20" s="958">
        <f>SUM(J12:J19)</f>
        <v>0.17021</v>
      </c>
      <c r="K20" s="330"/>
      <c r="L20" s="294"/>
      <c r="M20" s="294"/>
      <c r="N20" s="294"/>
    </row>
    <row r="21" spans="1:14" ht="16.5" thickBot="1">
      <c r="A21" s="4"/>
      <c r="C21" s="294"/>
      <c r="D21" s="294"/>
      <c r="E21" s="294"/>
      <c r="F21" s="294"/>
      <c r="G21" s="294"/>
      <c r="H21" s="294"/>
      <c r="I21" s="331"/>
      <c r="J21" s="332"/>
      <c r="K21" s="294"/>
      <c r="L21" s="294"/>
      <c r="M21" s="294"/>
      <c r="N21" s="294"/>
    </row>
    <row r="22" spans="1:14" ht="15" customHeight="1">
      <c r="C22" s="294"/>
      <c r="D22" s="294"/>
      <c r="E22" s="294"/>
      <c r="F22" s="294"/>
      <c r="G22" s="294"/>
      <c r="H22" s="294"/>
      <c r="I22" s="294"/>
      <c r="J22" s="295"/>
      <c r="K22" s="294"/>
      <c r="L22" s="294"/>
      <c r="M22" s="294"/>
      <c r="N22" s="294"/>
    </row>
    <row r="23" spans="1:14" ht="15" customHeight="1">
      <c r="C23" s="294"/>
      <c r="D23" s="294"/>
      <c r="E23" s="295"/>
      <c r="F23" s="294"/>
      <c r="G23" s="294"/>
      <c r="H23" s="294"/>
      <c r="I23" s="294"/>
      <c r="J23" s="295"/>
      <c r="K23" s="294"/>
      <c r="L23" s="294"/>
      <c r="M23" s="294"/>
      <c r="N23" s="294"/>
    </row>
    <row r="24" spans="1:14" ht="15" customHeight="1">
      <c r="A24" s="4"/>
    </row>
    <row r="25" spans="1:14" ht="15" customHeight="1">
      <c r="J25" s="163"/>
    </row>
    <row r="27" spans="1:14" ht="15" customHeight="1">
      <c r="A27" s="4"/>
    </row>
    <row r="30" spans="1:14" ht="15" customHeight="1">
      <c r="A30" s="4"/>
    </row>
    <row r="32" spans="1:14" ht="15" customHeight="1">
      <c r="A32" s="4"/>
    </row>
    <row r="34" spans="1:1" ht="15" customHeight="1">
      <c r="A34" s="4"/>
    </row>
    <row r="35" spans="1:1" ht="15" customHeight="1">
      <c r="A35" s="4"/>
    </row>
    <row r="36" spans="1:1" ht="15" customHeight="1">
      <c r="A36" s="4"/>
    </row>
  </sheetData>
  <mergeCells count="4">
    <mergeCell ref="D4:M4"/>
    <mergeCell ref="I7:J7"/>
    <mergeCell ref="I8:J8"/>
    <mergeCell ref="E3:J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28"/>
  <sheetViews>
    <sheetView tabSelected="1" view="pageBreakPreview" zoomScale="93" zoomScaleNormal="100" zoomScaleSheetLayoutView="93" workbookViewId="0">
      <selection activeCell="F21" sqref="F21"/>
    </sheetView>
  </sheetViews>
  <sheetFormatPr defaultColWidth="10.6640625" defaultRowHeight="15"/>
  <cols>
    <col min="1" max="1" width="5.6640625" style="121" customWidth="1"/>
    <col min="2" max="2" width="51.83203125" style="121" bestFit="1" customWidth="1"/>
    <col min="3" max="3" width="15.1640625" style="121" customWidth="1"/>
    <col min="4" max="4" width="15.83203125" style="121" bestFit="1" customWidth="1"/>
    <col min="5" max="5" width="25.1640625" style="121" bestFit="1" customWidth="1"/>
    <col min="6" max="6" width="16.1640625" style="121" customWidth="1"/>
    <col min="7" max="7" width="21.33203125" style="121" customWidth="1"/>
    <col min="8" max="8" width="18" style="121" customWidth="1"/>
    <col min="9" max="9" width="16.1640625" style="124" customWidth="1"/>
    <col min="10" max="11" width="13.83203125" style="121" customWidth="1"/>
    <col min="12" max="12" width="14.83203125" style="121" customWidth="1"/>
    <col min="13" max="13" width="13.33203125" style="121" customWidth="1"/>
    <col min="14" max="14" width="19.6640625" style="121" customWidth="1"/>
    <col min="15" max="16" width="13.33203125" style="121" customWidth="1"/>
    <col min="17" max="17" width="16" style="121" customWidth="1"/>
    <col min="18" max="18" width="14.1640625" style="121" customWidth="1"/>
    <col min="19" max="19" width="17" style="121" customWidth="1"/>
    <col min="20" max="20" width="14.1640625" style="121" customWidth="1"/>
    <col min="21" max="16384" width="10.6640625" style="121"/>
  </cols>
  <sheetData>
    <row r="1" spans="1:14" ht="15.75" customHeight="1">
      <c r="A1" s="333"/>
      <c r="B1" s="333"/>
      <c r="F1" s="425" t="str">
        <f>+'TTA Summary of Def. Accts.'!M1</f>
        <v>CNGC Advice W22-09-01</v>
      </c>
    </row>
    <row r="2" spans="1:14" ht="15.75" customHeight="1">
      <c r="A2" s="333"/>
      <c r="B2" s="333"/>
      <c r="F2" s="426" t="s">
        <v>193</v>
      </c>
    </row>
    <row r="3" spans="1:14" ht="15.75" customHeight="1">
      <c r="A3" s="333"/>
      <c r="B3" s="333"/>
      <c r="F3" s="426" t="s">
        <v>379</v>
      </c>
    </row>
    <row r="4" spans="1:14" s="122" customFormat="1" ht="15.75" customHeight="1">
      <c r="A4" s="334"/>
      <c r="B4" s="334"/>
      <c r="C4" s="363" t="s">
        <v>47</v>
      </c>
      <c r="D4" s="363"/>
      <c r="E4" s="363"/>
      <c r="F4" s="363"/>
      <c r="G4" s="335"/>
      <c r="H4" s="123"/>
      <c r="I4" s="129"/>
      <c r="J4" s="123"/>
      <c r="K4" s="123"/>
      <c r="L4" s="123"/>
      <c r="M4" s="123"/>
      <c r="N4" s="123"/>
    </row>
    <row r="5" spans="1:14" s="122" customFormat="1" ht="15.75" customHeight="1">
      <c r="A5" s="334"/>
      <c r="B5" s="1015" t="s">
        <v>205</v>
      </c>
      <c r="C5" s="1015"/>
      <c r="D5" s="1015"/>
      <c r="E5" s="1015"/>
      <c r="F5" s="1015"/>
      <c r="G5" s="1015"/>
      <c r="H5" s="123"/>
      <c r="I5" s="129"/>
      <c r="J5" s="123"/>
      <c r="K5" s="123"/>
      <c r="L5" s="123"/>
      <c r="M5" s="123"/>
      <c r="N5" s="123"/>
    </row>
    <row r="6" spans="1:14" s="122" customFormat="1" ht="15.75" customHeight="1">
      <c r="A6" s="334"/>
      <c r="B6" s="1015" t="s">
        <v>398</v>
      </c>
      <c r="C6" s="1015"/>
      <c r="D6" s="1015"/>
      <c r="E6" s="1015"/>
      <c r="F6" s="1015"/>
      <c r="G6" s="1015"/>
      <c r="H6" s="123"/>
      <c r="I6" s="129"/>
      <c r="J6" s="123"/>
      <c r="K6" s="123"/>
      <c r="L6" s="123"/>
      <c r="M6" s="123"/>
      <c r="N6" s="123"/>
    </row>
    <row r="7" spans="1:14" s="122" customFormat="1" ht="15.75" customHeight="1">
      <c r="A7" s="334"/>
      <c r="B7" s="1015" t="s">
        <v>48</v>
      </c>
      <c r="C7" s="1015"/>
      <c r="D7" s="1015"/>
      <c r="E7" s="1015"/>
      <c r="F7" s="1015"/>
      <c r="G7" s="1015"/>
      <c r="H7" s="123"/>
      <c r="I7" s="129"/>
      <c r="J7" s="123"/>
      <c r="K7" s="123"/>
      <c r="L7" s="123"/>
      <c r="M7" s="123"/>
      <c r="N7" s="123"/>
    </row>
    <row r="8" spans="1:14" ht="15.75">
      <c r="A8" s="333"/>
      <c r="B8" s="336"/>
      <c r="G8" s="333"/>
    </row>
    <row r="9" spans="1:14" s="127" customFormat="1" ht="47.25">
      <c r="A9" s="895" t="s">
        <v>125</v>
      </c>
      <c r="B9" s="337" t="s">
        <v>0</v>
      </c>
      <c r="C9" s="338" t="s">
        <v>129</v>
      </c>
      <c r="D9" s="337" t="s">
        <v>135</v>
      </c>
      <c r="E9" s="339" t="s">
        <v>136</v>
      </c>
      <c r="F9" s="337" t="s">
        <v>391</v>
      </c>
      <c r="G9" s="337" t="s">
        <v>392</v>
      </c>
      <c r="H9" s="126"/>
      <c r="I9" s="162"/>
      <c r="J9" s="126"/>
    </row>
    <row r="10" spans="1:14" ht="15.75">
      <c r="A10" s="357"/>
      <c r="B10" s="340" t="s">
        <v>14</v>
      </c>
      <c r="C10" s="341" t="s">
        <v>15</v>
      </c>
      <c r="D10" s="453" t="s">
        <v>16</v>
      </c>
      <c r="E10" s="342" t="s">
        <v>17</v>
      </c>
      <c r="F10" s="453" t="s">
        <v>18</v>
      </c>
      <c r="G10" s="343" t="s">
        <v>81</v>
      </c>
      <c r="H10" s="125"/>
      <c r="I10" s="128"/>
      <c r="J10" s="125"/>
    </row>
    <row r="11" spans="1:14" ht="16.5" customHeight="1">
      <c r="A11" s="333"/>
      <c r="B11" s="344" t="s">
        <v>82</v>
      </c>
      <c r="C11" s="345"/>
      <c r="D11" s="345"/>
      <c r="E11" s="345"/>
      <c r="F11" s="346"/>
      <c r="G11" s="345"/>
      <c r="J11" s="455"/>
    </row>
    <row r="12" spans="1:14" ht="16.5" customHeight="1">
      <c r="A12" s="896"/>
      <c r="B12" s="347" t="s">
        <v>399</v>
      </c>
      <c r="C12" s="348"/>
      <c r="D12" s="349"/>
      <c r="E12" s="349"/>
      <c r="F12" s="350"/>
      <c r="G12" s="351"/>
      <c r="H12" s="124"/>
    </row>
    <row r="13" spans="1:14" ht="15.75">
      <c r="A13" s="897">
        <v>1</v>
      </c>
      <c r="B13" s="352" t="s">
        <v>66</v>
      </c>
      <c r="C13" s="353">
        <v>503</v>
      </c>
      <c r="D13" s="349">
        <v>-0.13550000000000001</v>
      </c>
      <c r="E13" s="349">
        <f>+'TTA Summary of Def. Accts.'!I20</f>
        <v>0.17021</v>
      </c>
      <c r="F13" s="350">
        <f t="shared" ref="F13:F17" si="0">SUM(D13:E13)</f>
        <v>3.4709999999999991E-2</v>
      </c>
      <c r="G13" s="354">
        <f t="shared" ref="G13:G17" si="1">+E13</f>
        <v>0.17021</v>
      </c>
      <c r="H13" s="63"/>
      <c r="I13" s="63"/>
      <c r="J13" s="32"/>
    </row>
    <row r="14" spans="1:14" ht="15.75">
      <c r="A14" s="897">
        <v>2</v>
      </c>
      <c r="B14" s="352" t="s">
        <v>68</v>
      </c>
      <c r="C14" s="353">
        <v>504</v>
      </c>
      <c r="D14" s="349">
        <f>+D13</f>
        <v>-0.13550000000000001</v>
      </c>
      <c r="E14" s="349">
        <f t="shared" ref="E14:E16" si="2">E13</f>
        <v>0.17021</v>
      </c>
      <c r="F14" s="350">
        <f t="shared" si="0"/>
        <v>3.4709999999999991E-2</v>
      </c>
      <c r="G14" s="354">
        <f t="shared" si="1"/>
        <v>0.17021</v>
      </c>
      <c r="H14" s="63"/>
      <c r="I14" s="63"/>
      <c r="J14" s="32"/>
    </row>
    <row r="15" spans="1:14" ht="15.75">
      <c r="A15" s="897">
        <v>3</v>
      </c>
      <c r="B15" s="352" t="s">
        <v>131</v>
      </c>
      <c r="C15" s="355">
        <v>511</v>
      </c>
      <c r="D15" s="349">
        <f>+D13</f>
        <v>-0.13550000000000001</v>
      </c>
      <c r="E15" s="349">
        <f>+'TTA Summary of Def. Accts.'!J20</f>
        <v>0.17021</v>
      </c>
      <c r="F15" s="350">
        <f t="shared" si="0"/>
        <v>3.4709999999999991E-2</v>
      </c>
      <c r="G15" s="354">
        <f t="shared" si="1"/>
        <v>0.17021</v>
      </c>
      <c r="H15" s="63"/>
      <c r="I15" s="63"/>
      <c r="J15" s="32"/>
    </row>
    <row r="16" spans="1:14" ht="15.75">
      <c r="A16" s="897">
        <v>4</v>
      </c>
      <c r="B16" s="352" t="s">
        <v>72</v>
      </c>
      <c r="C16" s="355">
        <v>505</v>
      </c>
      <c r="D16" s="349">
        <f>+D13</f>
        <v>-0.13550000000000001</v>
      </c>
      <c r="E16" s="349">
        <f t="shared" si="2"/>
        <v>0.17021</v>
      </c>
      <c r="F16" s="350">
        <f t="shared" si="0"/>
        <v>3.4709999999999991E-2</v>
      </c>
      <c r="G16" s="354">
        <f t="shared" si="1"/>
        <v>0.17021</v>
      </c>
      <c r="H16" s="63"/>
      <c r="I16" s="63"/>
      <c r="J16" s="32"/>
    </row>
    <row r="17" spans="1:21" ht="15.75">
      <c r="A17" s="897">
        <v>5</v>
      </c>
      <c r="B17" s="352" t="s">
        <v>83</v>
      </c>
      <c r="C17" s="355">
        <v>570</v>
      </c>
      <c r="D17" s="349">
        <f>+D13</f>
        <v>-0.13550000000000001</v>
      </c>
      <c r="E17" s="349">
        <f>'TTA Summary of Def. Accts.'!J20</f>
        <v>0.17021</v>
      </c>
      <c r="F17" s="350">
        <f t="shared" si="0"/>
        <v>3.4709999999999991E-2</v>
      </c>
      <c r="G17" s="354">
        <f t="shared" si="1"/>
        <v>0.17021</v>
      </c>
      <c r="H17" s="63"/>
      <c r="I17" s="63"/>
      <c r="J17" s="32"/>
    </row>
    <row r="18" spans="1:21" ht="15.75">
      <c r="A18" s="898"/>
      <c r="B18" s="356"/>
      <c r="C18" s="357"/>
      <c r="D18" s="357"/>
      <c r="E18" s="357"/>
      <c r="F18" s="358"/>
      <c r="G18" s="357"/>
      <c r="H18" s="63"/>
      <c r="I18" s="63"/>
      <c r="J18" s="32"/>
    </row>
    <row r="19" spans="1:21" s="124" customFormat="1" ht="15.75">
      <c r="A19" s="4"/>
      <c r="B19" s="360"/>
      <c r="C19" s="336"/>
      <c r="D19" s="336"/>
      <c r="E19" s="336"/>
      <c r="F19" s="336"/>
      <c r="G19" s="322"/>
      <c r="H19" s="63"/>
      <c r="I19" s="63"/>
      <c r="J19" s="63"/>
    </row>
    <row r="20" spans="1:21" ht="15.75">
      <c r="A20" s="4">
        <v>6</v>
      </c>
      <c r="B20" s="361" t="s">
        <v>373</v>
      </c>
      <c r="C20" s="333"/>
      <c r="D20" s="333"/>
      <c r="E20" s="333"/>
      <c r="F20" s="333"/>
      <c r="G20" s="362"/>
      <c r="P20" s="32"/>
      <c r="Q20" s="32"/>
      <c r="R20" s="32"/>
      <c r="S20" s="32"/>
      <c r="T20" s="32"/>
      <c r="U20" s="32"/>
    </row>
    <row r="21" spans="1:21" ht="15.75">
      <c r="A21" s="4">
        <v>7</v>
      </c>
      <c r="B21" s="361" t="s">
        <v>213</v>
      </c>
      <c r="C21" s="333"/>
      <c r="D21" s="333"/>
      <c r="E21" s="333"/>
      <c r="F21" s="359"/>
      <c r="G21" s="362"/>
      <c r="P21" s="32"/>
      <c r="Q21" s="32"/>
      <c r="R21" s="32"/>
      <c r="S21" s="32"/>
      <c r="T21" s="32"/>
    </row>
    <row r="22" spans="1:21" ht="15.75">
      <c r="A22" s="333"/>
      <c r="B22" s="361"/>
      <c r="C22" s="333"/>
      <c r="D22" s="333"/>
      <c r="E22" s="333"/>
      <c r="F22" s="359"/>
      <c r="G22" s="362"/>
      <c r="P22" s="32"/>
      <c r="Q22" s="32"/>
      <c r="R22" s="32"/>
      <c r="S22" s="32"/>
      <c r="T22" s="32"/>
    </row>
    <row r="23" spans="1:21">
      <c r="B23" s="130"/>
      <c r="F23" s="129"/>
      <c r="G23" s="14"/>
    </row>
    <row r="24" spans="1:21">
      <c r="B24" s="130"/>
      <c r="F24" s="129"/>
      <c r="G24" s="66"/>
      <c r="H24" s="66"/>
    </row>
    <row r="25" spans="1:21">
      <c r="F25" s="131"/>
      <c r="J25" s="66"/>
    </row>
    <row r="26" spans="1:21">
      <c r="F26" s="132"/>
      <c r="J26" s="66"/>
    </row>
    <row r="27" spans="1:21">
      <c r="J27" s="66"/>
    </row>
    <row r="28" spans="1:21">
      <c r="J28" s="66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P19"/>
  <sheetViews>
    <sheetView view="pageBreakPreview" zoomScale="96" zoomScaleNormal="100" zoomScaleSheetLayoutView="96" workbookViewId="0">
      <selection activeCell="F21" sqref="F21"/>
    </sheetView>
  </sheetViews>
  <sheetFormatPr defaultRowHeight="15"/>
  <cols>
    <col min="1" max="1" width="5.5" style="49" bestFit="1" customWidth="1"/>
    <col min="2" max="2" width="9.33203125" style="117"/>
    <col min="3" max="3" width="16.33203125" style="117" customWidth="1"/>
    <col min="4" max="4" width="19.83203125" style="117" customWidth="1"/>
    <col min="5" max="5" width="12.5" style="117" bestFit="1" customWidth="1"/>
    <col min="6" max="6" width="18.5" style="117" bestFit="1" customWidth="1"/>
    <col min="7" max="7" width="1.33203125" style="17" customWidth="1"/>
    <col min="8" max="8" width="23.83203125" style="117" customWidth="1"/>
    <col min="9" max="9" width="1.33203125" style="17" customWidth="1"/>
    <col min="10" max="10" width="15.33203125" style="16" customWidth="1"/>
    <col min="11" max="11" width="21.5" style="117" customWidth="1"/>
    <col min="12" max="12" width="12.6640625" style="117" customWidth="1"/>
    <col min="13" max="14" width="9.33203125" style="117"/>
    <col min="15" max="15" width="15.5" style="117" bestFit="1" customWidth="1"/>
    <col min="16" max="249" width="9.33203125" style="117"/>
    <col min="250" max="250" width="5" style="117" customWidth="1"/>
    <col min="251" max="251" width="9.33203125" style="117"/>
    <col min="252" max="252" width="21.6640625" style="117" customWidth="1"/>
    <col min="253" max="253" width="13.5" style="117" customWidth="1"/>
    <col min="254" max="254" width="10.5" style="117" customWidth="1"/>
    <col min="255" max="255" width="15.1640625" style="117" customWidth="1"/>
    <col min="256" max="256" width="3.6640625" style="117" customWidth="1"/>
    <col min="257" max="257" width="13.1640625" style="117" customWidth="1"/>
    <col min="258" max="258" width="3.83203125" style="117" customWidth="1"/>
    <col min="259" max="259" width="15" style="117" customWidth="1"/>
    <col min="260" max="260" width="3.6640625" style="117" customWidth="1"/>
    <col min="261" max="262" width="13" style="117" customWidth="1"/>
    <col min="263" max="263" width="0" style="117" hidden="1" customWidth="1"/>
    <col min="264" max="265" width="9.33203125" style="117"/>
    <col min="266" max="266" width="15.83203125" style="117" customWidth="1"/>
    <col min="267" max="505" width="9.33203125" style="117"/>
    <col min="506" max="506" width="5" style="117" customWidth="1"/>
    <col min="507" max="507" width="9.33203125" style="117"/>
    <col min="508" max="508" width="21.6640625" style="117" customWidth="1"/>
    <col min="509" max="509" width="13.5" style="117" customWidth="1"/>
    <col min="510" max="510" width="10.5" style="117" customWidth="1"/>
    <col min="511" max="511" width="15.1640625" style="117" customWidth="1"/>
    <col min="512" max="512" width="3.6640625" style="117" customWidth="1"/>
    <col min="513" max="513" width="13.1640625" style="117" customWidth="1"/>
    <col min="514" max="514" width="3.83203125" style="117" customWidth="1"/>
    <col min="515" max="515" width="15" style="117" customWidth="1"/>
    <col min="516" max="516" width="3.6640625" style="117" customWidth="1"/>
    <col min="517" max="518" width="13" style="117" customWidth="1"/>
    <col min="519" max="519" width="0" style="117" hidden="1" customWidth="1"/>
    <col min="520" max="521" width="9.33203125" style="117"/>
    <col min="522" max="522" width="15.83203125" style="117" customWidth="1"/>
    <col min="523" max="761" width="9.33203125" style="117"/>
    <col min="762" max="762" width="5" style="117" customWidth="1"/>
    <col min="763" max="763" width="9.33203125" style="117"/>
    <col min="764" max="764" width="21.6640625" style="117" customWidth="1"/>
    <col min="765" max="765" width="13.5" style="117" customWidth="1"/>
    <col min="766" max="766" width="10.5" style="117" customWidth="1"/>
    <col min="767" max="767" width="15.1640625" style="117" customWidth="1"/>
    <col min="768" max="768" width="3.6640625" style="117" customWidth="1"/>
    <col min="769" max="769" width="13.1640625" style="117" customWidth="1"/>
    <col min="770" max="770" width="3.83203125" style="117" customWidth="1"/>
    <col min="771" max="771" width="15" style="117" customWidth="1"/>
    <col min="772" max="772" width="3.6640625" style="117" customWidth="1"/>
    <col min="773" max="774" width="13" style="117" customWidth="1"/>
    <col min="775" max="775" width="0" style="117" hidden="1" customWidth="1"/>
    <col min="776" max="777" width="9.33203125" style="117"/>
    <col min="778" max="778" width="15.83203125" style="117" customWidth="1"/>
    <col min="779" max="1017" width="9.33203125" style="117"/>
    <col min="1018" max="1018" width="5" style="117" customWidth="1"/>
    <col min="1019" max="1019" width="9.33203125" style="117"/>
    <col min="1020" max="1020" width="21.6640625" style="117" customWidth="1"/>
    <col min="1021" max="1021" width="13.5" style="117" customWidth="1"/>
    <col min="1022" max="1022" width="10.5" style="117" customWidth="1"/>
    <col min="1023" max="1023" width="15.1640625" style="117" customWidth="1"/>
    <col min="1024" max="1024" width="3.6640625" style="117" customWidth="1"/>
    <col min="1025" max="1025" width="13.1640625" style="117" customWidth="1"/>
    <col min="1026" max="1026" width="3.83203125" style="117" customWidth="1"/>
    <col min="1027" max="1027" width="15" style="117" customWidth="1"/>
    <col min="1028" max="1028" width="3.6640625" style="117" customWidth="1"/>
    <col min="1029" max="1030" width="13" style="117" customWidth="1"/>
    <col min="1031" max="1031" width="0" style="117" hidden="1" customWidth="1"/>
    <col min="1032" max="1033" width="9.33203125" style="117"/>
    <col min="1034" max="1034" width="15.83203125" style="117" customWidth="1"/>
    <col min="1035" max="1273" width="9.33203125" style="117"/>
    <col min="1274" max="1274" width="5" style="117" customWidth="1"/>
    <col min="1275" max="1275" width="9.33203125" style="117"/>
    <col min="1276" max="1276" width="21.6640625" style="117" customWidth="1"/>
    <col min="1277" max="1277" width="13.5" style="117" customWidth="1"/>
    <col min="1278" max="1278" width="10.5" style="117" customWidth="1"/>
    <col min="1279" max="1279" width="15.1640625" style="117" customWidth="1"/>
    <col min="1280" max="1280" width="3.6640625" style="117" customWidth="1"/>
    <col min="1281" max="1281" width="13.1640625" style="117" customWidth="1"/>
    <col min="1282" max="1282" width="3.83203125" style="117" customWidth="1"/>
    <col min="1283" max="1283" width="15" style="117" customWidth="1"/>
    <col min="1284" max="1284" width="3.6640625" style="117" customWidth="1"/>
    <col min="1285" max="1286" width="13" style="117" customWidth="1"/>
    <col min="1287" max="1287" width="0" style="117" hidden="1" customWidth="1"/>
    <col min="1288" max="1289" width="9.33203125" style="117"/>
    <col min="1290" max="1290" width="15.83203125" style="117" customWidth="1"/>
    <col min="1291" max="1529" width="9.33203125" style="117"/>
    <col min="1530" max="1530" width="5" style="117" customWidth="1"/>
    <col min="1531" max="1531" width="9.33203125" style="117"/>
    <col min="1532" max="1532" width="21.6640625" style="117" customWidth="1"/>
    <col min="1533" max="1533" width="13.5" style="117" customWidth="1"/>
    <col min="1534" max="1534" width="10.5" style="117" customWidth="1"/>
    <col min="1535" max="1535" width="15.1640625" style="117" customWidth="1"/>
    <col min="1536" max="1536" width="3.6640625" style="117" customWidth="1"/>
    <col min="1537" max="1537" width="13.1640625" style="117" customWidth="1"/>
    <col min="1538" max="1538" width="3.83203125" style="117" customWidth="1"/>
    <col min="1539" max="1539" width="15" style="117" customWidth="1"/>
    <col min="1540" max="1540" width="3.6640625" style="117" customWidth="1"/>
    <col min="1541" max="1542" width="13" style="117" customWidth="1"/>
    <col min="1543" max="1543" width="0" style="117" hidden="1" customWidth="1"/>
    <col min="1544" max="1545" width="9.33203125" style="117"/>
    <col min="1546" max="1546" width="15.83203125" style="117" customWidth="1"/>
    <col min="1547" max="1785" width="9.33203125" style="117"/>
    <col min="1786" max="1786" width="5" style="117" customWidth="1"/>
    <col min="1787" max="1787" width="9.33203125" style="117"/>
    <col min="1788" max="1788" width="21.6640625" style="117" customWidth="1"/>
    <col min="1789" max="1789" width="13.5" style="117" customWidth="1"/>
    <col min="1790" max="1790" width="10.5" style="117" customWidth="1"/>
    <col min="1791" max="1791" width="15.1640625" style="117" customWidth="1"/>
    <col min="1792" max="1792" width="3.6640625" style="117" customWidth="1"/>
    <col min="1793" max="1793" width="13.1640625" style="117" customWidth="1"/>
    <col min="1794" max="1794" width="3.83203125" style="117" customWidth="1"/>
    <col min="1795" max="1795" width="15" style="117" customWidth="1"/>
    <col min="1796" max="1796" width="3.6640625" style="117" customWidth="1"/>
    <col min="1797" max="1798" width="13" style="117" customWidth="1"/>
    <col min="1799" max="1799" width="0" style="117" hidden="1" customWidth="1"/>
    <col min="1800" max="1801" width="9.33203125" style="117"/>
    <col min="1802" max="1802" width="15.83203125" style="117" customWidth="1"/>
    <col min="1803" max="2041" width="9.33203125" style="117"/>
    <col min="2042" max="2042" width="5" style="117" customWidth="1"/>
    <col min="2043" max="2043" width="9.33203125" style="117"/>
    <col min="2044" max="2044" width="21.6640625" style="117" customWidth="1"/>
    <col min="2045" max="2045" width="13.5" style="117" customWidth="1"/>
    <col min="2046" max="2046" width="10.5" style="117" customWidth="1"/>
    <col min="2047" max="2047" width="15.1640625" style="117" customWidth="1"/>
    <col min="2048" max="2048" width="3.6640625" style="117" customWidth="1"/>
    <col min="2049" max="2049" width="13.1640625" style="117" customWidth="1"/>
    <col min="2050" max="2050" width="3.83203125" style="117" customWidth="1"/>
    <col min="2051" max="2051" width="15" style="117" customWidth="1"/>
    <col min="2052" max="2052" width="3.6640625" style="117" customWidth="1"/>
    <col min="2053" max="2054" width="13" style="117" customWidth="1"/>
    <col min="2055" max="2055" width="0" style="117" hidden="1" customWidth="1"/>
    <col min="2056" max="2057" width="9.33203125" style="117"/>
    <col min="2058" max="2058" width="15.83203125" style="117" customWidth="1"/>
    <col min="2059" max="2297" width="9.33203125" style="117"/>
    <col min="2298" max="2298" width="5" style="117" customWidth="1"/>
    <col min="2299" max="2299" width="9.33203125" style="117"/>
    <col min="2300" max="2300" width="21.6640625" style="117" customWidth="1"/>
    <col min="2301" max="2301" width="13.5" style="117" customWidth="1"/>
    <col min="2302" max="2302" width="10.5" style="117" customWidth="1"/>
    <col min="2303" max="2303" width="15.1640625" style="117" customWidth="1"/>
    <col min="2304" max="2304" width="3.6640625" style="117" customWidth="1"/>
    <col min="2305" max="2305" width="13.1640625" style="117" customWidth="1"/>
    <col min="2306" max="2306" width="3.83203125" style="117" customWidth="1"/>
    <col min="2307" max="2307" width="15" style="117" customWidth="1"/>
    <col min="2308" max="2308" width="3.6640625" style="117" customWidth="1"/>
    <col min="2309" max="2310" width="13" style="117" customWidth="1"/>
    <col min="2311" max="2311" width="0" style="117" hidden="1" customWidth="1"/>
    <col min="2312" max="2313" width="9.33203125" style="117"/>
    <col min="2314" max="2314" width="15.83203125" style="117" customWidth="1"/>
    <col min="2315" max="2553" width="9.33203125" style="117"/>
    <col min="2554" max="2554" width="5" style="117" customWidth="1"/>
    <col min="2555" max="2555" width="9.33203125" style="117"/>
    <col min="2556" max="2556" width="21.6640625" style="117" customWidth="1"/>
    <col min="2557" max="2557" width="13.5" style="117" customWidth="1"/>
    <col min="2558" max="2558" width="10.5" style="117" customWidth="1"/>
    <col min="2559" max="2559" width="15.1640625" style="117" customWidth="1"/>
    <col min="2560" max="2560" width="3.6640625" style="117" customWidth="1"/>
    <col min="2561" max="2561" width="13.1640625" style="117" customWidth="1"/>
    <col min="2562" max="2562" width="3.83203125" style="117" customWidth="1"/>
    <col min="2563" max="2563" width="15" style="117" customWidth="1"/>
    <col min="2564" max="2564" width="3.6640625" style="117" customWidth="1"/>
    <col min="2565" max="2566" width="13" style="117" customWidth="1"/>
    <col min="2567" max="2567" width="0" style="117" hidden="1" customWidth="1"/>
    <col min="2568" max="2569" width="9.33203125" style="117"/>
    <col min="2570" max="2570" width="15.83203125" style="117" customWidth="1"/>
    <col min="2571" max="2809" width="9.33203125" style="117"/>
    <col min="2810" max="2810" width="5" style="117" customWidth="1"/>
    <col min="2811" max="2811" width="9.33203125" style="117"/>
    <col min="2812" max="2812" width="21.6640625" style="117" customWidth="1"/>
    <col min="2813" max="2813" width="13.5" style="117" customWidth="1"/>
    <col min="2814" max="2814" width="10.5" style="117" customWidth="1"/>
    <col min="2815" max="2815" width="15.1640625" style="117" customWidth="1"/>
    <col min="2816" max="2816" width="3.6640625" style="117" customWidth="1"/>
    <col min="2817" max="2817" width="13.1640625" style="117" customWidth="1"/>
    <col min="2818" max="2818" width="3.83203125" style="117" customWidth="1"/>
    <col min="2819" max="2819" width="15" style="117" customWidth="1"/>
    <col min="2820" max="2820" width="3.6640625" style="117" customWidth="1"/>
    <col min="2821" max="2822" width="13" style="117" customWidth="1"/>
    <col min="2823" max="2823" width="0" style="117" hidden="1" customWidth="1"/>
    <col min="2824" max="2825" width="9.33203125" style="117"/>
    <col min="2826" max="2826" width="15.83203125" style="117" customWidth="1"/>
    <col min="2827" max="3065" width="9.33203125" style="117"/>
    <col min="3066" max="3066" width="5" style="117" customWidth="1"/>
    <col min="3067" max="3067" width="9.33203125" style="117"/>
    <col min="3068" max="3068" width="21.6640625" style="117" customWidth="1"/>
    <col min="3069" max="3069" width="13.5" style="117" customWidth="1"/>
    <col min="3070" max="3070" width="10.5" style="117" customWidth="1"/>
    <col min="3071" max="3071" width="15.1640625" style="117" customWidth="1"/>
    <col min="3072" max="3072" width="3.6640625" style="117" customWidth="1"/>
    <col min="3073" max="3073" width="13.1640625" style="117" customWidth="1"/>
    <col min="3074" max="3074" width="3.83203125" style="117" customWidth="1"/>
    <col min="3075" max="3075" width="15" style="117" customWidth="1"/>
    <col min="3076" max="3076" width="3.6640625" style="117" customWidth="1"/>
    <col min="3077" max="3078" width="13" style="117" customWidth="1"/>
    <col min="3079" max="3079" width="0" style="117" hidden="1" customWidth="1"/>
    <col min="3080" max="3081" width="9.33203125" style="117"/>
    <col min="3082" max="3082" width="15.83203125" style="117" customWidth="1"/>
    <col min="3083" max="3321" width="9.33203125" style="117"/>
    <col min="3322" max="3322" width="5" style="117" customWidth="1"/>
    <col min="3323" max="3323" width="9.33203125" style="117"/>
    <col min="3324" max="3324" width="21.6640625" style="117" customWidth="1"/>
    <col min="3325" max="3325" width="13.5" style="117" customWidth="1"/>
    <col min="3326" max="3326" width="10.5" style="117" customWidth="1"/>
    <col min="3327" max="3327" width="15.1640625" style="117" customWidth="1"/>
    <col min="3328" max="3328" width="3.6640625" style="117" customWidth="1"/>
    <col min="3329" max="3329" width="13.1640625" style="117" customWidth="1"/>
    <col min="3330" max="3330" width="3.83203125" style="117" customWidth="1"/>
    <col min="3331" max="3331" width="15" style="117" customWidth="1"/>
    <col min="3332" max="3332" width="3.6640625" style="117" customWidth="1"/>
    <col min="3333" max="3334" width="13" style="117" customWidth="1"/>
    <col min="3335" max="3335" width="0" style="117" hidden="1" customWidth="1"/>
    <col min="3336" max="3337" width="9.33203125" style="117"/>
    <col min="3338" max="3338" width="15.83203125" style="117" customWidth="1"/>
    <col min="3339" max="3577" width="9.33203125" style="117"/>
    <col min="3578" max="3578" width="5" style="117" customWidth="1"/>
    <col min="3579" max="3579" width="9.33203125" style="117"/>
    <col min="3580" max="3580" width="21.6640625" style="117" customWidth="1"/>
    <col min="3581" max="3581" width="13.5" style="117" customWidth="1"/>
    <col min="3582" max="3582" width="10.5" style="117" customWidth="1"/>
    <col min="3583" max="3583" width="15.1640625" style="117" customWidth="1"/>
    <col min="3584" max="3584" width="3.6640625" style="117" customWidth="1"/>
    <col min="3585" max="3585" width="13.1640625" style="117" customWidth="1"/>
    <col min="3586" max="3586" width="3.83203125" style="117" customWidth="1"/>
    <col min="3587" max="3587" width="15" style="117" customWidth="1"/>
    <col min="3588" max="3588" width="3.6640625" style="117" customWidth="1"/>
    <col min="3589" max="3590" width="13" style="117" customWidth="1"/>
    <col min="3591" max="3591" width="0" style="117" hidden="1" customWidth="1"/>
    <col min="3592" max="3593" width="9.33203125" style="117"/>
    <col min="3594" max="3594" width="15.83203125" style="117" customWidth="1"/>
    <col min="3595" max="3833" width="9.33203125" style="117"/>
    <col min="3834" max="3834" width="5" style="117" customWidth="1"/>
    <col min="3835" max="3835" width="9.33203125" style="117"/>
    <col min="3836" max="3836" width="21.6640625" style="117" customWidth="1"/>
    <col min="3837" max="3837" width="13.5" style="117" customWidth="1"/>
    <col min="3838" max="3838" width="10.5" style="117" customWidth="1"/>
    <col min="3839" max="3839" width="15.1640625" style="117" customWidth="1"/>
    <col min="3840" max="3840" width="3.6640625" style="117" customWidth="1"/>
    <col min="3841" max="3841" width="13.1640625" style="117" customWidth="1"/>
    <col min="3842" max="3842" width="3.83203125" style="117" customWidth="1"/>
    <col min="3843" max="3843" width="15" style="117" customWidth="1"/>
    <col min="3844" max="3844" width="3.6640625" style="117" customWidth="1"/>
    <col min="3845" max="3846" width="13" style="117" customWidth="1"/>
    <col min="3847" max="3847" width="0" style="117" hidden="1" customWidth="1"/>
    <col min="3848" max="3849" width="9.33203125" style="117"/>
    <col min="3850" max="3850" width="15.83203125" style="117" customWidth="1"/>
    <col min="3851" max="4089" width="9.33203125" style="117"/>
    <col min="4090" max="4090" width="5" style="117" customWidth="1"/>
    <col min="4091" max="4091" width="9.33203125" style="117"/>
    <col min="4092" max="4092" width="21.6640625" style="117" customWidth="1"/>
    <col min="4093" max="4093" width="13.5" style="117" customWidth="1"/>
    <col min="4094" max="4094" width="10.5" style="117" customWidth="1"/>
    <col min="4095" max="4095" width="15.1640625" style="117" customWidth="1"/>
    <col min="4096" max="4096" width="3.6640625" style="117" customWidth="1"/>
    <col min="4097" max="4097" width="13.1640625" style="117" customWidth="1"/>
    <col min="4098" max="4098" width="3.83203125" style="117" customWidth="1"/>
    <col min="4099" max="4099" width="15" style="117" customWidth="1"/>
    <col min="4100" max="4100" width="3.6640625" style="117" customWidth="1"/>
    <col min="4101" max="4102" width="13" style="117" customWidth="1"/>
    <col min="4103" max="4103" width="0" style="117" hidden="1" customWidth="1"/>
    <col min="4104" max="4105" width="9.33203125" style="117"/>
    <col min="4106" max="4106" width="15.83203125" style="117" customWidth="1"/>
    <col min="4107" max="4345" width="9.33203125" style="117"/>
    <col min="4346" max="4346" width="5" style="117" customWidth="1"/>
    <col min="4347" max="4347" width="9.33203125" style="117"/>
    <col min="4348" max="4348" width="21.6640625" style="117" customWidth="1"/>
    <col min="4349" max="4349" width="13.5" style="117" customWidth="1"/>
    <col min="4350" max="4350" width="10.5" style="117" customWidth="1"/>
    <col min="4351" max="4351" width="15.1640625" style="117" customWidth="1"/>
    <col min="4352" max="4352" width="3.6640625" style="117" customWidth="1"/>
    <col min="4353" max="4353" width="13.1640625" style="117" customWidth="1"/>
    <col min="4354" max="4354" width="3.83203125" style="117" customWidth="1"/>
    <col min="4355" max="4355" width="15" style="117" customWidth="1"/>
    <col min="4356" max="4356" width="3.6640625" style="117" customWidth="1"/>
    <col min="4357" max="4358" width="13" style="117" customWidth="1"/>
    <col min="4359" max="4359" width="0" style="117" hidden="1" customWidth="1"/>
    <col min="4360" max="4361" width="9.33203125" style="117"/>
    <col min="4362" max="4362" width="15.83203125" style="117" customWidth="1"/>
    <col min="4363" max="4601" width="9.33203125" style="117"/>
    <col min="4602" max="4602" width="5" style="117" customWidth="1"/>
    <col min="4603" max="4603" width="9.33203125" style="117"/>
    <col min="4604" max="4604" width="21.6640625" style="117" customWidth="1"/>
    <col min="4605" max="4605" width="13.5" style="117" customWidth="1"/>
    <col min="4606" max="4606" width="10.5" style="117" customWidth="1"/>
    <col min="4607" max="4607" width="15.1640625" style="117" customWidth="1"/>
    <col min="4608" max="4608" width="3.6640625" style="117" customWidth="1"/>
    <col min="4609" max="4609" width="13.1640625" style="117" customWidth="1"/>
    <col min="4610" max="4610" width="3.83203125" style="117" customWidth="1"/>
    <col min="4611" max="4611" width="15" style="117" customWidth="1"/>
    <col min="4612" max="4612" width="3.6640625" style="117" customWidth="1"/>
    <col min="4613" max="4614" width="13" style="117" customWidth="1"/>
    <col min="4615" max="4615" width="0" style="117" hidden="1" customWidth="1"/>
    <col min="4616" max="4617" width="9.33203125" style="117"/>
    <col min="4618" max="4618" width="15.83203125" style="117" customWidth="1"/>
    <col min="4619" max="4857" width="9.33203125" style="117"/>
    <col min="4858" max="4858" width="5" style="117" customWidth="1"/>
    <col min="4859" max="4859" width="9.33203125" style="117"/>
    <col min="4860" max="4860" width="21.6640625" style="117" customWidth="1"/>
    <col min="4861" max="4861" width="13.5" style="117" customWidth="1"/>
    <col min="4862" max="4862" width="10.5" style="117" customWidth="1"/>
    <col min="4863" max="4863" width="15.1640625" style="117" customWidth="1"/>
    <col min="4864" max="4864" width="3.6640625" style="117" customWidth="1"/>
    <col min="4865" max="4865" width="13.1640625" style="117" customWidth="1"/>
    <col min="4866" max="4866" width="3.83203125" style="117" customWidth="1"/>
    <col min="4867" max="4867" width="15" style="117" customWidth="1"/>
    <col min="4868" max="4868" width="3.6640625" style="117" customWidth="1"/>
    <col min="4869" max="4870" width="13" style="117" customWidth="1"/>
    <col min="4871" max="4871" width="0" style="117" hidden="1" customWidth="1"/>
    <col min="4872" max="4873" width="9.33203125" style="117"/>
    <col min="4874" max="4874" width="15.83203125" style="117" customWidth="1"/>
    <col min="4875" max="5113" width="9.33203125" style="117"/>
    <col min="5114" max="5114" width="5" style="117" customWidth="1"/>
    <col min="5115" max="5115" width="9.33203125" style="117"/>
    <col min="5116" max="5116" width="21.6640625" style="117" customWidth="1"/>
    <col min="5117" max="5117" width="13.5" style="117" customWidth="1"/>
    <col min="5118" max="5118" width="10.5" style="117" customWidth="1"/>
    <col min="5119" max="5119" width="15.1640625" style="117" customWidth="1"/>
    <col min="5120" max="5120" width="3.6640625" style="117" customWidth="1"/>
    <col min="5121" max="5121" width="13.1640625" style="117" customWidth="1"/>
    <col min="5122" max="5122" width="3.83203125" style="117" customWidth="1"/>
    <col min="5123" max="5123" width="15" style="117" customWidth="1"/>
    <col min="5124" max="5124" width="3.6640625" style="117" customWidth="1"/>
    <col min="5125" max="5126" width="13" style="117" customWidth="1"/>
    <col min="5127" max="5127" width="0" style="117" hidden="1" customWidth="1"/>
    <col min="5128" max="5129" width="9.33203125" style="117"/>
    <col min="5130" max="5130" width="15.83203125" style="117" customWidth="1"/>
    <col min="5131" max="5369" width="9.33203125" style="117"/>
    <col min="5370" max="5370" width="5" style="117" customWidth="1"/>
    <col min="5371" max="5371" width="9.33203125" style="117"/>
    <col min="5372" max="5372" width="21.6640625" style="117" customWidth="1"/>
    <col min="5373" max="5373" width="13.5" style="117" customWidth="1"/>
    <col min="5374" max="5374" width="10.5" style="117" customWidth="1"/>
    <col min="5375" max="5375" width="15.1640625" style="117" customWidth="1"/>
    <col min="5376" max="5376" width="3.6640625" style="117" customWidth="1"/>
    <col min="5377" max="5377" width="13.1640625" style="117" customWidth="1"/>
    <col min="5378" max="5378" width="3.83203125" style="117" customWidth="1"/>
    <col min="5379" max="5379" width="15" style="117" customWidth="1"/>
    <col min="5380" max="5380" width="3.6640625" style="117" customWidth="1"/>
    <col min="5381" max="5382" width="13" style="117" customWidth="1"/>
    <col min="5383" max="5383" width="0" style="117" hidden="1" customWidth="1"/>
    <col min="5384" max="5385" width="9.33203125" style="117"/>
    <col min="5386" max="5386" width="15.83203125" style="117" customWidth="1"/>
    <col min="5387" max="5625" width="9.33203125" style="117"/>
    <col min="5626" max="5626" width="5" style="117" customWidth="1"/>
    <col min="5627" max="5627" width="9.33203125" style="117"/>
    <col min="5628" max="5628" width="21.6640625" style="117" customWidth="1"/>
    <col min="5629" max="5629" width="13.5" style="117" customWidth="1"/>
    <col min="5630" max="5630" width="10.5" style="117" customWidth="1"/>
    <col min="5631" max="5631" width="15.1640625" style="117" customWidth="1"/>
    <col min="5632" max="5632" width="3.6640625" style="117" customWidth="1"/>
    <col min="5633" max="5633" width="13.1640625" style="117" customWidth="1"/>
    <col min="5634" max="5634" width="3.83203125" style="117" customWidth="1"/>
    <col min="5635" max="5635" width="15" style="117" customWidth="1"/>
    <col min="5636" max="5636" width="3.6640625" style="117" customWidth="1"/>
    <col min="5637" max="5638" width="13" style="117" customWidth="1"/>
    <col min="5639" max="5639" width="0" style="117" hidden="1" customWidth="1"/>
    <col min="5640" max="5641" width="9.33203125" style="117"/>
    <col min="5642" max="5642" width="15.83203125" style="117" customWidth="1"/>
    <col min="5643" max="5881" width="9.33203125" style="117"/>
    <col min="5882" max="5882" width="5" style="117" customWidth="1"/>
    <col min="5883" max="5883" width="9.33203125" style="117"/>
    <col min="5884" max="5884" width="21.6640625" style="117" customWidth="1"/>
    <col min="5885" max="5885" width="13.5" style="117" customWidth="1"/>
    <col min="5886" max="5886" width="10.5" style="117" customWidth="1"/>
    <col min="5887" max="5887" width="15.1640625" style="117" customWidth="1"/>
    <col min="5888" max="5888" width="3.6640625" style="117" customWidth="1"/>
    <col min="5889" max="5889" width="13.1640625" style="117" customWidth="1"/>
    <col min="5890" max="5890" width="3.83203125" style="117" customWidth="1"/>
    <col min="5891" max="5891" width="15" style="117" customWidth="1"/>
    <col min="5892" max="5892" width="3.6640625" style="117" customWidth="1"/>
    <col min="5893" max="5894" width="13" style="117" customWidth="1"/>
    <col min="5895" max="5895" width="0" style="117" hidden="1" customWidth="1"/>
    <col min="5896" max="5897" width="9.33203125" style="117"/>
    <col min="5898" max="5898" width="15.83203125" style="117" customWidth="1"/>
    <col min="5899" max="6137" width="9.33203125" style="117"/>
    <col min="6138" max="6138" width="5" style="117" customWidth="1"/>
    <col min="6139" max="6139" width="9.33203125" style="117"/>
    <col min="6140" max="6140" width="21.6640625" style="117" customWidth="1"/>
    <col min="6141" max="6141" width="13.5" style="117" customWidth="1"/>
    <col min="6142" max="6142" width="10.5" style="117" customWidth="1"/>
    <col min="6143" max="6143" width="15.1640625" style="117" customWidth="1"/>
    <col min="6144" max="6144" width="3.6640625" style="117" customWidth="1"/>
    <col min="6145" max="6145" width="13.1640625" style="117" customWidth="1"/>
    <col min="6146" max="6146" width="3.83203125" style="117" customWidth="1"/>
    <col min="6147" max="6147" width="15" style="117" customWidth="1"/>
    <col min="6148" max="6148" width="3.6640625" style="117" customWidth="1"/>
    <col min="6149" max="6150" width="13" style="117" customWidth="1"/>
    <col min="6151" max="6151" width="0" style="117" hidden="1" customWidth="1"/>
    <col min="6152" max="6153" width="9.33203125" style="117"/>
    <col min="6154" max="6154" width="15.83203125" style="117" customWidth="1"/>
    <col min="6155" max="6393" width="9.33203125" style="117"/>
    <col min="6394" max="6394" width="5" style="117" customWidth="1"/>
    <col min="6395" max="6395" width="9.33203125" style="117"/>
    <col min="6396" max="6396" width="21.6640625" style="117" customWidth="1"/>
    <col min="6397" max="6397" width="13.5" style="117" customWidth="1"/>
    <col min="6398" max="6398" width="10.5" style="117" customWidth="1"/>
    <col min="6399" max="6399" width="15.1640625" style="117" customWidth="1"/>
    <col min="6400" max="6400" width="3.6640625" style="117" customWidth="1"/>
    <col min="6401" max="6401" width="13.1640625" style="117" customWidth="1"/>
    <col min="6402" max="6402" width="3.83203125" style="117" customWidth="1"/>
    <col min="6403" max="6403" width="15" style="117" customWidth="1"/>
    <col min="6404" max="6404" width="3.6640625" style="117" customWidth="1"/>
    <col min="6405" max="6406" width="13" style="117" customWidth="1"/>
    <col min="6407" max="6407" width="0" style="117" hidden="1" customWidth="1"/>
    <col min="6408" max="6409" width="9.33203125" style="117"/>
    <col min="6410" max="6410" width="15.83203125" style="117" customWidth="1"/>
    <col min="6411" max="6649" width="9.33203125" style="117"/>
    <col min="6650" max="6650" width="5" style="117" customWidth="1"/>
    <col min="6651" max="6651" width="9.33203125" style="117"/>
    <col min="6652" max="6652" width="21.6640625" style="117" customWidth="1"/>
    <col min="6653" max="6653" width="13.5" style="117" customWidth="1"/>
    <col min="6654" max="6654" width="10.5" style="117" customWidth="1"/>
    <col min="6655" max="6655" width="15.1640625" style="117" customWidth="1"/>
    <col min="6656" max="6656" width="3.6640625" style="117" customWidth="1"/>
    <col min="6657" max="6657" width="13.1640625" style="117" customWidth="1"/>
    <col min="6658" max="6658" width="3.83203125" style="117" customWidth="1"/>
    <col min="6659" max="6659" width="15" style="117" customWidth="1"/>
    <col min="6660" max="6660" width="3.6640625" style="117" customWidth="1"/>
    <col min="6661" max="6662" width="13" style="117" customWidth="1"/>
    <col min="6663" max="6663" width="0" style="117" hidden="1" customWidth="1"/>
    <col min="6664" max="6665" width="9.33203125" style="117"/>
    <col min="6666" max="6666" width="15.83203125" style="117" customWidth="1"/>
    <col min="6667" max="6905" width="9.33203125" style="117"/>
    <col min="6906" max="6906" width="5" style="117" customWidth="1"/>
    <col min="6907" max="6907" width="9.33203125" style="117"/>
    <col min="6908" max="6908" width="21.6640625" style="117" customWidth="1"/>
    <col min="6909" max="6909" width="13.5" style="117" customWidth="1"/>
    <col min="6910" max="6910" width="10.5" style="117" customWidth="1"/>
    <col min="6911" max="6911" width="15.1640625" style="117" customWidth="1"/>
    <col min="6912" max="6912" width="3.6640625" style="117" customWidth="1"/>
    <col min="6913" max="6913" width="13.1640625" style="117" customWidth="1"/>
    <col min="6914" max="6914" width="3.83203125" style="117" customWidth="1"/>
    <col min="6915" max="6915" width="15" style="117" customWidth="1"/>
    <col min="6916" max="6916" width="3.6640625" style="117" customWidth="1"/>
    <col min="6917" max="6918" width="13" style="117" customWidth="1"/>
    <col min="6919" max="6919" width="0" style="117" hidden="1" customWidth="1"/>
    <col min="6920" max="6921" width="9.33203125" style="117"/>
    <col min="6922" max="6922" width="15.83203125" style="117" customWidth="1"/>
    <col min="6923" max="7161" width="9.33203125" style="117"/>
    <col min="7162" max="7162" width="5" style="117" customWidth="1"/>
    <col min="7163" max="7163" width="9.33203125" style="117"/>
    <col min="7164" max="7164" width="21.6640625" style="117" customWidth="1"/>
    <col min="7165" max="7165" width="13.5" style="117" customWidth="1"/>
    <col min="7166" max="7166" width="10.5" style="117" customWidth="1"/>
    <col min="7167" max="7167" width="15.1640625" style="117" customWidth="1"/>
    <col min="7168" max="7168" width="3.6640625" style="117" customWidth="1"/>
    <col min="7169" max="7169" width="13.1640625" style="117" customWidth="1"/>
    <col min="7170" max="7170" width="3.83203125" style="117" customWidth="1"/>
    <col min="7171" max="7171" width="15" style="117" customWidth="1"/>
    <col min="7172" max="7172" width="3.6640625" style="117" customWidth="1"/>
    <col min="7173" max="7174" width="13" style="117" customWidth="1"/>
    <col min="7175" max="7175" width="0" style="117" hidden="1" customWidth="1"/>
    <col min="7176" max="7177" width="9.33203125" style="117"/>
    <col min="7178" max="7178" width="15.83203125" style="117" customWidth="1"/>
    <col min="7179" max="7417" width="9.33203125" style="117"/>
    <col min="7418" max="7418" width="5" style="117" customWidth="1"/>
    <col min="7419" max="7419" width="9.33203125" style="117"/>
    <col min="7420" max="7420" width="21.6640625" style="117" customWidth="1"/>
    <col min="7421" max="7421" width="13.5" style="117" customWidth="1"/>
    <col min="7422" max="7422" width="10.5" style="117" customWidth="1"/>
    <col min="7423" max="7423" width="15.1640625" style="117" customWidth="1"/>
    <col min="7424" max="7424" width="3.6640625" style="117" customWidth="1"/>
    <col min="7425" max="7425" width="13.1640625" style="117" customWidth="1"/>
    <col min="7426" max="7426" width="3.83203125" style="117" customWidth="1"/>
    <col min="7427" max="7427" width="15" style="117" customWidth="1"/>
    <col min="7428" max="7428" width="3.6640625" style="117" customWidth="1"/>
    <col min="7429" max="7430" width="13" style="117" customWidth="1"/>
    <col min="7431" max="7431" width="0" style="117" hidden="1" customWidth="1"/>
    <col min="7432" max="7433" width="9.33203125" style="117"/>
    <col min="7434" max="7434" width="15.83203125" style="117" customWidth="1"/>
    <col min="7435" max="7673" width="9.33203125" style="117"/>
    <col min="7674" max="7674" width="5" style="117" customWidth="1"/>
    <col min="7675" max="7675" width="9.33203125" style="117"/>
    <col min="7676" max="7676" width="21.6640625" style="117" customWidth="1"/>
    <col min="7677" max="7677" width="13.5" style="117" customWidth="1"/>
    <col min="7678" max="7678" width="10.5" style="117" customWidth="1"/>
    <col min="7679" max="7679" width="15.1640625" style="117" customWidth="1"/>
    <col min="7680" max="7680" width="3.6640625" style="117" customWidth="1"/>
    <col min="7681" max="7681" width="13.1640625" style="117" customWidth="1"/>
    <col min="7682" max="7682" width="3.83203125" style="117" customWidth="1"/>
    <col min="7683" max="7683" width="15" style="117" customWidth="1"/>
    <col min="7684" max="7684" width="3.6640625" style="117" customWidth="1"/>
    <col min="7685" max="7686" width="13" style="117" customWidth="1"/>
    <col min="7687" max="7687" width="0" style="117" hidden="1" customWidth="1"/>
    <col min="7688" max="7689" width="9.33203125" style="117"/>
    <col min="7690" max="7690" width="15.83203125" style="117" customWidth="1"/>
    <col min="7691" max="7929" width="9.33203125" style="117"/>
    <col min="7930" max="7930" width="5" style="117" customWidth="1"/>
    <col min="7931" max="7931" width="9.33203125" style="117"/>
    <col min="7932" max="7932" width="21.6640625" style="117" customWidth="1"/>
    <col min="7933" max="7933" width="13.5" style="117" customWidth="1"/>
    <col min="7934" max="7934" width="10.5" style="117" customWidth="1"/>
    <col min="7935" max="7935" width="15.1640625" style="117" customWidth="1"/>
    <col min="7936" max="7936" width="3.6640625" style="117" customWidth="1"/>
    <col min="7937" max="7937" width="13.1640625" style="117" customWidth="1"/>
    <col min="7938" max="7938" width="3.83203125" style="117" customWidth="1"/>
    <col min="7939" max="7939" width="15" style="117" customWidth="1"/>
    <col min="7940" max="7940" width="3.6640625" style="117" customWidth="1"/>
    <col min="7941" max="7942" width="13" style="117" customWidth="1"/>
    <col min="7943" max="7943" width="0" style="117" hidden="1" customWidth="1"/>
    <col min="7944" max="7945" width="9.33203125" style="117"/>
    <col min="7946" max="7946" width="15.83203125" style="117" customWidth="1"/>
    <col min="7947" max="8185" width="9.33203125" style="117"/>
    <col min="8186" max="8186" width="5" style="117" customWidth="1"/>
    <col min="8187" max="8187" width="9.33203125" style="117"/>
    <col min="8188" max="8188" width="21.6640625" style="117" customWidth="1"/>
    <col min="8189" max="8189" width="13.5" style="117" customWidth="1"/>
    <col min="8190" max="8190" width="10.5" style="117" customWidth="1"/>
    <col min="8191" max="8191" width="15.1640625" style="117" customWidth="1"/>
    <col min="8192" max="8192" width="3.6640625" style="117" customWidth="1"/>
    <col min="8193" max="8193" width="13.1640625" style="117" customWidth="1"/>
    <col min="8194" max="8194" width="3.83203125" style="117" customWidth="1"/>
    <col min="8195" max="8195" width="15" style="117" customWidth="1"/>
    <col min="8196" max="8196" width="3.6640625" style="117" customWidth="1"/>
    <col min="8197" max="8198" width="13" style="117" customWidth="1"/>
    <col min="8199" max="8199" width="0" style="117" hidden="1" customWidth="1"/>
    <col min="8200" max="8201" width="9.33203125" style="117"/>
    <col min="8202" max="8202" width="15.83203125" style="117" customWidth="1"/>
    <col min="8203" max="8441" width="9.33203125" style="117"/>
    <col min="8442" max="8442" width="5" style="117" customWidth="1"/>
    <col min="8443" max="8443" width="9.33203125" style="117"/>
    <col min="8444" max="8444" width="21.6640625" style="117" customWidth="1"/>
    <col min="8445" max="8445" width="13.5" style="117" customWidth="1"/>
    <col min="8446" max="8446" width="10.5" style="117" customWidth="1"/>
    <col min="8447" max="8447" width="15.1640625" style="117" customWidth="1"/>
    <col min="8448" max="8448" width="3.6640625" style="117" customWidth="1"/>
    <col min="8449" max="8449" width="13.1640625" style="117" customWidth="1"/>
    <col min="8450" max="8450" width="3.83203125" style="117" customWidth="1"/>
    <col min="8451" max="8451" width="15" style="117" customWidth="1"/>
    <col min="8452" max="8452" width="3.6640625" style="117" customWidth="1"/>
    <col min="8453" max="8454" width="13" style="117" customWidth="1"/>
    <col min="8455" max="8455" width="0" style="117" hidden="1" customWidth="1"/>
    <col min="8456" max="8457" width="9.33203125" style="117"/>
    <col min="8458" max="8458" width="15.83203125" style="117" customWidth="1"/>
    <col min="8459" max="8697" width="9.33203125" style="117"/>
    <col min="8698" max="8698" width="5" style="117" customWidth="1"/>
    <col min="8699" max="8699" width="9.33203125" style="117"/>
    <col min="8700" max="8700" width="21.6640625" style="117" customWidth="1"/>
    <col min="8701" max="8701" width="13.5" style="117" customWidth="1"/>
    <col min="8702" max="8702" width="10.5" style="117" customWidth="1"/>
    <col min="8703" max="8703" width="15.1640625" style="117" customWidth="1"/>
    <col min="8704" max="8704" width="3.6640625" style="117" customWidth="1"/>
    <col min="8705" max="8705" width="13.1640625" style="117" customWidth="1"/>
    <col min="8706" max="8706" width="3.83203125" style="117" customWidth="1"/>
    <col min="8707" max="8707" width="15" style="117" customWidth="1"/>
    <col min="8708" max="8708" width="3.6640625" style="117" customWidth="1"/>
    <col min="8709" max="8710" width="13" style="117" customWidth="1"/>
    <col min="8711" max="8711" width="0" style="117" hidden="1" customWidth="1"/>
    <col min="8712" max="8713" width="9.33203125" style="117"/>
    <col min="8714" max="8714" width="15.83203125" style="117" customWidth="1"/>
    <col min="8715" max="8953" width="9.33203125" style="117"/>
    <col min="8954" max="8954" width="5" style="117" customWidth="1"/>
    <col min="8955" max="8955" width="9.33203125" style="117"/>
    <col min="8956" max="8956" width="21.6640625" style="117" customWidth="1"/>
    <col min="8957" max="8957" width="13.5" style="117" customWidth="1"/>
    <col min="8958" max="8958" width="10.5" style="117" customWidth="1"/>
    <col min="8959" max="8959" width="15.1640625" style="117" customWidth="1"/>
    <col min="8960" max="8960" width="3.6640625" style="117" customWidth="1"/>
    <col min="8961" max="8961" width="13.1640625" style="117" customWidth="1"/>
    <col min="8962" max="8962" width="3.83203125" style="117" customWidth="1"/>
    <col min="8963" max="8963" width="15" style="117" customWidth="1"/>
    <col min="8964" max="8964" width="3.6640625" style="117" customWidth="1"/>
    <col min="8965" max="8966" width="13" style="117" customWidth="1"/>
    <col min="8967" max="8967" width="0" style="117" hidden="1" customWidth="1"/>
    <col min="8968" max="8969" width="9.33203125" style="117"/>
    <col min="8970" max="8970" width="15.83203125" style="117" customWidth="1"/>
    <col min="8971" max="9209" width="9.33203125" style="117"/>
    <col min="9210" max="9210" width="5" style="117" customWidth="1"/>
    <col min="9211" max="9211" width="9.33203125" style="117"/>
    <col min="9212" max="9212" width="21.6640625" style="117" customWidth="1"/>
    <col min="9213" max="9213" width="13.5" style="117" customWidth="1"/>
    <col min="9214" max="9214" width="10.5" style="117" customWidth="1"/>
    <col min="9215" max="9215" width="15.1640625" style="117" customWidth="1"/>
    <col min="9216" max="9216" width="3.6640625" style="117" customWidth="1"/>
    <col min="9217" max="9217" width="13.1640625" style="117" customWidth="1"/>
    <col min="9218" max="9218" width="3.83203125" style="117" customWidth="1"/>
    <col min="9219" max="9219" width="15" style="117" customWidth="1"/>
    <col min="9220" max="9220" width="3.6640625" style="117" customWidth="1"/>
    <col min="9221" max="9222" width="13" style="117" customWidth="1"/>
    <col min="9223" max="9223" width="0" style="117" hidden="1" customWidth="1"/>
    <col min="9224" max="9225" width="9.33203125" style="117"/>
    <col min="9226" max="9226" width="15.83203125" style="117" customWidth="1"/>
    <col min="9227" max="9465" width="9.33203125" style="117"/>
    <col min="9466" max="9466" width="5" style="117" customWidth="1"/>
    <col min="9467" max="9467" width="9.33203125" style="117"/>
    <col min="9468" max="9468" width="21.6640625" style="117" customWidth="1"/>
    <col min="9469" max="9469" width="13.5" style="117" customWidth="1"/>
    <col min="9470" max="9470" width="10.5" style="117" customWidth="1"/>
    <col min="9471" max="9471" width="15.1640625" style="117" customWidth="1"/>
    <col min="9472" max="9472" width="3.6640625" style="117" customWidth="1"/>
    <col min="9473" max="9473" width="13.1640625" style="117" customWidth="1"/>
    <col min="9474" max="9474" width="3.83203125" style="117" customWidth="1"/>
    <col min="9475" max="9475" width="15" style="117" customWidth="1"/>
    <col min="9476" max="9476" width="3.6640625" style="117" customWidth="1"/>
    <col min="9477" max="9478" width="13" style="117" customWidth="1"/>
    <col min="9479" max="9479" width="0" style="117" hidden="1" customWidth="1"/>
    <col min="9480" max="9481" width="9.33203125" style="117"/>
    <col min="9482" max="9482" width="15.83203125" style="117" customWidth="1"/>
    <col min="9483" max="9721" width="9.33203125" style="117"/>
    <col min="9722" max="9722" width="5" style="117" customWidth="1"/>
    <col min="9723" max="9723" width="9.33203125" style="117"/>
    <col min="9724" max="9724" width="21.6640625" style="117" customWidth="1"/>
    <col min="9725" max="9725" width="13.5" style="117" customWidth="1"/>
    <col min="9726" max="9726" width="10.5" style="117" customWidth="1"/>
    <col min="9727" max="9727" width="15.1640625" style="117" customWidth="1"/>
    <col min="9728" max="9728" width="3.6640625" style="117" customWidth="1"/>
    <col min="9729" max="9729" width="13.1640625" style="117" customWidth="1"/>
    <col min="9730" max="9730" width="3.83203125" style="117" customWidth="1"/>
    <col min="9731" max="9731" width="15" style="117" customWidth="1"/>
    <col min="9732" max="9732" width="3.6640625" style="117" customWidth="1"/>
    <col min="9733" max="9734" width="13" style="117" customWidth="1"/>
    <col min="9735" max="9735" width="0" style="117" hidden="1" customWidth="1"/>
    <col min="9736" max="9737" width="9.33203125" style="117"/>
    <col min="9738" max="9738" width="15.83203125" style="117" customWidth="1"/>
    <col min="9739" max="9977" width="9.33203125" style="117"/>
    <col min="9978" max="9978" width="5" style="117" customWidth="1"/>
    <col min="9979" max="9979" width="9.33203125" style="117"/>
    <col min="9980" max="9980" width="21.6640625" style="117" customWidth="1"/>
    <col min="9981" max="9981" width="13.5" style="117" customWidth="1"/>
    <col min="9982" max="9982" width="10.5" style="117" customWidth="1"/>
    <col min="9983" max="9983" width="15.1640625" style="117" customWidth="1"/>
    <col min="9984" max="9984" width="3.6640625" style="117" customWidth="1"/>
    <col min="9985" max="9985" width="13.1640625" style="117" customWidth="1"/>
    <col min="9986" max="9986" width="3.83203125" style="117" customWidth="1"/>
    <col min="9987" max="9987" width="15" style="117" customWidth="1"/>
    <col min="9988" max="9988" width="3.6640625" style="117" customWidth="1"/>
    <col min="9989" max="9990" width="13" style="117" customWidth="1"/>
    <col min="9991" max="9991" width="0" style="117" hidden="1" customWidth="1"/>
    <col min="9992" max="9993" width="9.33203125" style="117"/>
    <col min="9994" max="9994" width="15.83203125" style="117" customWidth="1"/>
    <col min="9995" max="10233" width="9.33203125" style="117"/>
    <col min="10234" max="10234" width="5" style="117" customWidth="1"/>
    <col min="10235" max="10235" width="9.33203125" style="117"/>
    <col min="10236" max="10236" width="21.6640625" style="117" customWidth="1"/>
    <col min="10237" max="10237" width="13.5" style="117" customWidth="1"/>
    <col min="10238" max="10238" width="10.5" style="117" customWidth="1"/>
    <col min="10239" max="10239" width="15.1640625" style="117" customWidth="1"/>
    <col min="10240" max="10240" width="3.6640625" style="117" customWidth="1"/>
    <col min="10241" max="10241" width="13.1640625" style="117" customWidth="1"/>
    <col min="10242" max="10242" width="3.83203125" style="117" customWidth="1"/>
    <col min="10243" max="10243" width="15" style="117" customWidth="1"/>
    <col min="10244" max="10244" width="3.6640625" style="117" customWidth="1"/>
    <col min="10245" max="10246" width="13" style="117" customWidth="1"/>
    <col min="10247" max="10247" width="0" style="117" hidden="1" customWidth="1"/>
    <col min="10248" max="10249" width="9.33203125" style="117"/>
    <col min="10250" max="10250" width="15.83203125" style="117" customWidth="1"/>
    <col min="10251" max="10489" width="9.33203125" style="117"/>
    <col min="10490" max="10490" width="5" style="117" customWidth="1"/>
    <col min="10491" max="10491" width="9.33203125" style="117"/>
    <col min="10492" max="10492" width="21.6640625" style="117" customWidth="1"/>
    <col min="10493" max="10493" width="13.5" style="117" customWidth="1"/>
    <col min="10494" max="10494" width="10.5" style="117" customWidth="1"/>
    <col min="10495" max="10495" width="15.1640625" style="117" customWidth="1"/>
    <col min="10496" max="10496" width="3.6640625" style="117" customWidth="1"/>
    <col min="10497" max="10497" width="13.1640625" style="117" customWidth="1"/>
    <col min="10498" max="10498" width="3.83203125" style="117" customWidth="1"/>
    <col min="10499" max="10499" width="15" style="117" customWidth="1"/>
    <col min="10500" max="10500" width="3.6640625" style="117" customWidth="1"/>
    <col min="10501" max="10502" width="13" style="117" customWidth="1"/>
    <col min="10503" max="10503" width="0" style="117" hidden="1" customWidth="1"/>
    <col min="10504" max="10505" width="9.33203125" style="117"/>
    <col min="10506" max="10506" width="15.83203125" style="117" customWidth="1"/>
    <col min="10507" max="10745" width="9.33203125" style="117"/>
    <col min="10746" max="10746" width="5" style="117" customWidth="1"/>
    <col min="10747" max="10747" width="9.33203125" style="117"/>
    <col min="10748" max="10748" width="21.6640625" style="117" customWidth="1"/>
    <col min="10749" max="10749" width="13.5" style="117" customWidth="1"/>
    <col min="10750" max="10750" width="10.5" style="117" customWidth="1"/>
    <col min="10751" max="10751" width="15.1640625" style="117" customWidth="1"/>
    <col min="10752" max="10752" width="3.6640625" style="117" customWidth="1"/>
    <col min="10753" max="10753" width="13.1640625" style="117" customWidth="1"/>
    <col min="10754" max="10754" width="3.83203125" style="117" customWidth="1"/>
    <col min="10755" max="10755" width="15" style="117" customWidth="1"/>
    <col min="10756" max="10756" width="3.6640625" style="117" customWidth="1"/>
    <col min="10757" max="10758" width="13" style="117" customWidth="1"/>
    <col min="10759" max="10759" width="0" style="117" hidden="1" customWidth="1"/>
    <col min="10760" max="10761" width="9.33203125" style="117"/>
    <col min="10762" max="10762" width="15.83203125" style="117" customWidth="1"/>
    <col min="10763" max="11001" width="9.33203125" style="117"/>
    <col min="11002" max="11002" width="5" style="117" customWidth="1"/>
    <col min="11003" max="11003" width="9.33203125" style="117"/>
    <col min="11004" max="11004" width="21.6640625" style="117" customWidth="1"/>
    <col min="11005" max="11005" width="13.5" style="117" customWidth="1"/>
    <col min="11006" max="11006" width="10.5" style="117" customWidth="1"/>
    <col min="11007" max="11007" width="15.1640625" style="117" customWidth="1"/>
    <col min="11008" max="11008" width="3.6640625" style="117" customWidth="1"/>
    <col min="11009" max="11009" width="13.1640625" style="117" customWidth="1"/>
    <col min="11010" max="11010" width="3.83203125" style="117" customWidth="1"/>
    <col min="11011" max="11011" width="15" style="117" customWidth="1"/>
    <col min="11012" max="11012" width="3.6640625" style="117" customWidth="1"/>
    <col min="11013" max="11014" width="13" style="117" customWidth="1"/>
    <col min="11015" max="11015" width="0" style="117" hidden="1" customWidth="1"/>
    <col min="11016" max="11017" width="9.33203125" style="117"/>
    <col min="11018" max="11018" width="15.83203125" style="117" customWidth="1"/>
    <col min="11019" max="11257" width="9.33203125" style="117"/>
    <col min="11258" max="11258" width="5" style="117" customWidth="1"/>
    <col min="11259" max="11259" width="9.33203125" style="117"/>
    <col min="11260" max="11260" width="21.6640625" style="117" customWidth="1"/>
    <col min="11261" max="11261" width="13.5" style="117" customWidth="1"/>
    <col min="11262" max="11262" width="10.5" style="117" customWidth="1"/>
    <col min="11263" max="11263" width="15.1640625" style="117" customWidth="1"/>
    <col min="11264" max="11264" width="3.6640625" style="117" customWidth="1"/>
    <col min="11265" max="11265" width="13.1640625" style="117" customWidth="1"/>
    <col min="11266" max="11266" width="3.83203125" style="117" customWidth="1"/>
    <col min="11267" max="11267" width="15" style="117" customWidth="1"/>
    <col min="11268" max="11268" width="3.6640625" style="117" customWidth="1"/>
    <col min="11269" max="11270" width="13" style="117" customWidth="1"/>
    <col min="11271" max="11271" width="0" style="117" hidden="1" customWidth="1"/>
    <col min="11272" max="11273" width="9.33203125" style="117"/>
    <col min="11274" max="11274" width="15.83203125" style="117" customWidth="1"/>
    <col min="11275" max="11513" width="9.33203125" style="117"/>
    <col min="11514" max="11514" width="5" style="117" customWidth="1"/>
    <col min="11515" max="11515" width="9.33203125" style="117"/>
    <col min="11516" max="11516" width="21.6640625" style="117" customWidth="1"/>
    <col min="11517" max="11517" width="13.5" style="117" customWidth="1"/>
    <col min="11518" max="11518" width="10.5" style="117" customWidth="1"/>
    <col min="11519" max="11519" width="15.1640625" style="117" customWidth="1"/>
    <col min="11520" max="11520" width="3.6640625" style="117" customWidth="1"/>
    <col min="11521" max="11521" width="13.1640625" style="117" customWidth="1"/>
    <col min="11522" max="11522" width="3.83203125" style="117" customWidth="1"/>
    <col min="11523" max="11523" width="15" style="117" customWidth="1"/>
    <col min="11524" max="11524" width="3.6640625" style="117" customWidth="1"/>
    <col min="11525" max="11526" width="13" style="117" customWidth="1"/>
    <col min="11527" max="11527" width="0" style="117" hidden="1" customWidth="1"/>
    <col min="11528" max="11529" width="9.33203125" style="117"/>
    <col min="11530" max="11530" width="15.83203125" style="117" customWidth="1"/>
    <col min="11531" max="11769" width="9.33203125" style="117"/>
    <col min="11770" max="11770" width="5" style="117" customWidth="1"/>
    <col min="11771" max="11771" width="9.33203125" style="117"/>
    <col min="11772" max="11772" width="21.6640625" style="117" customWidth="1"/>
    <col min="11773" max="11773" width="13.5" style="117" customWidth="1"/>
    <col min="11774" max="11774" width="10.5" style="117" customWidth="1"/>
    <col min="11775" max="11775" width="15.1640625" style="117" customWidth="1"/>
    <col min="11776" max="11776" width="3.6640625" style="117" customWidth="1"/>
    <col min="11777" max="11777" width="13.1640625" style="117" customWidth="1"/>
    <col min="11778" max="11778" width="3.83203125" style="117" customWidth="1"/>
    <col min="11779" max="11779" width="15" style="117" customWidth="1"/>
    <col min="11780" max="11780" width="3.6640625" style="117" customWidth="1"/>
    <col min="11781" max="11782" width="13" style="117" customWidth="1"/>
    <col min="11783" max="11783" width="0" style="117" hidden="1" customWidth="1"/>
    <col min="11784" max="11785" width="9.33203125" style="117"/>
    <col min="11786" max="11786" width="15.83203125" style="117" customWidth="1"/>
    <col min="11787" max="12025" width="9.33203125" style="117"/>
    <col min="12026" max="12026" width="5" style="117" customWidth="1"/>
    <col min="12027" max="12027" width="9.33203125" style="117"/>
    <col min="12028" max="12028" width="21.6640625" style="117" customWidth="1"/>
    <col min="12029" max="12029" width="13.5" style="117" customWidth="1"/>
    <col min="12030" max="12030" width="10.5" style="117" customWidth="1"/>
    <col min="12031" max="12031" width="15.1640625" style="117" customWidth="1"/>
    <col min="12032" max="12032" width="3.6640625" style="117" customWidth="1"/>
    <col min="12033" max="12033" width="13.1640625" style="117" customWidth="1"/>
    <col min="12034" max="12034" width="3.83203125" style="117" customWidth="1"/>
    <col min="12035" max="12035" width="15" style="117" customWidth="1"/>
    <col min="12036" max="12036" width="3.6640625" style="117" customWidth="1"/>
    <col min="12037" max="12038" width="13" style="117" customWidth="1"/>
    <col min="12039" max="12039" width="0" style="117" hidden="1" customWidth="1"/>
    <col min="12040" max="12041" width="9.33203125" style="117"/>
    <col min="12042" max="12042" width="15.83203125" style="117" customWidth="1"/>
    <col min="12043" max="12281" width="9.33203125" style="117"/>
    <col min="12282" max="12282" width="5" style="117" customWidth="1"/>
    <col min="12283" max="12283" width="9.33203125" style="117"/>
    <col min="12284" max="12284" width="21.6640625" style="117" customWidth="1"/>
    <col min="12285" max="12285" width="13.5" style="117" customWidth="1"/>
    <col min="12286" max="12286" width="10.5" style="117" customWidth="1"/>
    <col min="12287" max="12287" width="15.1640625" style="117" customWidth="1"/>
    <col min="12288" max="12288" width="3.6640625" style="117" customWidth="1"/>
    <col min="12289" max="12289" width="13.1640625" style="117" customWidth="1"/>
    <col min="12290" max="12290" width="3.83203125" style="117" customWidth="1"/>
    <col min="12291" max="12291" width="15" style="117" customWidth="1"/>
    <col min="12292" max="12292" width="3.6640625" style="117" customWidth="1"/>
    <col min="12293" max="12294" width="13" style="117" customWidth="1"/>
    <col min="12295" max="12295" width="0" style="117" hidden="1" customWidth="1"/>
    <col min="12296" max="12297" width="9.33203125" style="117"/>
    <col min="12298" max="12298" width="15.83203125" style="117" customWidth="1"/>
    <col min="12299" max="12537" width="9.33203125" style="117"/>
    <col min="12538" max="12538" width="5" style="117" customWidth="1"/>
    <col min="12539" max="12539" width="9.33203125" style="117"/>
    <col min="12540" max="12540" width="21.6640625" style="117" customWidth="1"/>
    <col min="12541" max="12541" width="13.5" style="117" customWidth="1"/>
    <col min="12542" max="12542" width="10.5" style="117" customWidth="1"/>
    <col min="12543" max="12543" width="15.1640625" style="117" customWidth="1"/>
    <col min="12544" max="12544" width="3.6640625" style="117" customWidth="1"/>
    <col min="12545" max="12545" width="13.1640625" style="117" customWidth="1"/>
    <col min="12546" max="12546" width="3.83203125" style="117" customWidth="1"/>
    <col min="12547" max="12547" width="15" style="117" customWidth="1"/>
    <col min="12548" max="12548" width="3.6640625" style="117" customWidth="1"/>
    <col min="12549" max="12550" width="13" style="117" customWidth="1"/>
    <col min="12551" max="12551" width="0" style="117" hidden="1" customWidth="1"/>
    <col min="12552" max="12553" width="9.33203125" style="117"/>
    <col min="12554" max="12554" width="15.83203125" style="117" customWidth="1"/>
    <col min="12555" max="12793" width="9.33203125" style="117"/>
    <col min="12794" max="12794" width="5" style="117" customWidth="1"/>
    <col min="12795" max="12795" width="9.33203125" style="117"/>
    <col min="12796" max="12796" width="21.6640625" style="117" customWidth="1"/>
    <col min="12797" max="12797" width="13.5" style="117" customWidth="1"/>
    <col min="12798" max="12798" width="10.5" style="117" customWidth="1"/>
    <col min="12799" max="12799" width="15.1640625" style="117" customWidth="1"/>
    <col min="12800" max="12800" width="3.6640625" style="117" customWidth="1"/>
    <col min="12801" max="12801" width="13.1640625" style="117" customWidth="1"/>
    <col min="12802" max="12802" width="3.83203125" style="117" customWidth="1"/>
    <col min="12803" max="12803" width="15" style="117" customWidth="1"/>
    <col min="12804" max="12804" width="3.6640625" style="117" customWidth="1"/>
    <col min="12805" max="12806" width="13" style="117" customWidth="1"/>
    <col min="12807" max="12807" width="0" style="117" hidden="1" customWidth="1"/>
    <col min="12808" max="12809" width="9.33203125" style="117"/>
    <col min="12810" max="12810" width="15.83203125" style="117" customWidth="1"/>
    <col min="12811" max="13049" width="9.33203125" style="117"/>
    <col min="13050" max="13050" width="5" style="117" customWidth="1"/>
    <col min="13051" max="13051" width="9.33203125" style="117"/>
    <col min="13052" max="13052" width="21.6640625" style="117" customWidth="1"/>
    <col min="13053" max="13053" width="13.5" style="117" customWidth="1"/>
    <col min="13054" max="13054" width="10.5" style="117" customWidth="1"/>
    <col min="13055" max="13055" width="15.1640625" style="117" customWidth="1"/>
    <col min="13056" max="13056" width="3.6640625" style="117" customWidth="1"/>
    <col min="13057" max="13057" width="13.1640625" style="117" customWidth="1"/>
    <col min="13058" max="13058" width="3.83203125" style="117" customWidth="1"/>
    <col min="13059" max="13059" width="15" style="117" customWidth="1"/>
    <col min="13060" max="13060" width="3.6640625" style="117" customWidth="1"/>
    <col min="13061" max="13062" width="13" style="117" customWidth="1"/>
    <col min="13063" max="13063" width="0" style="117" hidden="1" customWidth="1"/>
    <col min="13064" max="13065" width="9.33203125" style="117"/>
    <col min="13066" max="13066" width="15.83203125" style="117" customWidth="1"/>
    <col min="13067" max="13305" width="9.33203125" style="117"/>
    <col min="13306" max="13306" width="5" style="117" customWidth="1"/>
    <col min="13307" max="13307" width="9.33203125" style="117"/>
    <col min="13308" max="13308" width="21.6640625" style="117" customWidth="1"/>
    <col min="13309" max="13309" width="13.5" style="117" customWidth="1"/>
    <col min="13310" max="13310" width="10.5" style="117" customWidth="1"/>
    <col min="13311" max="13311" width="15.1640625" style="117" customWidth="1"/>
    <col min="13312" max="13312" width="3.6640625" style="117" customWidth="1"/>
    <col min="13313" max="13313" width="13.1640625" style="117" customWidth="1"/>
    <col min="13314" max="13314" width="3.83203125" style="117" customWidth="1"/>
    <col min="13315" max="13315" width="15" style="117" customWidth="1"/>
    <col min="13316" max="13316" width="3.6640625" style="117" customWidth="1"/>
    <col min="13317" max="13318" width="13" style="117" customWidth="1"/>
    <col min="13319" max="13319" width="0" style="117" hidden="1" customWidth="1"/>
    <col min="13320" max="13321" width="9.33203125" style="117"/>
    <col min="13322" max="13322" width="15.83203125" style="117" customWidth="1"/>
    <col min="13323" max="13561" width="9.33203125" style="117"/>
    <col min="13562" max="13562" width="5" style="117" customWidth="1"/>
    <col min="13563" max="13563" width="9.33203125" style="117"/>
    <col min="13564" max="13564" width="21.6640625" style="117" customWidth="1"/>
    <col min="13565" max="13565" width="13.5" style="117" customWidth="1"/>
    <col min="13566" max="13566" width="10.5" style="117" customWidth="1"/>
    <col min="13567" max="13567" width="15.1640625" style="117" customWidth="1"/>
    <col min="13568" max="13568" width="3.6640625" style="117" customWidth="1"/>
    <col min="13569" max="13569" width="13.1640625" style="117" customWidth="1"/>
    <col min="13570" max="13570" width="3.83203125" style="117" customWidth="1"/>
    <col min="13571" max="13571" width="15" style="117" customWidth="1"/>
    <col min="13572" max="13572" width="3.6640625" style="117" customWidth="1"/>
    <col min="13573" max="13574" width="13" style="117" customWidth="1"/>
    <col min="13575" max="13575" width="0" style="117" hidden="1" customWidth="1"/>
    <col min="13576" max="13577" width="9.33203125" style="117"/>
    <col min="13578" max="13578" width="15.83203125" style="117" customWidth="1"/>
    <col min="13579" max="13817" width="9.33203125" style="117"/>
    <col min="13818" max="13818" width="5" style="117" customWidth="1"/>
    <col min="13819" max="13819" width="9.33203125" style="117"/>
    <col min="13820" max="13820" width="21.6640625" style="117" customWidth="1"/>
    <col min="13821" max="13821" width="13.5" style="117" customWidth="1"/>
    <col min="13822" max="13822" width="10.5" style="117" customWidth="1"/>
    <col min="13823" max="13823" width="15.1640625" style="117" customWidth="1"/>
    <col min="13824" max="13824" width="3.6640625" style="117" customWidth="1"/>
    <col min="13825" max="13825" width="13.1640625" style="117" customWidth="1"/>
    <col min="13826" max="13826" width="3.83203125" style="117" customWidth="1"/>
    <col min="13827" max="13827" width="15" style="117" customWidth="1"/>
    <col min="13828" max="13828" width="3.6640625" style="117" customWidth="1"/>
    <col min="13829" max="13830" width="13" style="117" customWidth="1"/>
    <col min="13831" max="13831" width="0" style="117" hidden="1" customWidth="1"/>
    <col min="13832" max="13833" width="9.33203125" style="117"/>
    <col min="13834" max="13834" width="15.83203125" style="117" customWidth="1"/>
    <col min="13835" max="14073" width="9.33203125" style="117"/>
    <col min="14074" max="14074" width="5" style="117" customWidth="1"/>
    <col min="14075" max="14075" width="9.33203125" style="117"/>
    <col min="14076" max="14076" width="21.6640625" style="117" customWidth="1"/>
    <col min="14077" max="14077" width="13.5" style="117" customWidth="1"/>
    <col min="14078" max="14078" width="10.5" style="117" customWidth="1"/>
    <col min="14079" max="14079" width="15.1640625" style="117" customWidth="1"/>
    <col min="14080" max="14080" width="3.6640625" style="117" customWidth="1"/>
    <col min="14081" max="14081" width="13.1640625" style="117" customWidth="1"/>
    <col min="14082" max="14082" width="3.83203125" style="117" customWidth="1"/>
    <col min="14083" max="14083" width="15" style="117" customWidth="1"/>
    <col min="14084" max="14084" width="3.6640625" style="117" customWidth="1"/>
    <col min="14085" max="14086" width="13" style="117" customWidth="1"/>
    <col min="14087" max="14087" width="0" style="117" hidden="1" customWidth="1"/>
    <col min="14088" max="14089" width="9.33203125" style="117"/>
    <col min="14090" max="14090" width="15.83203125" style="117" customWidth="1"/>
    <col min="14091" max="14329" width="9.33203125" style="117"/>
    <col min="14330" max="14330" width="5" style="117" customWidth="1"/>
    <col min="14331" max="14331" width="9.33203125" style="117"/>
    <col min="14332" max="14332" width="21.6640625" style="117" customWidth="1"/>
    <col min="14333" max="14333" width="13.5" style="117" customWidth="1"/>
    <col min="14334" max="14334" width="10.5" style="117" customWidth="1"/>
    <col min="14335" max="14335" width="15.1640625" style="117" customWidth="1"/>
    <col min="14336" max="14336" width="3.6640625" style="117" customWidth="1"/>
    <col min="14337" max="14337" width="13.1640625" style="117" customWidth="1"/>
    <col min="14338" max="14338" width="3.83203125" style="117" customWidth="1"/>
    <col min="14339" max="14339" width="15" style="117" customWidth="1"/>
    <col min="14340" max="14340" width="3.6640625" style="117" customWidth="1"/>
    <col min="14341" max="14342" width="13" style="117" customWidth="1"/>
    <col min="14343" max="14343" width="0" style="117" hidden="1" customWidth="1"/>
    <col min="14344" max="14345" width="9.33203125" style="117"/>
    <col min="14346" max="14346" width="15.83203125" style="117" customWidth="1"/>
    <col min="14347" max="14585" width="9.33203125" style="117"/>
    <col min="14586" max="14586" width="5" style="117" customWidth="1"/>
    <col min="14587" max="14587" width="9.33203125" style="117"/>
    <col min="14588" max="14588" width="21.6640625" style="117" customWidth="1"/>
    <col min="14589" max="14589" width="13.5" style="117" customWidth="1"/>
    <col min="14590" max="14590" width="10.5" style="117" customWidth="1"/>
    <col min="14591" max="14591" width="15.1640625" style="117" customWidth="1"/>
    <col min="14592" max="14592" width="3.6640625" style="117" customWidth="1"/>
    <col min="14593" max="14593" width="13.1640625" style="117" customWidth="1"/>
    <col min="14594" max="14594" width="3.83203125" style="117" customWidth="1"/>
    <col min="14595" max="14595" width="15" style="117" customWidth="1"/>
    <col min="14596" max="14596" width="3.6640625" style="117" customWidth="1"/>
    <col min="14597" max="14598" width="13" style="117" customWidth="1"/>
    <col min="14599" max="14599" width="0" style="117" hidden="1" customWidth="1"/>
    <col min="14600" max="14601" width="9.33203125" style="117"/>
    <col min="14602" max="14602" width="15.83203125" style="117" customWidth="1"/>
    <col min="14603" max="14841" width="9.33203125" style="117"/>
    <col min="14842" max="14842" width="5" style="117" customWidth="1"/>
    <col min="14843" max="14843" width="9.33203125" style="117"/>
    <col min="14844" max="14844" width="21.6640625" style="117" customWidth="1"/>
    <col min="14845" max="14845" width="13.5" style="117" customWidth="1"/>
    <col min="14846" max="14846" width="10.5" style="117" customWidth="1"/>
    <col min="14847" max="14847" width="15.1640625" style="117" customWidth="1"/>
    <col min="14848" max="14848" width="3.6640625" style="117" customWidth="1"/>
    <col min="14849" max="14849" width="13.1640625" style="117" customWidth="1"/>
    <col min="14850" max="14850" width="3.83203125" style="117" customWidth="1"/>
    <col min="14851" max="14851" width="15" style="117" customWidth="1"/>
    <col min="14852" max="14852" width="3.6640625" style="117" customWidth="1"/>
    <col min="14853" max="14854" width="13" style="117" customWidth="1"/>
    <col min="14855" max="14855" width="0" style="117" hidden="1" customWidth="1"/>
    <col min="14856" max="14857" width="9.33203125" style="117"/>
    <col min="14858" max="14858" width="15.83203125" style="117" customWidth="1"/>
    <col min="14859" max="15097" width="9.33203125" style="117"/>
    <col min="15098" max="15098" width="5" style="117" customWidth="1"/>
    <col min="15099" max="15099" width="9.33203125" style="117"/>
    <col min="15100" max="15100" width="21.6640625" style="117" customWidth="1"/>
    <col min="15101" max="15101" width="13.5" style="117" customWidth="1"/>
    <col min="15102" max="15102" width="10.5" style="117" customWidth="1"/>
    <col min="15103" max="15103" width="15.1640625" style="117" customWidth="1"/>
    <col min="15104" max="15104" width="3.6640625" style="117" customWidth="1"/>
    <col min="15105" max="15105" width="13.1640625" style="117" customWidth="1"/>
    <col min="15106" max="15106" width="3.83203125" style="117" customWidth="1"/>
    <col min="15107" max="15107" width="15" style="117" customWidth="1"/>
    <col min="15108" max="15108" width="3.6640625" style="117" customWidth="1"/>
    <col min="15109" max="15110" width="13" style="117" customWidth="1"/>
    <col min="15111" max="15111" width="0" style="117" hidden="1" customWidth="1"/>
    <col min="15112" max="15113" width="9.33203125" style="117"/>
    <col min="15114" max="15114" width="15.83203125" style="117" customWidth="1"/>
    <col min="15115" max="15353" width="9.33203125" style="117"/>
    <col min="15354" max="15354" width="5" style="117" customWidth="1"/>
    <col min="15355" max="15355" width="9.33203125" style="117"/>
    <col min="15356" max="15356" width="21.6640625" style="117" customWidth="1"/>
    <col min="15357" max="15357" width="13.5" style="117" customWidth="1"/>
    <col min="15358" max="15358" width="10.5" style="117" customWidth="1"/>
    <col min="15359" max="15359" width="15.1640625" style="117" customWidth="1"/>
    <col min="15360" max="15360" width="3.6640625" style="117" customWidth="1"/>
    <col min="15361" max="15361" width="13.1640625" style="117" customWidth="1"/>
    <col min="15362" max="15362" width="3.83203125" style="117" customWidth="1"/>
    <col min="15363" max="15363" width="15" style="117" customWidth="1"/>
    <col min="15364" max="15364" width="3.6640625" style="117" customWidth="1"/>
    <col min="15365" max="15366" width="13" style="117" customWidth="1"/>
    <col min="15367" max="15367" width="0" style="117" hidden="1" customWidth="1"/>
    <col min="15368" max="15369" width="9.33203125" style="117"/>
    <col min="15370" max="15370" width="15.83203125" style="117" customWidth="1"/>
    <col min="15371" max="15609" width="9.33203125" style="117"/>
    <col min="15610" max="15610" width="5" style="117" customWidth="1"/>
    <col min="15611" max="15611" width="9.33203125" style="117"/>
    <col min="15612" max="15612" width="21.6640625" style="117" customWidth="1"/>
    <col min="15613" max="15613" width="13.5" style="117" customWidth="1"/>
    <col min="15614" max="15614" width="10.5" style="117" customWidth="1"/>
    <col min="15615" max="15615" width="15.1640625" style="117" customWidth="1"/>
    <col min="15616" max="15616" width="3.6640625" style="117" customWidth="1"/>
    <col min="15617" max="15617" width="13.1640625" style="117" customWidth="1"/>
    <col min="15618" max="15618" width="3.83203125" style="117" customWidth="1"/>
    <col min="15619" max="15619" width="15" style="117" customWidth="1"/>
    <col min="15620" max="15620" width="3.6640625" style="117" customWidth="1"/>
    <col min="15621" max="15622" width="13" style="117" customWidth="1"/>
    <col min="15623" max="15623" width="0" style="117" hidden="1" customWidth="1"/>
    <col min="15624" max="15625" width="9.33203125" style="117"/>
    <col min="15626" max="15626" width="15.83203125" style="117" customWidth="1"/>
    <col min="15627" max="15865" width="9.33203125" style="117"/>
    <col min="15866" max="15866" width="5" style="117" customWidth="1"/>
    <col min="15867" max="15867" width="9.33203125" style="117"/>
    <col min="15868" max="15868" width="21.6640625" style="117" customWidth="1"/>
    <col min="15869" max="15869" width="13.5" style="117" customWidth="1"/>
    <col min="15870" max="15870" width="10.5" style="117" customWidth="1"/>
    <col min="15871" max="15871" width="15.1640625" style="117" customWidth="1"/>
    <col min="15872" max="15872" width="3.6640625" style="117" customWidth="1"/>
    <col min="15873" max="15873" width="13.1640625" style="117" customWidth="1"/>
    <col min="15874" max="15874" width="3.83203125" style="117" customWidth="1"/>
    <col min="15875" max="15875" width="15" style="117" customWidth="1"/>
    <col min="15876" max="15876" width="3.6640625" style="117" customWidth="1"/>
    <col min="15877" max="15878" width="13" style="117" customWidth="1"/>
    <col min="15879" max="15879" width="0" style="117" hidden="1" customWidth="1"/>
    <col min="15880" max="15881" width="9.33203125" style="117"/>
    <col min="15882" max="15882" width="15.83203125" style="117" customWidth="1"/>
    <col min="15883" max="16121" width="9.33203125" style="117"/>
    <col min="16122" max="16122" width="5" style="117" customWidth="1"/>
    <col min="16123" max="16123" width="9.33203125" style="117"/>
    <col min="16124" max="16124" width="21.6640625" style="117" customWidth="1"/>
    <col min="16125" max="16125" width="13.5" style="117" customWidth="1"/>
    <col min="16126" max="16126" width="10.5" style="117" customWidth="1"/>
    <col min="16127" max="16127" width="15.1640625" style="117" customWidth="1"/>
    <col min="16128" max="16128" width="3.6640625" style="117" customWidth="1"/>
    <col min="16129" max="16129" width="13.1640625" style="117" customWidth="1"/>
    <col min="16130" max="16130" width="3.83203125" style="117" customWidth="1"/>
    <col min="16131" max="16131" width="15" style="117" customWidth="1"/>
    <col min="16132" max="16132" width="3.6640625" style="117" customWidth="1"/>
    <col min="16133" max="16134" width="13" style="117" customWidth="1"/>
    <col min="16135" max="16135" width="0" style="117" hidden="1" customWidth="1"/>
    <col min="16136" max="16137" width="9.33203125" style="117"/>
    <col min="16138" max="16138" width="15.83203125" style="117" customWidth="1"/>
    <col min="16139" max="16384" width="9.33203125" style="117"/>
  </cols>
  <sheetData>
    <row r="1" spans="1:16" ht="15.75">
      <c r="A1" s="364"/>
      <c r="B1" s="365"/>
      <c r="C1" s="365"/>
      <c r="D1" s="365"/>
      <c r="E1" s="365"/>
      <c r="F1" s="365"/>
      <c r="G1" s="366"/>
      <c r="H1" s="365"/>
      <c r="I1" s="366"/>
      <c r="J1" s="367"/>
      <c r="K1" s="425" t="str">
        <f>+'TTA Proposed Rate 595'!F1</f>
        <v>CNGC Advice W22-09-01</v>
      </c>
      <c r="L1" s="365"/>
    </row>
    <row r="2" spans="1:16" ht="15.75">
      <c r="A2" s="365"/>
      <c r="B2" s="368"/>
      <c r="C2" s="368"/>
      <c r="D2" s="1024" t="s">
        <v>47</v>
      </c>
      <c r="E2" s="1024"/>
      <c r="F2" s="1024"/>
      <c r="G2" s="1024"/>
      <c r="H2" s="1024"/>
      <c r="I2" s="1024"/>
      <c r="J2" s="369"/>
      <c r="K2" s="426" t="s">
        <v>193</v>
      </c>
      <c r="L2" s="365"/>
    </row>
    <row r="3" spans="1:16" ht="15.75">
      <c r="A3" s="365"/>
      <c r="B3" s="368"/>
      <c r="C3" s="368"/>
      <c r="D3" s="1025" t="s">
        <v>206</v>
      </c>
      <c r="E3" s="1024"/>
      <c r="F3" s="1024"/>
      <c r="G3" s="1024"/>
      <c r="H3" s="1024"/>
      <c r="I3" s="1024"/>
      <c r="J3" s="369"/>
      <c r="K3" s="426" t="s">
        <v>380</v>
      </c>
      <c r="L3" s="365"/>
    </row>
    <row r="4" spans="1:16" ht="15.75">
      <c r="A4" s="365"/>
      <c r="B4" s="368"/>
      <c r="C4" s="368"/>
      <c r="D4" s="1025" t="s">
        <v>395</v>
      </c>
      <c r="E4" s="1024"/>
      <c r="F4" s="1024"/>
      <c r="G4" s="1024"/>
      <c r="H4" s="1024"/>
      <c r="I4" s="1024"/>
      <c r="J4" s="370"/>
      <c r="K4" s="365"/>
      <c r="L4" s="365"/>
    </row>
    <row r="5" spans="1:16" ht="15.75">
      <c r="A5" s="365"/>
      <c r="B5" s="368"/>
      <c r="C5" s="368"/>
      <c r="D5" s="1024" t="s">
        <v>48</v>
      </c>
      <c r="E5" s="1024"/>
      <c r="F5" s="1024"/>
      <c r="G5" s="1024"/>
      <c r="H5" s="1024"/>
      <c r="I5" s="1024"/>
      <c r="J5" s="369"/>
      <c r="K5" s="368" t="s">
        <v>120</v>
      </c>
      <c r="L5" s="365"/>
    </row>
    <row r="6" spans="1:16" ht="15.75">
      <c r="A6" s="364"/>
      <c r="B6" s="365"/>
      <c r="C6" s="365"/>
      <c r="D6" s="365"/>
      <c r="E6" s="365"/>
      <c r="F6" s="365"/>
      <c r="G6" s="366"/>
      <c r="H6" s="365"/>
      <c r="I6" s="366"/>
      <c r="J6" s="367"/>
      <c r="K6" s="365"/>
      <c r="L6" s="365"/>
    </row>
    <row r="7" spans="1:16" ht="15.75">
      <c r="A7" s="371"/>
      <c r="B7" s="372"/>
      <c r="C7" s="373"/>
      <c r="D7" s="373"/>
      <c r="E7" s="438"/>
      <c r="F7" s="374"/>
      <c r="G7" s="375"/>
      <c r="H7" s="374"/>
      <c r="I7" s="375"/>
      <c r="J7" s="376" t="s">
        <v>50</v>
      </c>
      <c r="K7" s="373"/>
      <c r="L7" s="377"/>
    </row>
    <row r="8" spans="1:16" ht="15.75">
      <c r="A8" s="378" t="s">
        <v>7</v>
      </c>
      <c r="B8" s="366"/>
      <c r="C8" s="379"/>
      <c r="D8" s="380" t="s">
        <v>46</v>
      </c>
      <c r="E8" s="439" t="s">
        <v>51</v>
      </c>
      <c r="F8" s="378" t="s">
        <v>211</v>
      </c>
      <c r="G8" s="375"/>
      <c r="H8" s="378" t="s">
        <v>53</v>
      </c>
      <c r="I8" s="375"/>
      <c r="J8" s="381" t="s">
        <v>138</v>
      </c>
      <c r="K8" s="382" t="s">
        <v>54</v>
      </c>
      <c r="L8" s="383" t="s">
        <v>55</v>
      </c>
    </row>
    <row r="9" spans="1:16" ht="15.75">
      <c r="A9" s="378" t="s">
        <v>9</v>
      </c>
      <c r="B9" s="384" t="s">
        <v>0</v>
      </c>
      <c r="C9" s="382"/>
      <c r="D9" s="380" t="s">
        <v>56</v>
      </c>
      <c r="E9" s="439" t="s">
        <v>57</v>
      </c>
      <c r="F9" s="378" t="s">
        <v>58</v>
      </c>
      <c r="G9" s="375"/>
      <c r="H9" s="378" t="s">
        <v>59</v>
      </c>
      <c r="I9" s="375"/>
      <c r="J9" s="381" t="s">
        <v>60</v>
      </c>
      <c r="K9" s="382" t="s">
        <v>60</v>
      </c>
      <c r="L9" s="383" t="s">
        <v>60</v>
      </c>
    </row>
    <row r="10" spans="1:16" s="49" customFormat="1" ht="15.75">
      <c r="A10" s="383"/>
      <c r="B10" s="1026" t="s">
        <v>14</v>
      </c>
      <c r="C10" s="1027"/>
      <c r="D10" s="380" t="s">
        <v>15</v>
      </c>
      <c r="E10" s="439" t="s">
        <v>16</v>
      </c>
      <c r="F10" s="385" t="s">
        <v>17</v>
      </c>
      <c r="G10" s="386"/>
      <c r="H10" s="385" t="s">
        <v>61</v>
      </c>
      <c r="I10" s="386"/>
      <c r="J10" s="388" t="s">
        <v>81</v>
      </c>
      <c r="K10" s="380" t="s">
        <v>62</v>
      </c>
      <c r="L10" s="389" t="s">
        <v>63</v>
      </c>
    </row>
    <row r="11" spans="1:16" ht="15.75">
      <c r="A11" s="390"/>
      <c r="B11" s="391" t="s">
        <v>65</v>
      </c>
      <c r="C11" s="392"/>
      <c r="D11" s="392"/>
      <c r="E11" s="392"/>
      <c r="F11" s="392"/>
      <c r="G11" s="366"/>
      <c r="H11" s="393"/>
      <c r="I11" s="366"/>
      <c r="J11" s="394"/>
      <c r="K11" s="392"/>
      <c r="L11" s="365"/>
    </row>
    <row r="12" spans="1:16" ht="15.75">
      <c r="A12" s="378">
        <v>1</v>
      </c>
      <c r="B12" s="395" t="s">
        <v>399</v>
      </c>
      <c r="C12" s="400"/>
      <c r="D12" s="380" t="s">
        <v>67</v>
      </c>
      <c r="E12" s="326">
        <f>+'Bills-Therms-Revs'!F12</f>
        <v>200356</v>
      </c>
      <c r="F12" s="396">
        <f>+'Test Period Volumes'!C34</f>
        <v>131993811.11343679</v>
      </c>
      <c r="G12" s="401"/>
      <c r="H12" s="396">
        <f>+'Bills-Therms-Revs'!I16</f>
        <v>160697460.31999999</v>
      </c>
      <c r="I12" s="375"/>
      <c r="J12" s="398">
        <f>+'TTA Proposed Rate 595'!F13</f>
        <v>3.4709999999999991E-2</v>
      </c>
      <c r="K12" s="399">
        <f>F12*J12</f>
        <v>4581505.1837473894</v>
      </c>
      <c r="L12" s="456">
        <f t="shared" ref="L12:L17" si="0">+K12/H12</f>
        <v>2.8510128129120078E-2</v>
      </c>
      <c r="P12" s="15"/>
    </row>
    <row r="13" spans="1:16" ht="15.75">
      <c r="A13" s="378">
        <v>2</v>
      </c>
      <c r="B13" s="395" t="s">
        <v>99</v>
      </c>
      <c r="C13" s="375"/>
      <c r="D13" s="380" t="s">
        <v>69</v>
      </c>
      <c r="E13" s="326">
        <f>+'Bills-Therms-Revs'!F18</f>
        <v>27210</v>
      </c>
      <c r="F13" s="396">
        <f>+'Test Period Volumes'!D34</f>
        <v>93567596.866792873</v>
      </c>
      <c r="G13" s="375"/>
      <c r="H13" s="396">
        <f>+'Bills-Therms-Revs'!I18+'Bills-Therms-Revs'!I21+'Bills-Therms-Revs'!I22</f>
        <v>103915277.34</v>
      </c>
      <c r="I13" s="375"/>
      <c r="J13" s="398">
        <f>+'TTA Proposed Rate 595'!F14</f>
        <v>3.4709999999999991E-2</v>
      </c>
      <c r="K13" s="399">
        <f>ROUND(F13*J13,0)</f>
        <v>3247731</v>
      </c>
      <c r="L13" s="402">
        <f t="shared" si="0"/>
        <v>3.1253643190247773E-2</v>
      </c>
      <c r="P13" s="15"/>
    </row>
    <row r="14" spans="1:16" ht="15.75">
      <c r="A14" s="378">
        <v>3</v>
      </c>
      <c r="B14" s="395" t="s">
        <v>100</v>
      </c>
      <c r="C14" s="400"/>
      <c r="D14" s="380" t="s">
        <v>73</v>
      </c>
      <c r="E14" s="326">
        <f>+'Bills-Therms-Revs'!F28</f>
        <v>487</v>
      </c>
      <c r="F14" s="396">
        <f>+'Test Period Volumes'!E34</f>
        <v>12906567.97753373</v>
      </c>
      <c r="G14" s="375"/>
      <c r="H14" s="396">
        <f>+'Bills-Therms-Revs'!I28</f>
        <v>11638459.84</v>
      </c>
      <c r="I14" s="375"/>
      <c r="J14" s="398">
        <f>+'TTA Proposed Rate 595'!F16</f>
        <v>3.4709999999999991E-2</v>
      </c>
      <c r="K14" s="399">
        <f>F14*J14</f>
        <v>447986.97450019565</v>
      </c>
      <c r="L14" s="402">
        <f t="shared" si="0"/>
        <v>3.8491946585622765E-2</v>
      </c>
      <c r="P14" s="15"/>
    </row>
    <row r="15" spans="1:16" ht="15.75">
      <c r="A15" s="378">
        <v>4</v>
      </c>
      <c r="B15" s="395" t="s">
        <v>70</v>
      </c>
      <c r="C15" s="375"/>
      <c r="D15" s="380" t="s">
        <v>71</v>
      </c>
      <c r="E15" s="326">
        <f>+'Bills-Therms-Revs'!F19+'Bills-Therms-Revs'!F29</f>
        <v>99</v>
      </c>
      <c r="F15" s="396">
        <f>+'Test Period Volumes'!F34</f>
        <v>15549500.235253498</v>
      </c>
      <c r="G15" s="401"/>
      <c r="H15" s="396">
        <f>+'Bills-Therms-Revs'!I19+'Bills-Therms-Revs'!I23+'Bills-Therms-Revs'!I24+'Bills-Therms-Revs'!I29</f>
        <v>12937586.609999999</v>
      </c>
      <c r="I15" s="401"/>
      <c r="J15" s="398">
        <f>+'TTA Proposed Rate 595'!F15</f>
        <v>3.4709999999999991E-2</v>
      </c>
      <c r="K15" s="399">
        <f>F15*J15</f>
        <v>539723.15316564881</v>
      </c>
      <c r="L15" s="402">
        <f t="shared" si="0"/>
        <v>4.1717452368471436E-2</v>
      </c>
    </row>
    <row r="16" spans="1:16" ht="15.75">
      <c r="A16" s="378">
        <v>5</v>
      </c>
      <c r="B16" s="395" t="s">
        <v>101</v>
      </c>
      <c r="C16" s="375"/>
      <c r="D16" s="380" t="s">
        <v>74</v>
      </c>
      <c r="E16" s="326">
        <f>+'Bills-Therms-Revs'!F34</f>
        <v>7</v>
      </c>
      <c r="F16" s="396">
        <f>+'Test Period Volumes'!G34</f>
        <v>2331720.8069831203</v>
      </c>
      <c r="G16" s="401"/>
      <c r="H16" s="396">
        <f>+'Bills-Therms-Revs'!I39</f>
        <v>1682021.53</v>
      </c>
      <c r="I16" s="375"/>
      <c r="J16" s="398">
        <f>+'TTA Proposed Rate 595'!F17</f>
        <v>3.4709999999999991E-2</v>
      </c>
      <c r="K16" s="399">
        <f>F16*J16</f>
        <v>80934.029210384077</v>
      </c>
      <c r="L16" s="409">
        <f t="shared" si="0"/>
        <v>4.811711845946709E-2</v>
      </c>
      <c r="P16" s="15"/>
    </row>
    <row r="17" spans="1:12" s="48" customFormat="1" ht="15.75">
      <c r="A17" s="385">
        <v>6</v>
      </c>
      <c r="B17" s="391" t="s">
        <v>132</v>
      </c>
      <c r="C17" s="403"/>
      <c r="D17" s="404"/>
      <c r="E17" s="440">
        <f>SUM(E12:E16)</f>
        <v>228159</v>
      </c>
      <c r="F17" s="405">
        <f>SUM(F12:F16)</f>
        <v>256349197</v>
      </c>
      <c r="G17" s="406"/>
      <c r="H17" s="405">
        <f>SUM(H12:H16)</f>
        <v>290870805.63999999</v>
      </c>
      <c r="I17" s="406"/>
      <c r="J17" s="407"/>
      <c r="K17" s="408">
        <f>SUM(K12:K16)</f>
        <v>8897880.340623619</v>
      </c>
      <c r="L17" s="409">
        <f t="shared" si="0"/>
        <v>3.0590489551007728E-2</v>
      </c>
    </row>
    <row r="19" spans="1:12">
      <c r="B19" s="67"/>
    </row>
  </sheetData>
  <mergeCells count="5">
    <mergeCell ref="D2:I2"/>
    <mergeCell ref="D3:I3"/>
    <mergeCell ref="D4:I4"/>
    <mergeCell ref="D5:I5"/>
    <mergeCell ref="B10:C10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0CEC671827A941B0A33E1E4BAE7CA9" ma:contentTypeVersion="20" ma:contentTypeDescription="" ma:contentTypeScope="" ma:versionID="15883dc24ffeeb0218cf31cc37968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98A583-83AB-4A88-A8C3-6BEF7B1382D9}"/>
</file>

<file path=customXml/itemProps2.xml><?xml version="1.0" encoding="utf-8"?>
<ds:datastoreItem xmlns:ds="http://schemas.openxmlformats.org/officeDocument/2006/customXml" ds:itemID="{DEB4C9C7-5DE9-411D-A528-3D69DCBAEC90}"/>
</file>

<file path=customXml/itemProps3.xml><?xml version="1.0" encoding="utf-8"?>
<ds:datastoreItem xmlns:ds="http://schemas.openxmlformats.org/officeDocument/2006/customXml" ds:itemID="{3C6E6DF5-9BC8-4565-9EAD-87063AA2B87D}"/>
</file>

<file path=customXml/itemProps4.xml><?xml version="1.0" encoding="utf-8"?>
<ds:datastoreItem xmlns:ds="http://schemas.openxmlformats.org/officeDocument/2006/customXml" ds:itemID="{3E0B256E-B53D-463A-99A8-7734DC2AA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20</vt:i4>
      </vt:variant>
    </vt:vector>
  </HeadingPairs>
  <TitlesOfParts>
    <vt:vector size="50" baseType="lpstr">
      <vt:lpstr>PGA Rate Schedule Changes</vt:lpstr>
      <vt:lpstr>PGA TTA Table of Content</vt:lpstr>
      <vt:lpstr>PGA Demand Cost Allocation</vt:lpstr>
      <vt:lpstr>PGA Amount Change</vt:lpstr>
      <vt:lpstr>Effects of PGA Avg. Bill</vt:lpstr>
      <vt:lpstr>PGA Proposed Rate Adj.</vt:lpstr>
      <vt:lpstr>TTA Summary of Def. Accts.</vt:lpstr>
      <vt:lpstr>TTA Proposed Rate 595</vt:lpstr>
      <vt:lpstr>TTA Amount of Change</vt:lpstr>
      <vt:lpstr>Effects of TTA Avg. Bill</vt:lpstr>
      <vt:lpstr>Combined PGA TTA Avg Bill</vt:lpstr>
      <vt:lpstr>CPA Table of Contents</vt:lpstr>
      <vt:lpstr>CPA Summary of Def. Accts.</vt:lpstr>
      <vt:lpstr>CPA Proposed Rate 596</vt:lpstr>
      <vt:lpstr>CPA Amount of Change</vt:lpstr>
      <vt:lpstr>Effects of CPA Avg. Bill</vt:lpstr>
      <vt:lpstr>582 Table of Contents</vt:lpstr>
      <vt:lpstr>Unprotected Cost Allocation</vt:lpstr>
      <vt:lpstr>Unpro. Amount Change</vt:lpstr>
      <vt:lpstr>Effects of UPT Avg. Bill</vt:lpstr>
      <vt:lpstr>Unprot. Proposed Rate Adj.</vt:lpstr>
      <vt:lpstr>47WA.2540.</vt:lpstr>
      <vt:lpstr>Workpapers---&gt;</vt:lpstr>
      <vt:lpstr>Balances at 7-31-2022</vt:lpstr>
      <vt:lpstr>Int calc thru 10-31-2022</vt:lpstr>
      <vt:lpstr>Amort Calc thru 10-31-2022</vt:lpstr>
      <vt:lpstr>EstimatedBalances</vt:lpstr>
      <vt:lpstr> Int during Amort</vt:lpstr>
      <vt:lpstr>Bills-Therms-Revs</vt:lpstr>
      <vt:lpstr>Test Period Volumes</vt:lpstr>
      <vt:lpstr>'Balances at 7-31-2022'!BalancesJuly</vt:lpstr>
      <vt:lpstr>'Balances at 7-31-2022'!EstimatedBalances</vt:lpstr>
      <vt:lpstr>'Balances at 7-31-2022'!InterestDuringAmort</vt:lpstr>
      <vt:lpstr>' Int during Amort'!Print_Area</vt:lpstr>
      <vt:lpstr>'582 Table of Contents'!Print_Area</vt:lpstr>
      <vt:lpstr>'Bills-Therms-Revs'!Print_Area</vt:lpstr>
      <vt:lpstr>'CPA Proposed Rate 596'!Print_Area</vt:lpstr>
      <vt:lpstr>'Effects of CPA Avg. Bill'!Print_Area</vt:lpstr>
      <vt:lpstr>'Effects of PGA Avg. Bill'!Print_Area</vt:lpstr>
      <vt:lpstr>'Effects of TTA Avg. Bill'!Print_Area</vt:lpstr>
      <vt:lpstr>'Effects of UPT Avg. Bill'!Print_Area</vt:lpstr>
      <vt:lpstr>'PGA Amount Change'!Print_Area</vt:lpstr>
      <vt:lpstr>'PGA Demand Cost Allocation'!Print_Area</vt:lpstr>
      <vt:lpstr>'PGA Proposed Rate Adj.'!Print_Area</vt:lpstr>
      <vt:lpstr>'Test Period Volumes'!Print_Area</vt:lpstr>
      <vt:lpstr>'TTA Proposed Rate 595'!Print_Area</vt:lpstr>
      <vt:lpstr>'TTA Summary of Def. Accts.'!Print_Area</vt:lpstr>
      <vt:lpstr>'Unpro. Amount Change'!Print_Area</vt:lpstr>
      <vt:lpstr>'Unprot. Proposed Rate Adj.'!Print_Area</vt:lpstr>
      <vt:lpstr>'Unprotected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2022-09-08T11:23:46Z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0x0101006E56B4D1795A2E4DB2F0B01679ED314A006E0CEC671827A941B0A33E1E4BAE7CA9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