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DD79295C-85C5-4F26-9857-9C651FB3FBC3}" xr6:coauthVersionLast="36" xr6:coauthVersionMax="36" xr10:uidLastSave="{00000000-0000-0000-0000-000000000000}"/>
  <bookViews>
    <workbookView xWindow="0" yWindow="120" windowWidth="22980" windowHeight="10590" activeTab="5" xr2:uid="{00000000-000D-0000-FFFF-FFFF00000000}"/>
  </bookViews>
  <sheets>
    <sheet name="Class Summary" sheetId="1" r:id="rId1"/>
    <sheet name="Energy Summary" sheetId="2" r:id="rId2"/>
    <sheet name="Demand Summary" sheetId="3" r:id="rId3"/>
    <sheet name="Customer Summary" sheetId="4" r:id="rId4"/>
    <sheet name="Revenue Summary" sheetId="5" r:id="rId5"/>
    <sheet name="Expense Summary" sheetId="6" r:id="rId6"/>
    <sheet name="Ratebase Summary" sheetId="7" r:id="rId7"/>
    <sheet name="Basic Charge" sheetId="8" r:id="rId8"/>
    <sheet name="SC Feeder " sheetId="9" r:id="rId9"/>
    <sheet name="SC Substation O&amp;M" sheetId="10" r:id="rId10"/>
    <sheet name="SC Substation A&amp;G" sheetId="11" r:id="rId11"/>
    <sheet name="PCA Costs" sheetId="12" r:id="rId12"/>
  </sheets>
  <externalReferences>
    <externalReference r:id="rId13"/>
  </externalReferences>
  <definedNames>
    <definedName name="CASE">[1]INPUTS!$C$11</definedName>
    <definedName name="EffTax">[1]INPUTS!$F$36</definedName>
    <definedName name="FTAX">[1]INPUTS!$F$35</definedName>
    <definedName name="_xlnm.Print_Area" localSheetId="7">'Basic Charge'!$A$1:$O$59</definedName>
    <definedName name="_xlnm.Print_Area" localSheetId="0">'Class Summary'!$A$1:$P$372</definedName>
    <definedName name="_xlnm.Print_Area" localSheetId="3">'Customer Summary'!$A$1:$M$26</definedName>
    <definedName name="_xlnm.Print_Area" localSheetId="2">'Demand Summary'!$A$1:$M$26</definedName>
    <definedName name="_xlnm.Print_Area" localSheetId="1">'Energy Summary'!$A$1:$M$28</definedName>
    <definedName name="_xlnm.Print_Area" localSheetId="5">'Expense Summary'!$A$1:$O$160</definedName>
    <definedName name="_xlnm.Print_Area" localSheetId="11">'PCA Costs'!$A$1:$P$26</definedName>
    <definedName name="_xlnm.Print_Area" localSheetId="6">'Ratebase Summary'!$A$1:$O$151</definedName>
    <definedName name="_xlnm.Print_Area" localSheetId="4">'Revenue Summary'!$A$1:$O$53</definedName>
    <definedName name="_xlnm.Print_Area" localSheetId="8">'SC Feeder '!$A$1:$G$31</definedName>
    <definedName name="_xlnm.Print_Area" localSheetId="10">'SC Substation A&amp;G'!$A$1:$C$25</definedName>
    <definedName name="_xlnm.Print_Area" localSheetId="9">'SC Substation O&amp;M'!$A$1:$C$33</definedName>
    <definedName name="_xlnm.Print_Titles" localSheetId="7">'Basic Charge'!$1:$6</definedName>
    <definedName name="_xlnm.Print_Titles" localSheetId="0">'Class Summary'!$A:$E</definedName>
    <definedName name="_xlnm.Print_Titles" localSheetId="3">'Customer Summary'!$A:$C</definedName>
    <definedName name="_xlnm.Print_Titles" localSheetId="2">'Demand Summary'!$A:$C</definedName>
    <definedName name="_xlnm.Print_Titles" localSheetId="1">'Energy Summary'!$A:$C</definedName>
    <definedName name="_xlnm.Print_Titles" localSheetId="5">'Expense Summary'!$1:$6</definedName>
    <definedName name="_xlnm.Print_Titles" localSheetId="6">'Ratebase Summary'!$1:$6</definedName>
    <definedName name="_xlnm.Print_Titles" localSheetId="4">'Revenue Summary'!$1:$6</definedName>
    <definedName name="_xlnm.Print_Titles" localSheetId="8">'SC Feeder '!$B:$C,'SC Feeder '!$5:$6</definedName>
    <definedName name="_xlnm.Print_Titles" localSheetId="10">'SC Substation A&amp;G'!$B:$C,'SC Substation A&amp;G'!$5:$6</definedName>
    <definedName name="ResRCF">[1]INPUTS!$F$44</definedName>
    <definedName name="ResUnc">[1]INPUTS!$F$39</definedName>
    <definedName name="ROD">[1]INPUTS!$F$30</definedName>
    <definedName name="ROR">[1]INPUTS!$F$29</definedName>
    <definedName name="STAX">[1]INPUTS!$F$34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4" i="1" l="1"/>
  <c r="A3" i="12" l="1"/>
  <c r="A3" i="4"/>
  <c r="A3" i="5" s="1"/>
  <c r="A3" i="3"/>
  <c r="A3" i="2"/>
  <c r="A266" i="1"/>
  <c r="A158" i="1"/>
  <c r="A48" i="1"/>
  <c r="E51" i="5"/>
  <c r="E17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E12" i="5"/>
  <c r="A8" i="5"/>
  <c r="P261" i="1"/>
  <c r="O261" i="1"/>
  <c r="N261" i="1"/>
  <c r="M261" i="1"/>
  <c r="L261" i="1"/>
  <c r="K261" i="1"/>
  <c r="J261" i="1"/>
  <c r="I261" i="1"/>
  <c r="H261" i="1"/>
  <c r="G261" i="1"/>
  <c r="P260" i="1"/>
  <c r="O260" i="1"/>
  <c r="N260" i="1"/>
  <c r="M260" i="1"/>
  <c r="L260" i="1"/>
  <c r="K260" i="1"/>
  <c r="J260" i="1"/>
  <c r="I260" i="1"/>
  <c r="H260" i="1"/>
  <c r="G260" i="1"/>
  <c r="P259" i="1"/>
  <c r="O259" i="1"/>
  <c r="N259" i="1"/>
  <c r="M259" i="1"/>
  <c r="L259" i="1"/>
  <c r="K259" i="1"/>
  <c r="J259" i="1"/>
  <c r="I259" i="1"/>
  <c r="H259" i="1"/>
  <c r="G259" i="1"/>
  <c r="P258" i="1"/>
  <c r="O258" i="1"/>
  <c r="N258" i="1"/>
  <c r="M258" i="1"/>
  <c r="L258" i="1"/>
  <c r="K258" i="1"/>
  <c r="J258" i="1"/>
  <c r="I258" i="1"/>
  <c r="H258" i="1"/>
  <c r="G258" i="1"/>
  <c r="P257" i="1"/>
  <c r="O257" i="1"/>
  <c r="N257" i="1"/>
  <c r="M257" i="1"/>
  <c r="L257" i="1"/>
  <c r="K257" i="1"/>
  <c r="J257" i="1"/>
  <c r="I257" i="1"/>
  <c r="H257" i="1"/>
  <c r="G257" i="1"/>
  <c r="P256" i="1"/>
  <c r="P262" i="1" s="1"/>
  <c r="O256" i="1"/>
  <c r="N256" i="1"/>
  <c r="M256" i="1"/>
  <c r="L256" i="1"/>
  <c r="L262" i="1" s="1"/>
  <c r="K256" i="1"/>
  <c r="K262" i="1" s="1"/>
  <c r="J256" i="1"/>
  <c r="I256" i="1"/>
  <c r="H256" i="1"/>
  <c r="H262" i="1" s="1"/>
  <c r="G256" i="1"/>
  <c r="G262" i="1" s="1"/>
  <c r="K148" i="1"/>
  <c r="K147" i="1"/>
  <c r="P151" i="1"/>
  <c r="O151" i="1"/>
  <c r="N151" i="1"/>
  <c r="M151" i="1"/>
  <c r="L151" i="1"/>
  <c r="K151" i="1"/>
  <c r="J151" i="1"/>
  <c r="I151" i="1"/>
  <c r="H151" i="1"/>
  <c r="G151" i="1"/>
  <c r="P150" i="1"/>
  <c r="O150" i="1"/>
  <c r="N150" i="1"/>
  <c r="M150" i="1"/>
  <c r="L150" i="1"/>
  <c r="K150" i="1"/>
  <c r="J150" i="1"/>
  <c r="I150" i="1"/>
  <c r="H150" i="1"/>
  <c r="G150" i="1"/>
  <c r="P149" i="1"/>
  <c r="O149" i="1"/>
  <c r="N149" i="1"/>
  <c r="M149" i="1"/>
  <c r="L149" i="1"/>
  <c r="K149" i="1"/>
  <c r="J149" i="1"/>
  <c r="I149" i="1"/>
  <c r="H149" i="1"/>
  <c r="G149" i="1"/>
  <c r="P148" i="1"/>
  <c r="O148" i="1"/>
  <c r="N148" i="1"/>
  <c r="M148" i="1"/>
  <c r="L148" i="1"/>
  <c r="J148" i="1"/>
  <c r="I148" i="1"/>
  <c r="H148" i="1"/>
  <c r="G148" i="1"/>
  <c r="P147" i="1"/>
  <c r="O147" i="1"/>
  <c r="N147" i="1"/>
  <c r="M147" i="1"/>
  <c r="L147" i="1"/>
  <c r="J147" i="1"/>
  <c r="I147" i="1"/>
  <c r="H147" i="1"/>
  <c r="G147" i="1"/>
  <c r="P146" i="1"/>
  <c r="O146" i="1"/>
  <c r="N146" i="1"/>
  <c r="M146" i="1"/>
  <c r="L146" i="1"/>
  <c r="K146" i="1"/>
  <c r="J146" i="1"/>
  <c r="I146" i="1"/>
  <c r="H146" i="1"/>
  <c r="G146" i="1"/>
  <c r="A3" i="6" l="1"/>
  <c r="E53" i="5"/>
  <c r="O262" i="1"/>
  <c r="M262" i="1"/>
  <c r="I262" i="1"/>
  <c r="J262" i="1"/>
  <c r="N262" i="1"/>
  <c r="C10" i="12"/>
  <c r="E29" i="12" s="1"/>
  <c r="C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G14" i="9"/>
  <c r="E14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D49" i="8"/>
  <c r="D45" i="8"/>
  <c r="D40" i="8"/>
  <c r="D37" i="8"/>
  <c r="D33" i="8"/>
  <c r="D24" i="8"/>
  <c r="D21" i="8"/>
  <c r="D18" i="8"/>
  <c r="D16" i="8"/>
  <c r="D12" i="8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8" i="8"/>
  <c r="A9" i="8" s="1"/>
  <c r="D7" i="8"/>
  <c r="O5" i="8"/>
  <c r="N5" i="8"/>
  <c r="M5" i="8"/>
  <c r="L5" i="8"/>
  <c r="K5" i="8"/>
  <c r="J5" i="8"/>
  <c r="I5" i="8"/>
  <c r="H5" i="8"/>
  <c r="G5" i="8"/>
  <c r="F5" i="8"/>
  <c r="A1" i="8"/>
  <c r="E123" i="7"/>
  <c r="C14" i="10"/>
  <c r="E116" i="7"/>
  <c r="G10" i="9"/>
  <c r="E10" i="9"/>
  <c r="E111" i="7"/>
  <c r="E87" i="7"/>
  <c r="E80" i="7"/>
  <c r="E74" i="7"/>
  <c r="E65" i="7"/>
  <c r="E51" i="7"/>
  <c r="G9" i="9"/>
  <c r="E9" i="9"/>
  <c r="E27" i="7"/>
  <c r="E20" i="7"/>
  <c r="E14" i="7"/>
  <c r="C13" i="10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O5" i="7"/>
  <c r="N5" i="7"/>
  <c r="M5" i="7"/>
  <c r="L5" i="7"/>
  <c r="K5" i="7"/>
  <c r="J5" i="7"/>
  <c r="I5" i="7"/>
  <c r="H5" i="7"/>
  <c r="G5" i="7"/>
  <c r="F5" i="7"/>
  <c r="A1" i="7"/>
  <c r="A1" i="9" s="1"/>
  <c r="A1" i="10" s="1"/>
  <c r="A1" i="11" s="1"/>
  <c r="E158" i="6"/>
  <c r="E153" i="6"/>
  <c r="C387" i="1"/>
  <c r="C392" i="1" s="1"/>
  <c r="E145" i="6"/>
  <c r="C9" i="10"/>
  <c r="E95" i="6"/>
  <c r="C20" i="10" s="1"/>
  <c r="E82" i="6"/>
  <c r="C20" i="11"/>
  <c r="E69" i="6"/>
  <c r="C385" i="1"/>
  <c r="C390" i="1" s="1"/>
  <c r="E58" i="6"/>
  <c r="C13" i="11" s="1"/>
  <c r="G25" i="9"/>
  <c r="E25" i="9"/>
  <c r="E50" i="6"/>
  <c r="E37" i="6"/>
  <c r="C11" i="11" s="1"/>
  <c r="E30" i="6"/>
  <c r="C18" i="11" s="1"/>
  <c r="E23" i="6"/>
  <c r="C19" i="11" s="1"/>
  <c r="E19" i="6"/>
  <c r="C17" i="11" s="1"/>
  <c r="E14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O5" i="6"/>
  <c r="N5" i="6"/>
  <c r="M5" i="6"/>
  <c r="L5" i="6"/>
  <c r="K5" i="6"/>
  <c r="J5" i="6"/>
  <c r="I5" i="6"/>
  <c r="H5" i="6"/>
  <c r="G5" i="6"/>
  <c r="F5" i="6"/>
  <c r="A1" i="6"/>
  <c r="O5" i="5"/>
  <c r="N5" i="5"/>
  <c r="M5" i="5"/>
  <c r="L5" i="5"/>
  <c r="K5" i="5"/>
  <c r="J5" i="5"/>
  <c r="I5" i="5"/>
  <c r="H5" i="5"/>
  <c r="G5" i="5"/>
  <c r="F5" i="5"/>
  <c r="A1" i="5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10" i="4"/>
  <c r="M6" i="4"/>
  <c r="L6" i="4"/>
  <c r="K6" i="4"/>
  <c r="J6" i="4"/>
  <c r="I6" i="4"/>
  <c r="H6" i="4"/>
  <c r="G6" i="4"/>
  <c r="F6" i="4"/>
  <c r="E6" i="4"/>
  <c r="D6" i="4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M6" i="3"/>
  <c r="L6" i="3"/>
  <c r="K6" i="3"/>
  <c r="J6" i="3"/>
  <c r="I6" i="3"/>
  <c r="H6" i="3"/>
  <c r="G6" i="3"/>
  <c r="F6" i="3"/>
  <c r="E6" i="3"/>
  <c r="D6" i="3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M6" i="2"/>
  <c r="L6" i="2"/>
  <c r="K6" i="2"/>
  <c r="J6" i="2"/>
  <c r="I6" i="2"/>
  <c r="H6" i="2"/>
  <c r="G6" i="2"/>
  <c r="F6" i="2"/>
  <c r="E6" i="2"/>
  <c r="D6" i="2"/>
  <c r="F394" i="1"/>
  <c r="C388" i="1"/>
  <c r="C393" i="1" s="1"/>
  <c r="C386" i="1"/>
  <c r="C391" i="1" s="1"/>
  <c r="E382" i="1"/>
  <c r="B371" i="1"/>
  <c r="B361" i="1"/>
  <c r="C351" i="1"/>
  <c r="B343" i="1"/>
  <c r="C333" i="1"/>
  <c r="B325" i="1"/>
  <c r="C315" i="1"/>
  <c r="B294" i="1"/>
  <c r="B288" i="1"/>
  <c r="B287" i="1"/>
  <c r="B280" i="1"/>
  <c r="B279" i="1"/>
  <c r="B277" i="1"/>
  <c r="A273" i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B278" i="1"/>
  <c r="P269" i="1"/>
  <c r="O269" i="1"/>
  <c r="N269" i="1"/>
  <c r="M269" i="1"/>
  <c r="L269" i="1"/>
  <c r="K269" i="1"/>
  <c r="J269" i="1"/>
  <c r="I269" i="1"/>
  <c r="H269" i="1"/>
  <c r="G269" i="1"/>
  <c r="A265" i="1"/>
  <c r="A264" i="1"/>
  <c r="B261" i="1"/>
  <c r="B260" i="1"/>
  <c r="B259" i="1"/>
  <c r="B258" i="1"/>
  <c r="B257" i="1"/>
  <c r="B256" i="1"/>
  <c r="C252" i="1"/>
  <c r="B252" i="1" s="1"/>
  <c r="B250" i="1"/>
  <c r="B248" i="1"/>
  <c r="B246" i="1"/>
  <c r="B253" i="1"/>
  <c r="B242" i="1"/>
  <c r="C243" i="1"/>
  <c r="C234" i="1"/>
  <c r="B234" i="1" s="1"/>
  <c r="B232" i="1"/>
  <c r="B230" i="1"/>
  <c r="B228" i="1"/>
  <c r="B235" i="1"/>
  <c r="B217" i="1"/>
  <c r="B208" i="1"/>
  <c r="B199" i="1"/>
  <c r="B190" i="1"/>
  <c r="C189" i="1"/>
  <c r="B188" i="1"/>
  <c r="B187" i="1"/>
  <c r="B184" i="1"/>
  <c r="B183" i="1"/>
  <c r="B181" i="1"/>
  <c r="B174" i="1"/>
  <c r="A165" i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254" i="1" s="1"/>
  <c r="A255" i="1" s="1"/>
  <c r="A256" i="1" s="1"/>
  <c r="A257" i="1" s="1"/>
  <c r="A258" i="1" s="1"/>
  <c r="A259" i="1" s="1"/>
  <c r="A260" i="1" s="1"/>
  <c r="A261" i="1" s="1"/>
  <c r="A262" i="1" s="1"/>
  <c r="B172" i="1"/>
  <c r="P161" i="1"/>
  <c r="O161" i="1"/>
  <c r="N161" i="1"/>
  <c r="M161" i="1"/>
  <c r="L161" i="1"/>
  <c r="K161" i="1"/>
  <c r="J161" i="1"/>
  <c r="I161" i="1"/>
  <c r="H161" i="1"/>
  <c r="G161" i="1"/>
  <c r="A157" i="1"/>
  <c r="A156" i="1"/>
  <c r="B153" i="1"/>
  <c r="C152" i="1"/>
  <c r="B151" i="1"/>
  <c r="B150" i="1"/>
  <c r="B149" i="1"/>
  <c r="B148" i="1"/>
  <c r="B147" i="1"/>
  <c r="B146" i="1"/>
  <c r="B125" i="1"/>
  <c r="C124" i="1"/>
  <c r="B118" i="1"/>
  <c r="B114" i="1"/>
  <c r="B113" i="1"/>
  <c r="B110" i="1"/>
  <c r="B109" i="1"/>
  <c r="B116" i="1"/>
  <c r="B96" i="1"/>
  <c r="B92" i="1"/>
  <c r="B98" i="1"/>
  <c r="B80" i="1"/>
  <c r="B71" i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P51" i="1"/>
  <c r="O51" i="1"/>
  <c r="N51" i="1"/>
  <c r="M51" i="1"/>
  <c r="L51" i="1"/>
  <c r="K51" i="1"/>
  <c r="J51" i="1"/>
  <c r="I51" i="1"/>
  <c r="H51" i="1"/>
  <c r="G51" i="1"/>
  <c r="A47" i="1"/>
  <c r="A46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I12" i="5" l="1"/>
  <c r="L12" i="5"/>
  <c r="G12" i="5"/>
  <c r="N12" i="5"/>
  <c r="M12" i="5"/>
  <c r="H12" i="5"/>
  <c r="K12" i="5"/>
  <c r="F12" i="5"/>
  <c r="O12" i="5"/>
  <c r="H17" i="5"/>
  <c r="N17" i="5"/>
  <c r="O17" i="5"/>
  <c r="I17" i="5"/>
  <c r="L17" i="5"/>
  <c r="A42" i="1"/>
  <c r="A43" i="1" s="1"/>
  <c r="A44" i="1" s="1"/>
  <c r="E99" i="6"/>
  <c r="E101" i="6" s="1"/>
  <c r="E147" i="7"/>
  <c r="E149" i="7" s="1"/>
  <c r="O11" i="12"/>
  <c r="O24" i="12" s="1"/>
  <c r="E11" i="12"/>
  <c r="M11" i="12"/>
  <c r="M24" i="12" s="1"/>
  <c r="G11" i="12"/>
  <c r="G23" i="12" s="1"/>
  <c r="K11" i="12"/>
  <c r="K23" i="12" s="1"/>
  <c r="I11" i="12"/>
  <c r="I24" i="12" s="1"/>
  <c r="H11" i="12"/>
  <c r="H28" i="12"/>
  <c r="L11" i="12"/>
  <c r="P11" i="12"/>
  <c r="P28" i="12"/>
  <c r="F29" i="12"/>
  <c r="J29" i="12"/>
  <c r="N29" i="12"/>
  <c r="F11" i="12"/>
  <c r="F28" i="12"/>
  <c r="F30" i="12" s="1"/>
  <c r="J11" i="12"/>
  <c r="J28" i="12"/>
  <c r="N11" i="12"/>
  <c r="N28" i="12"/>
  <c r="H29" i="12"/>
  <c r="L29" i="12"/>
  <c r="P29" i="12"/>
  <c r="B60" i="1"/>
  <c r="B130" i="1"/>
  <c r="B140" i="1"/>
  <c r="B139" i="1"/>
  <c r="B138" i="1"/>
  <c r="B143" i="1"/>
  <c r="C142" i="1"/>
  <c r="B142" i="1" s="1"/>
  <c r="B75" i="1"/>
  <c r="C79" i="1"/>
  <c r="B79" i="1" s="1"/>
  <c r="B131" i="1"/>
  <c r="B136" i="1"/>
  <c r="B141" i="1"/>
  <c r="B168" i="1"/>
  <c r="B59" i="1"/>
  <c r="B55" i="1"/>
  <c r="B56" i="1"/>
  <c r="B57" i="1"/>
  <c r="C61" i="1"/>
  <c r="B61" i="1" s="1"/>
  <c r="B77" i="1"/>
  <c r="B78" i="1"/>
  <c r="B76" i="1"/>
  <c r="B74" i="1"/>
  <c r="B87" i="1"/>
  <c r="B86" i="1"/>
  <c r="B85" i="1"/>
  <c r="B82" i="1"/>
  <c r="C88" i="1"/>
  <c r="B88" i="1" s="1"/>
  <c r="B89" i="1"/>
  <c r="B104" i="1"/>
  <c r="B103" i="1"/>
  <c r="B107" i="1"/>
  <c r="C106" i="1"/>
  <c r="B106" i="1" s="1"/>
  <c r="B102" i="1"/>
  <c r="B101" i="1"/>
  <c r="B105" i="1"/>
  <c r="B226" i="1"/>
  <c r="B221" i="1"/>
  <c r="B219" i="1"/>
  <c r="C225" i="1"/>
  <c r="B225" i="1" s="1"/>
  <c r="B222" i="1"/>
  <c r="B220" i="1"/>
  <c r="B223" i="1"/>
  <c r="B224" i="1"/>
  <c r="B58" i="1"/>
  <c r="B62" i="1"/>
  <c r="B73" i="1"/>
  <c r="B83" i="1"/>
  <c r="B84" i="1"/>
  <c r="B100" i="1"/>
  <c r="B132" i="1"/>
  <c r="B128" i="1"/>
  <c r="B134" i="1"/>
  <c r="C133" i="1"/>
  <c r="B133" i="1" s="1"/>
  <c r="B129" i="1"/>
  <c r="B127" i="1"/>
  <c r="B137" i="1"/>
  <c r="B170" i="1"/>
  <c r="B166" i="1"/>
  <c r="B169" i="1"/>
  <c r="B167" i="1"/>
  <c r="B165" i="1"/>
  <c r="C171" i="1"/>
  <c r="B171" i="1" s="1"/>
  <c r="B203" i="1"/>
  <c r="B206" i="1"/>
  <c r="B204" i="1"/>
  <c r="B202" i="1"/>
  <c r="B205" i="1"/>
  <c r="B201" i="1"/>
  <c r="C207" i="1"/>
  <c r="B207" i="1" s="1"/>
  <c r="B64" i="1"/>
  <c r="B66" i="1"/>
  <c r="B68" i="1"/>
  <c r="C70" i="1"/>
  <c r="B70" i="1" s="1"/>
  <c r="B93" i="1"/>
  <c r="C97" i="1"/>
  <c r="B97" i="1" s="1"/>
  <c r="B124" i="1"/>
  <c r="B120" i="1"/>
  <c r="B119" i="1"/>
  <c r="B121" i="1"/>
  <c r="B178" i="1"/>
  <c r="B189" i="1"/>
  <c r="B273" i="1"/>
  <c r="B301" i="1"/>
  <c r="B65" i="1"/>
  <c r="B67" i="1"/>
  <c r="B69" i="1"/>
  <c r="B91" i="1"/>
  <c r="B94" i="1"/>
  <c r="B95" i="1"/>
  <c r="B122" i="1"/>
  <c r="B123" i="1"/>
  <c r="C180" i="1"/>
  <c r="B180" i="1" s="1"/>
  <c r="B179" i="1"/>
  <c r="B176" i="1"/>
  <c r="B175" i="1"/>
  <c r="B177" i="1"/>
  <c r="B285" i="1"/>
  <c r="B366" i="1"/>
  <c r="B192" i="1"/>
  <c r="B194" i="1"/>
  <c r="B196" i="1"/>
  <c r="C198" i="1"/>
  <c r="B198" i="1" s="1"/>
  <c r="B210" i="1"/>
  <c r="B212" i="1"/>
  <c r="B214" i="1"/>
  <c r="C216" i="1"/>
  <c r="B216" i="1" s="1"/>
  <c r="B240" i="1"/>
  <c r="B275" i="1"/>
  <c r="B289" i="1"/>
  <c r="B286" i="1"/>
  <c r="B333" i="1"/>
  <c r="B329" i="1"/>
  <c r="B332" i="1"/>
  <c r="B328" i="1"/>
  <c r="B334" i="1"/>
  <c r="B331" i="1"/>
  <c r="B327" i="1"/>
  <c r="B111" i="1"/>
  <c r="B112" i="1"/>
  <c r="C115" i="1"/>
  <c r="B115" i="1" s="1"/>
  <c r="B185" i="1"/>
  <c r="B186" i="1"/>
  <c r="B193" i="1"/>
  <c r="B195" i="1"/>
  <c r="B197" i="1"/>
  <c r="B211" i="1"/>
  <c r="B213" i="1"/>
  <c r="B215" i="1"/>
  <c r="B243" i="1"/>
  <c r="B239" i="1"/>
  <c r="B237" i="1"/>
  <c r="B238" i="1"/>
  <c r="B241" i="1"/>
  <c r="B244" i="1"/>
  <c r="B298" i="1"/>
  <c r="B297" i="1"/>
  <c r="B293" i="1"/>
  <c r="B291" i="1"/>
  <c r="B364" i="1"/>
  <c r="B368" i="1"/>
  <c r="B296" i="1"/>
  <c r="B307" i="1"/>
  <c r="B304" i="1"/>
  <c r="B300" i="1"/>
  <c r="C306" i="1"/>
  <c r="B306" i="1" s="1"/>
  <c r="B303" i="1"/>
  <c r="B302" i="1"/>
  <c r="B315" i="1"/>
  <c r="B311" i="1"/>
  <c r="B316" i="1"/>
  <c r="B313" i="1"/>
  <c r="B309" i="1"/>
  <c r="B351" i="1"/>
  <c r="B347" i="1"/>
  <c r="B352" i="1"/>
  <c r="B349" i="1"/>
  <c r="B345" i="1"/>
  <c r="B354" i="1"/>
  <c r="B229" i="1"/>
  <c r="B231" i="1"/>
  <c r="B233" i="1"/>
  <c r="B247" i="1"/>
  <c r="B249" i="1"/>
  <c r="B251" i="1"/>
  <c r="B274" i="1"/>
  <c r="B276" i="1"/>
  <c r="B338" i="1"/>
  <c r="B365" i="1"/>
  <c r="B367" i="1"/>
  <c r="B369" i="1"/>
  <c r="C324" i="1"/>
  <c r="B324" i="1" s="1"/>
  <c r="B339" i="1"/>
  <c r="C342" i="1"/>
  <c r="B342" i="1" s="1"/>
  <c r="C360" i="1"/>
  <c r="B360" i="1" s="1"/>
  <c r="C9" i="9"/>
  <c r="D9" i="9" s="1"/>
  <c r="C23" i="10"/>
  <c r="C25" i="10" s="1"/>
  <c r="B318" i="1"/>
  <c r="B322" i="1"/>
  <c r="B336" i="1"/>
  <c r="B340" i="1"/>
  <c r="B358" i="1"/>
  <c r="A3" i="8"/>
  <c r="A3" i="7"/>
  <c r="A2" i="9" s="1"/>
  <c r="A2" i="10" s="1"/>
  <c r="A2" i="11" s="1"/>
  <c r="C19" i="10"/>
  <c r="C21" i="10" s="1"/>
  <c r="C12" i="11"/>
  <c r="A40" i="7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39" i="7"/>
  <c r="C14" i="11"/>
  <c r="E84" i="6"/>
  <c r="C16" i="11"/>
  <c r="C10" i="11"/>
  <c r="C25" i="9"/>
  <c r="F25" i="9" s="1"/>
  <c r="F26" i="9" s="1"/>
  <c r="C23" i="11"/>
  <c r="C8" i="10"/>
  <c r="C10" i="10" s="1"/>
  <c r="F9" i="9"/>
  <c r="E67" i="7"/>
  <c r="C12" i="10" s="1"/>
  <c r="C15" i="10" s="1"/>
  <c r="C24" i="10"/>
  <c r="C10" i="9"/>
  <c r="D11" i="9" s="1"/>
  <c r="M29" i="12"/>
  <c r="O23" i="12"/>
  <c r="O25" i="12" s="1"/>
  <c r="O28" i="12"/>
  <c r="K28" i="12"/>
  <c r="G28" i="12"/>
  <c r="M28" i="12"/>
  <c r="I28" i="12"/>
  <c r="E28" i="12"/>
  <c r="L28" i="12"/>
  <c r="C21" i="12"/>
  <c r="K24" i="12"/>
  <c r="G29" i="12"/>
  <c r="K29" i="12"/>
  <c r="O29" i="12"/>
  <c r="I29" i="12"/>
  <c r="K30" i="12" l="1"/>
  <c r="F10" i="9"/>
  <c r="J12" i="5"/>
  <c r="G17" i="5"/>
  <c r="J17" i="5"/>
  <c r="K17" i="5"/>
  <c r="M17" i="5"/>
  <c r="F11" i="9"/>
  <c r="H30" i="12"/>
  <c r="C17" i="10"/>
  <c r="D10" i="9"/>
  <c r="E103" i="6"/>
  <c r="E160" i="6" s="1"/>
  <c r="C29" i="12"/>
  <c r="M23" i="12"/>
  <c r="M25" i="12" s="1"/>
  <c r="C11" i="12"/>
  <c r="K25" i="12"/>
  <c r="M30" i="12"/>
  <c r="J30" i="12"/>
  <c r="E24" i="12"/>
  <c r="I23" i="12"/>
  <c r="I25" i="12" s="1"/>
  <c r="N30" i="12"/>
  <c r="E23" i="12"/>
  <c r="I30" i="12"/>
  <c r="O30" i="12"/>
  <c r="P30" i="12"/>
  <c r="L30" i="12"/>
  <c r="G30" i="12"/>
  <c r="E25" i="12"/>
  <c r="B355" i="1"/>
  <c r="B337" i="1"/>
  <c r="B319" i="1"/>
  <c r="G24" i="12"/>
  <c r="G25" i="12" s="1"/>
  <c r="E151" i="7"/>
  <c r="B357" i="1"/>
  <c r="B350" i="1"/>
  <c r="B312" i="1"/>
  <c r="B310" i="1"/>
  <c r="B292" i="1"/>
  <c r="B283" i="1"/>
  <c r="N23" i="12"/>
  <c r="N25" i="12" s="1"/>
  <c r="N24" i="12"/>
  <c r="F24" i="12"/>
  <c r="F23" i="12"/>
  <c r="H23" i="12"/>
  <c r="H25" i="12" s="1"/>
  <c r="H24" i="12"/>
  <c r="D25" i="9"/>
  <c r="D26" i="9" s="1"/>
  <c r="B359" i="1"/>
  <c r="B341" i="1"/>
  <c r="B323" i="1"/>
  <c r="B330" i="1"/>
  <c r="B282" i="1"/>
  <c r="P23" i="12"/>
  <c r="P25" i="12" s="1"/>
  <c r="P24" i="12"/>
  <c r="E30" i="12"/>
  <c r="C28" i="12"/>
  <c r="C25" i="11"/>
  <c r="C21" i="11"/>
  <c r="C27" i="10"/>
  <c r="C29" i="10" s="1"/>
  <c r="C33" i="10" s="1"/>
  <c r="B321" i="1"/>
  <c r="B356" i="1"/>
  <c r="B320" i="1"/>
  <c r="B348" i="1"/>
  <c r="B346" i="1"/>
  <c r="B314" i="1"/>
  <c r="B305" i="1"/>
  <c r="B295" i="1"/>
  <c r="B284" i="1"/>
  <c r="J24" i="12"/>
  <c r="J23" i="12"/>
  <c r="L23" i="12"/>
  <c r="L24" i="12"/>
  <c r="F17" i="5" l="1"/>
  <c r="L25" i="12"/>
  <c r="C23" i="12"/>
  <c r="F25" i="12"/>
  <c r="C25" i="12" s="1"/>
  <c r="C30" i="12"/>
  <c r="C24" i="12"/>
  <c r="J25" i="12"/>
  <c r="R11" i="5"/>
  <c r="S11" i="5"/>
  <c r="E372" i="1"/>
  <c r="E52" i="8"/>
  <c r="T10" i="5"/>
  <c r="U10" i="5"/>
  <c r="J124" i="1" l="1"/>
  <c r="L88" i="1"/>
  <c r="L142" i="1"/>
  <c r="J106" i="1"/>
  <c r="K106" i="1"/>
  <c r="N124" i="1"/>
  <c r="N97" i="1"/>
  <c r="O97" i="1"/>
  <c r="M133" i="1"/>
  <c r="O115" i="1"/>
  <c r="E110" i="1"/>
  <c r="E136" i="1"/>
  <c r="E86" i="1"/>
  <c r="K142" i="1"/>
  <c r="H133" i="1"/>
  <c r="O142" i="1"/>
  <c r="J97" i="1"/>
  <c r="H124" i="1"/>
  <c r="I106" i="1"/>
  <c r="J133" i="1"/>
  <c r="G142" i="1"/>
  <c r="E139" i="1"/>
  <c r="L115" i="1"/>
  <c r="E96" i="1"/>
  <c r="I142" i="1"/>
  <c r="J88" i="1"/>
  <c r="M115" i="1"/>
  <c r="I133" i="1"/>
  <c r="I115" i="1"/>
  <c r="H97" i="1"/>
  <c r="O124" i="1"/>
  <c r="J115" i="1"/>
  <c r="N115" i="1"/>
  <c r="E129" i="1"/>
  <c r="K115" i="1"/>
  <c r="N106" i="1"/>
  <c r="E94" i="1"/>
  <c r="E122" i="1"/>
  <c r="N142" i="1"/>
  <c r="M142" i="1"/>
  <c r="E140" i="1"/>
  <c r="E103" i="1"/>
  <c r="H115" i="1"/>
  <c r="E85" i="1"/>
  <c r="M88" i="1"/>
  <c r="K133" i="1"/>
  <c r="N133" i="1"/>
  <c r="K124" i="1"/>
  <c r="H142" i="1"/>
  <c r="E119" i="1"/>
  <c r="G106" i="1"/>
  <c r="K88" i="1"/>
  <c r="I124" i="1"/>
  <c r="I88" i="1"/>
  <c r="Q11" i="5"/>
  <c r="T8" i="5"/>
  <c r="U8" i="5"/>
  <c r="T9" i="5"/>
  <c r="U9" i="5"/>
  <c r="G88" i="1"/>
  <c r="E105" i="1"/>
  <c r="K97" i="1"/>
  <c r="H106" i="1"/>
  <c r="E100" i="1"/>
  <c r="G115" i="1"/>
  <c r="E109" i="1"/>
  <c r="J142" i="1"/>
  <c r="E121" i="1"/>
  <c r="O133" i="1"/>
  <c r="E132" i="1"/>
  <c r="E130" i="1"/>
  <c r="E84" i="1"/>
  <c r="E113" i="1"/>
  <c r="E101" i="1"/>
  <c r="E120" i="1"/>
  <c r="M124" i="1"/>
  <c r="N88" i="1"/>
  <c r="L124" i="1"/>
  <c r="L133" i="1"/>
  <c r="L106" i="1"/>
  <c r="E131" i="1"/>
  <c r="H88" i="1"/>
  <c r="E102" i="1"/>
  <c r="E104" i="1"/>
  <c r="E57" i="1"/>
  <c r="M106" i="1"/>
  <c r="E118" i="1"/>
  <c r="E138" i="1"/>
  <c r="E123" i="1"/>
  <c r="E91" i="1"/>
  <c r="G124" i="1"/>
  <c r="E114" i="1"/>
  <c r="E95" i="1"/>
  <c r="E137" i="1"/>
  <c r="M97" i="1"/>
  <c r="E112" i="1"/>
  <c r="I97" i="1"/>
  <c r="E128" i="1"/>
  <c r="E92" i="1"/>
  <c r="E87" i="1"/>
  <c r="E83" i="1"/>
  <c r="O106" i="1"/>
  <c r="E141" i="1"/>
  <c r="L97" i="1"/>
  <c r="G97" i="1"/>
  <c r="E93" i="1"/>
  <c r="E111" i="1"/>
  <c r="O88" i="1"/>
  <c r="G133" i="1"/>
  <c r="E127" i="1"/>
  <c r="M385" i="1"/>
  <c r="S16" i="5"/>
  <c r="L385" i="1"/>
  <c r="N385" i="1"/>
  <c r="O385" i="1"/>
  <c r="J385" i="1"/>
  <c r="I385" i="1"/>
  <c r="H385" i="1"/>
  <c r="I331" i="1"/>
  <c r="K323" i="1"/>
  <c r="M296" i="1"/>
  <c r="J357" i="1"/>
  <c r="H319" i="1"/>
  <c r="I349" i="1"/>
  <c r="O301" i="1"/>
  <c r="O349" i="1"/>
  <c r="M356" i="1"/>
  <c r="O303" i="1"/>
  <c r="K319" i="1"/>
  <c r="G294" i="1"/>
  <c r="M287" i="1"/>
  <c r="O313" i="1"/>
  <c r="G330" i="1"/>
  <c r="K341" i="1"/>
  <c r="P350" i="1"/>
  <c r="P348" i="1"/>
  <c r="P313" i="1"/>
  <c r="M341" i="1"/>
  <c r="L321" i="1"/>
  <c r="H330" i="1"/>
  <c r="I310" i="1"/>
  <c r="O347" i="1"/>
  <c r="H304" i="1"/>
  <c r="J341" i="1"/>
  <c r="J328" i="1"/>
  <c r="L359" i="1"/>
  <c r="O295" i="1"/>
  <c r="P331" i="1"/>
  <c r="L313" i="1"/>
  <c r="G310" i="1"/>
  <c r="I338" i="1"/>
  <c r="H314" i="1"/>
  <c r="P338" i="1"/>
  <c r="N331" i="1"/>
  <c r="G358" i="1"/>
  <c r="G338" i="1"/>
  <c r="P349" i="1"/>
  <c r="H312" i="1"/>
  <c r="J337" i="1"/>
  <c r="H323" i="1"/>
  <c r="M303" i="1"/>
  <c r="O341" i="1"/>
  <c r="L339" i="1"/>
  <c r="J303" i="1"/>
  <c r="G312" i="1"/>
  <c r="N313" i="1"/>
  <c r="J350" i="1"/>
  <c r="H321" i="1"/>
  <c r="P292" i="1"/>
  <c r="G356" i="1"/>
  <c r="H355" i="1"/>
  <c r="K301" i="1"/>
  <c r="M348" i="1"/>
  <c r="K322" i="1"/>
  <c r="H357" i="1"/>
  <c r="N304" i="1"/>
  <c r="P286" i="1"/>
  <c r="O330" i="1"/>
  <c r="P385" i="1"/>
  <c r="K329" i="1"/>
  <c r="M358" i="1"/>
  <c r="N329" i="1"/>
  <c r="J323" i="1"/>
  <c r="M350" i="1"/>
  <c r="K347" i="1"/>
  <c r="G322" i="1"/>
  <c r="H292" i="1"/>
  <c r="L285" i="1"/>
  <c r="M305" i="1"/>
  <c r="K337" i="1"/>
  <c r="N295" i="1"/>
  <c r="I321" i="1"/>
  <c r="K332" i="1"/>
  <c r="N328" i="1"/>
  <c r="N286" i="1"/>
  <c r="P341" i="1"/>
  <c r="K358" i="1"/>
  <c r="N285" i="1"/>
  <c r="O357" i="1"/>
  <c r="O322" i="1"/>
  <c r="N359" i="1"/>
  <c r="J296" i="1"/>
  <c r="L292" i="1"/>
  <c r="N320" i="1"/>
  <c r="L341" i="1"/>
  <c r="G340" i="1"/>
  <c r="J339" i="1"/>
  <c r="P332" i="1"/>
  <c r="M357" i="1"/>
  <c r="G313" i="1"/>
  <c r="I323" i="1"/>
  <c r="M301" i="1"/>
  <c r="G355" i="1"/>
  <c r="M310" i="1"/>
  <c r="N322" i="1"/>
  <c r="O356" i="1"/>
  <c r="K348" i="1"/>
  <c r="K321" i="1"/>
  <c r="K330" i="1"/>
  <c r="I292" i="1"/>
  <c r="M331" i="1"/>
  <c r="L330" i="1"/>
  <c r="H285" i="1"/>
  <c r="P311" i="1"/>
  <c r="N348" i="1"/>
  <c r="L320" i="1"/>
  <c r="I311" i="1"/>
  <c r="H286" i="1"/>
  <c r="P330" i="1"/>
  <c r="P285" i="1"/>
  <c r="J304" i="1"/>
  <c r="O339" i="1"/>
  <c r="L304" i="1"/>
  <c r="G357" i="1"/>
  <c r="M337" i="1"/>
  <c r="I328" i="1"/>
  <c r="K339" i="1"/>
  <c r="M330" i="1"/>
  <c r="J332" i="1"/>
  <c r="L355" i="1"/>
  <c r="N305" i="1"/>
  <c r="L287" i="1"/>
  <c r="G301" i="1"/>
  <c r="L314" i="1"/>
  <c r="M319" i="1"/>
  <c r="J346" i="1"/>
  <c r="H310" i="1"/>
  <c r="H294" i="1"/>
  <c r="K310" i="1"/>
  <c r="I339" i="1"/>
  <c r="H287" i="1"/>
  <c r="M359" i="1"/>
  <c r="O292" i="1"/>
  <c r="O321" i="1"/>
  <c r="M328" i="1"/>
  <c r="K331" i="1"/>
  <c r="P359" i="1"/>
  <c r="N347" i="1"/>
  <c r="O312" i="1"/>
  <c r="J340" i="1"/>
  <c r="P294" i="1"/>
  <c r="K314" i="1"/>
  <c r="G337" i="1"/>
  <c r="M311" i="1"/>
  <c r="N302" i="1"/>
  <c r="M286" i="1"/>
  <c r="G311" i="1"/>
  <c r="H322" i="1"/>
  <c r="P329" i="1"/>
  <c r="K340" i="1"/>
  <c r="L338" i="1"/>
  <c r="O314" i="1"/>
  <c r="N341" i="1"/>
  <c r="R16" i="5"/>
  <c r="G320" i="1"/>
  <c r="N349" i="1"/>
  <c r="I303" i="1"/>
  <c r="P319" i="1"/>
  <c r="I312" i="1"/>
  <c r="J287" i="1"/>
  <c r="H356" i="1"/>
  <c r="O350" i="1"/>
  <c r="O346" i="1"/>
  <c r="J275" i="1"/>
  <c r="M349" i="1"/>
  <c r="G346" i="1"/>
  <c r="L323" i="1"/>
  <c r="N311" i="1"/>
  <c r="M292" i="1"/>
  <c r="G302" i="1"/>
  <c r="K356" i="1"/>
  <c r="M329" i="1"/>
  <c r="P322" i="1"/>
  <c r="M312" i="1"/>
  <c r="G339" i="1"/>
  <c r="I302" i="1"/>
  <c r="N337" i="1"/>
  <c r="H332" i="1"/>
  <c r="M304" i="1"/>
  <c r="P328" i="1"/>
  <c r="H348" i="1"/>
  <c r="M321" i="1"/>
  <c r="M338" i="1"/>
  <c r="M314" i="1"/>
  <c r="H328" i="1"/>
  <c r="P305" i="1"/>
  <c r="M340" i="1"/>
  <c r="N356" i="1"/>
  <c r="P304" i="1"/>
  <c r="O359" i="1"/>
  <c r="J302" i="1"/>
  <c r="J313" i="1"/>
  <c r="G347" i="1"/>
  <c r="J285" i="1"/>
  <c r="J295" i="1"/>
  <c r="N312" i="1"/>
  <c r="O305" i="1"/>
  <c r="P320" i="1"/>
  <c r="L331" i="1"/>
  <c r="H339" i="1"/>
  <c r="M302" i="1"/>
  <c r="K303" i="1"/>
  <c r="L329" i="1"/>
  <c r="H341" i="1"/>
  <c r="O329" i="1"/>
  <c r="M339" i="1"/>
  <c r="I357" i="1"/>
  <c r="O320" i="1"/>
  <c r="N338" i="1"/>
  <c r="G323" i="1"/>
  <c r="N301" i="1"/>
  <c r="I285" i="1"/>
  <c r="O294" i="1"/>
  <c r="G329" i="1"/>
  <c r="H296" i="1"/>
  <c r="P301" i="1"/>
  <c r="N296" i="1"/>
  <c r="K302" i="1"/>
  <c r="H347" i="1"/>
  <c r="P302" i="1"/>
  <c r="H329" i="1"/>
  <c r="N340" i="1"/>
  <c r="O296" i="1"/>
  <c r="P357" i="1"/>
  <c r="M322" i="1"/>
  <c r="P339" i="1"/>
  <c r="I313" i="1"/>
  <c r="O304" i="1"/>
  <c r="N319" i="1"/>
  <c r="H331" i="1"/>
  <c r="K338" i="1"/>
  <c r="I314" i="1"/>
  <c r="G314" i="1"/>
  <c r="L310" i="1"/>
  <c r="H346" i="1"/>
  <c r="J355" i="1"/>
  <c r="J305" i="1"/>
  <c r="N332" i="1"/>
  <c r="N323" i="1"/>
  <c r="N355" i="1"/>
  <c r="O332" i="1"/>
  <c r="K320" i="1"/>
  <c r="J331" i="1"/>
  <c r="I355" i="1"/>
  <c r="M294" i="1"/>
  <c r="I319" i="1"/>
  <c r="M320" i="1"/>
  <c r="J321" i="1"/>
  <c r="L348" i="1"/>
  <c r="O302" i="1"/>
  <c r="N350" i="1"/>
  <c r="L332" i="1"/>
  <c r="N321" i="1"/>
  <c r="H349" i="1"/>
  <c r="K313" i="1"/>
  <c r="P356" i="1"/>
  <c r="O340" i="1"/>
  <c r="L295" i="1"/>
  <c r="I329" i="1"/>
  <c r="O348" i="1"/>
  <c r="N294" i="1"/>
  <c r="L296" i="1"/>
  <c r="P295" i="1"/>
  <c r="J358" i="1"/>
  <c r="L357" i="1"/>
  <c r="P347" i="1"/>
  <c r="H313" i="1"/>
  <c r="G295" i="1"/>
  <c r="I347" i="1"/>
  <c r="J322" i="1"/>
  <c r="N330" i="1"/>
  <c r="M313" i="1"/>
  <c r="H358" i="1"/>
  <c r="G305" i="1"/>
  <c r="O287" i="1"/>
  <c r="K311" i="1"/>
  <c r="G348" i="1"/>
  <c r="O311" i="1"/>
  <c r="P314" i="1"/>
  <c r="I294" i="1"/>
  <c r="L319" i="1"/>
  <c r="H359" i="1"/>
  <c r="K328" i="1"/>
  <c r="O285" i="1"/>
  <c r="G319" i="1"/>
  <c r="I356" i="1"/>
  <c r="L340" i="1"/>
  <c r="P321" i="1"/>
  <c r="J311" i="1"/>
  <c r="I277" i="1"/>
  <c r="H311" i="1"/>
  <c r="L311" i="1"/>
  <c r="L303" i="1"/>
  <c r="O331" i="1"/>
  <c r="O355" i="1"/>
  <c r="H305" i="1"/>
  <c r="G328" i="1"/>
  <c r="P310" i="1"/>
  <c r="N292" i="1"/>
  <c r="G331" i="1"/>
  <c r="J312" i="1"/>
  <c r="K312" i="1"/>
  <c r="H340" i="1"/>
  <c r="O323" i="1"/>
  <c r="O358" i="1"/>
  <c r="L349" i="1"/>
  <c r="O338" i="1"/>
  <c r="N357" i="1"/>
  <c r="N310" i="1"/>
  <c r="P323" i="1"/>
  <c r="L312" i="1"/>
  <c r="I320" i="1"/>
  <c r="G286" i="1"/>
  <c r="O337" i="1"/>
  <c r="M285" i="1"/>
  <c r="I322" i="1"/>
  <c r="G285" i="1"/>
  <c r="G303" i="1"/>
  <c r="I337" i="1"/>
  <c r="I287" i="1"/>
  <c r="N339" i="1"/>
  <c r="J301" i="1"/>
  <c r="J330" i="1"/>
  <c r="G332" i="1"/>
  <c r="K305" i="1"/>
  <c r="L301" i="1"/>
  <c r="I330" i="1"/>
  <c r="M346" i="1"/>
  <c r="P355" i="1"/>
  <c r="J359" i="1"/>
  <c r="J356" i="1"/>
  <c r="J292" i="1"/>
  <c r="J319" i="1"/>
  <c r="H337" i="1"/>
  <c r="P312" i="1"/>
  <c r="L337" i="1"/>
  <c r="J310" i="1"/>
  <c r="P340" i="1"/>
  <c r="I341" i="1"/>
  <c r="M332" i="1"/>
  <c r="I304" i="1"/>
  <c r="M347" i="1"/>
  <c r="I301" i="1"/>
  <c r="J314" i="1"/>
  <c r="G341" i="1"/>
  <c r="I296" i="1"/>
  <c r="O286" i="1"/>
  <c r="M323" i="1"/>
  <c r="I350" i="1"/>
  <c r="L346" i="1"/>
  <c r="L350" i="1"/>
  <c r="L358" i="1"/>
  <c r="J349" i="1"/>
  <c r="J286" i="1"/>
  <c r="M295" i="1"/>
  <c r="P358" i="1"/>
  <c r="L302" i="1"/>
  <c r="G349" i="1"/>
  <c r="G304" i="1"/>
  <c r="L347" i="1"/>
  <c r="L322" i="1"/>
  <c r="J294" i="1"/>
  <c r="G292" i="1"/>
  <c r="G321" i="1"/>
  <c r="P287" i="1"/>
  <c r="P303" i="1"/>
  <c r="J348" i="1"/>
  <c r="P296" i="1"/>
  <c r="L356" i="1"/>
  <c r="J329" i="1"/>
  <c r="G359" i="1"/>
  <c r="P346" i="1"/>
  <c r="I358" i="1"/>
  <c r="N346" i="1"/>
  <c r="I340" i="1"/>
  <c r="O328" i="1"/>
  <c r="N358" i="1"/>
  <c r="M355" i="1"/>
  <c r="I348" i="1"/>
  <c r="G296" i="1"/>
  <c r="N287" i="1"/>
  <c r="L305" i="1"/>
  <c r="G287" i="1"/>
  <c r="H303" i="1"/>
  <c r="J338" i="1"/>
  <c r="N314" i="1"/>
  <c r="I295" i="1"/>
  <c r="K346" i="1"/>
  <c r="H350" i="1"/>
  <c r="I305" i="1"/>
  <c r="H338" i="1"/>
  <c r="I359" i="1"/>
  <c r="G350" i="1"/>
  <c r="P337" i="1"/>
  <c r="H301" i="1"/>
  <c r="H320" i="1"/>
  <c r="O310" i="1"/>
  <c r="O319" i="1"/>
  <c r="L328" i="1"/>
  <c r="J320" i="1"/>
  <c r="L294" i="1"/>
  <c r="I286" i="1"/>
  <c r="K349" i="1"/>
  <c r="I332" i="1"/>
  <c r="K355" i="1"/>
  <c r="H295" i="1"/>
  <c r="I346" i="1"/>
  <c r="H302" i="1"/>
  <c r="K304" i="1"/>
  <c r="N303" i="1"/>
  <c r="K357" i="1"/>
  <c r="J347" i="1"/>
  <c r="L286" i="1"/>
  <c r="K350" i="1"/>
  <c r="K359" i="1"/>
  <c r="H87" i="7"/>
  <c r="E76" i="1" l="1"/>
  <c r="M19" i="6"/>
  <c r="S19" i="6"/>
  <c r="G87" i="7"/>
  <c r="E59" i="1"/>
  <c r="E60" i="1"/>
  <c r="R87" i="7"/>
  <c r="G19" i="6"/>
  <c r="I19" i="6"/>
  <c r="E58" i="1"/>
  <c r="P88" i="1"/>
  <c r="E77" i="1"/>
  <c r="E106" i="1"/>
  <c r="O87" i="7"/>
  <c r="T57" i="6"/>
  <c r="U57" i="6" s="1"/>
  <c r="N87" i="7"/>
  <c r="T112" i="6"/>
  <c r="U112" i="6" s="1"/>
  <c r="T54" i="6"/>
  <c r="U54" i="6" s="1"/>
  <c r="T120" i="6"/>
  <c r="U120" i="6" s="1"/>
  <c r="M87" i="7"/>
  <c r="K87" i="7"/>
  <c r="I87" i="7"/>
  <c r="T64" i="6"/>
  <c r="U64" i="6" s="1"/>
  <c r="H19" i="6"/>
  <c r="N19" i="6"/>
  <c r="T123" i="6"/>
  <c r="U123" i="6" s="1"/>
  <c r="E10" i="8"/>
  <c r="D10" i="8" s="1"/>
  <c r="L19" i="6"/>
  <c r="E97" i="1"/>
  <c r="E142" i="1"/>
  <c r="T119" i="6"/>
  <c r="U119" i="6" s="1"/>
  <c r="T135" i="6"/>
  <c r="U135" i="6" s="1"/>
  <c r="T65" i="6"/>
  <c r="U65" i="6" s="1"/>
  <c r="T36" i="6"/>
  <c r="U36" i="6" s="1"/>
  <c r="T62" i="6"/>
  <c r="U62" i="6" s="1"/>
  <c r="T124" i="6"/>
  <c r="U124" i="6" s="1"/>
  <c r="E150" i="1"/>
  <c r="K19" i="6"/>
  <c r="T137" i="6"/>
  <c r="U137" i="6" s="1"/>
  <c r="G11" i="8"/>
  <c r="T152" i="6"/>
  <c r="U152" i="6" s="1"/>
  <c r="T132" i="6"/>
  <c r="U132" i="6" s="1"/>
  <c r="E124" i="1"/>
  <c r="E82" i="1"/>
  <c r="E88" i="1" s="1"/>
  <c r="U11" i="5"/>
  <c r="E78" i="1"/>
  <c r="E67" i="1"/>
  <c r="T56" i="6"/>
  <c r="U56" i="6" s="1"/>
  <c r="K385" i="1"/>
  <c r="T117" i="6"/>
  <c r="U117" i="6" s="1"/>
  <c r="T116" i="6"/>
  <c r="U116" i="6" s="1"/>
  <c r="T18" i="6"/>
  <c r="U18" i="6" s="1"/>
  <c r="M11" i="8"/>
  <c r="T92" i="6"/>
  <c r="U92" i="6" s="1"/>
  <c r="T130" i="6"/>
  <c r="U130" i="6" s="1"/>
  <c r="E31" i="8"/>
  <c r="D31" i="8" s="1"/>
  <c r="R19" i="6"/>
  <c r="E16" i="1"/>
  <c r="E133" i="1"/>
  <c r="P124" i="1"/>
  <c r="T11" i="5"/>
  <c r="E68" i="1"/>
  <c r="T110" i="6"/>
  <c r="U110" i="6" s="1"/>
  <c r="T66" i="6"/>
  <c r="U66" i="6" s="1"/>
  <c r="T55" i="6"/>
  <c r="U55" i="6" s="1"/>
  <c r="T111" i="6"/>
  <c r="U111" i="6" s="1"/>
  <c r="T109" i="6"/>
  <c r="U109" i="6" s="1"/>
  <c r="T118" i="6"/>
  <c r="U118" i="6" s="1"/>
  <c r="T63" i="6"/>
  <c r="U63" i="6" s="1"/>
  <c r="T151" i="6"/>
  <c r="U151" i="6" s="1"/>
  <c r="O11" i="8"/>
  <c r="O19" i="6"/>
  <c r="E30" i="8"/>
  <c r="D30" i="8" s="1"/>
  <c r="P97" i="1"/>
  <c r="P133" i="1"/>
  <c r="E115" i="1"/>
  <c r="P106" i="1"/>
  <c r="E69" i="1"/>
  <c r="E74" i="1"/>
  <c r="P115" i="1"/>
  <c r="P142" i="1"/>
  <c r="S87" i="7"/>
  <c r="N276" i="1"/>
  <c r="L87" i="7"/>
  <c r="L275" i="1"/>
  <c r="I275" i="1"/>
  <c r="G275" i="1"/>
  <c r="E357" i="1"/>
  <c r="E303" i="1"/>
  <c r="L278" i="1"/>
  <c r="H277" i="1"/>
  <c r="G278" i="1"/>
  <c r="E355" i="1"/>
  <c r="N278" i="1"/>
  <c r="E356" i="1"/>
  <c r="I276" i="1"/>
  <c r="O275" i="1"/>
  <c r="E346" i="1"/>
  <c r="N277" i="1"/>
  <c r="J277" i="1"/>
  <c r="P277" i="1"/>
  <c r="L277" i="1"/>
  <c r="I368" i="1"/>
  <c r="O369" i="1"/>
  <c r="I278" i="1"/>
  <c r="H275" i="1"/>
  <c r="E350" i="1"/>
  <c r="H11" i="8"/>
  <c r="N11" i="8"/>
  <c r="K11" i="8"/>
  <c r="G385" i="1"/>
  <c r="N369" i="1"/>
  <c r="E339" i="1"/>
  <c r="N367" i="1"/>
  <c r="G367" i="1"/>
  <c r="E341" i="1"/>
  <c r="E329" i="1"/>
  <c r="M369" i="1"/>
  <c r="M276" i="1"/>
  <c r="E358" i="1"/>
  <c r="E311" i="1"/>
  <c r="O276" i="1"/>
  <c r="E319" i="1"/>
  <c r="E323" i="1"/>
  <c r="P276" i="1"/>
  <c r="I11" i="8"/>
  <c r="L11" i="8"/>
  <c r="E302" i="1"/>
  <c r="G276" i="1"/>
  <c r="M275" i="1"/>
  <c r="E349" i="1"/>
  <c r="E320" i="1"/>
  <c r="H278" i="1"/>
  <c r="E347" i="1"/>
  <c r="E338" i="1"/>
  <c r="L368" i="1"/>
  <c r="P278" i="1"/>
  <c r="E359" i="1"/>
  <c r="E305" i="1"/>
  <c r="O277" i="1"/>
  <c r="E321" i="1"/>
  <c r="E314" i="1"/>
  <c r="E340" i="1"/>
  <c r="M277" i="1"/>
  <c r="F87" i="7"/>
  <c r="E301" i="1"/>
  <c r="E337" i="1"/>
  <c r="G369" i="1"/>
  <c r="J276" i="1"/>
  <c r="E330" i="1"/>
  <c r="O278" i="1"/>
  <c r="N368" i="1"/>
  <c r="N275" i="1"/>
  <c r="E332" i="1"/>
  <c r="E313" i="1"/>
  <c r="E331" i="1"/>
  <c r="P275" i="1"/>
  <c r="E312" i="1"/>
  <c r="P368" i="1"/>
  <c r="E304" i="1"/>
  <c r="E322" i="1"/>
  <c r="E328" i="1"/>
  <c r="P367" i="1"/>
  <c r="E310" i="1"/>
  <c r="I369" i="1"/>
  <c r="L276" i="1"/>
  <c r="J278" i="1"/>
  <c r="P369" i="1"/>
  <c r="O368" i="1"/>
  <c r="G277" i="1"/>
  <c r="E348" i="1"/>
  <c r="M278" i="1"/>
  <c r="H276" i="1"/>
  <c r="M368" i="1"/>
  <c r="H369" i="1" l="1"/>
  <c r="J19" i="6"/>
  <c r="E149" i="1"/>
  <c r="G198" i="1"/>
  <c r="G300" i="1"/>
  <c r="E198" i="1"/>
  <c r="E300" i="1"/>
  <c r="H198" i="1"/>
  <c r="H300" i="1"/>
  <c r="P225" i="1"/>
  <c r="P327" i="1"/>
  <c r="N198" i="1"/>
  <c r="N300" i="1"/>
  <c r="G216" i="1"/>
  <c r="G318" i="1"/>
  <c r="P207" i="1"/>
  <c r="P309" i="1"/>
  <c r="P252" i="1"/>
  <c r="P354" i="1"/>
  <c r="P216" i="1"/>
  <c r="P318" i="1"/>
  <c r="I207" i="1"/>
  <c r="I309" i="1"/>
  <c r="L198" i="1"/>
  <c r="L300" i="1"/>
  <c r="L216" i="1"/>
  <c r="L318" i="1"/>
  <c r="I216" i="1"/>
  <c r="I318" i="1"/>
  <c r="O225" i="1"/>
  <c r="O327" i="1"/>
  <c r="N225" i="1"/>
  <c r="N327" i="1"/>
  <c r="J198" i="1"/>
  <c r="J300" i="1"/>
  <c r="N243" i="1"/>
  <c r="N345" i="1"/>
  <c r="L252" i="1"/>
  <c r="L354" i="1"/>
  <c r="K234" i="1"/>
  <c r="K336" i="1"/>
  <c r="O234" i="1"/>
  <c r="O336" i="1"/>
  <c r="G243" i="1"/>
  <c r="G345" i="1"/>
  <c r="N234" i="1"/>
  <c r="N336" i="1"/>
  <c r="Q19" i="6"/>
  <c r="T17" i="6"/>
  <c r="T85" i="7"/>
  <c r="U85" i="7"/>
  <c r="T25" i="7"/>
  <c r="U25" i="7"/>
  <c r="U39" i="5"/>
  <c r="T39" i="5"/>
  <c r="U23" i="5"/>
  <c r="T23" i="5"/>
  <c r="U32" i="7"/>
  <c r="T32" i="7"/>
  <c r="U101" i="7"/>
  <c r="T101" i="7"/>
  <c r="K294" i="1"/>
  <c r="K292" i="1"/>
  <c r="U39" i="7"/>
  <c r="T39" i="7"/>
  <c r="U127" i="7"/>
  <c r="T127" i="7"/>
  <c r="U44" i="5"/>
  <c r="T44" i="5"/>
  <c r="T83" i="7"/>
  <c r="Q87" i="7"/>
  <c r="U83" i="7"/>
  <c r="U40" i="7"/>
  <c r="T40" i="7"/>
  <c r="U99" i="7"/>
  <c r="T99" i="7"/>
  <c r="U49" i="5"/>
  <c r="T49" i="5"/>
  <c r="P243" i="1"/>
  <c r="P345" i="1"/>
  <c r="J216" i="1"/>
  <c r="J318" i="1"/>
  <c r="J252" i="1"/>
  <c r="J354" i="1"/>
  <c r="M198" i="1"/>
  <c r="M300" i="1"/>
  <c r="E17" i="1"/>
  <c r="E243" i="1"/>
  <c r="E345" i="1"/>
  <c r="L234" i="1"/>
  <c r="L336" i="1"/>
  <c r="P198" i="1"/>
  <c r="P300" i="1"/>
  <c r="I225" i="1"/>
  <c r="I327" i="1"/>
  <c r="K216" i="1"/>
  <c r="K318" i="1"/>
  <c r="I198" i="1"/>
  <c r="I300" i="1"/>
  <c r="M336" i="1"/>
  <c r="M234" i="1"/>
  <c r="K225" i="1"/>
  <c r="K327" i="1"/>
  <c r="G234" i="1"/>
  <c r="G336" i="1"/>
  <c r="M207" i="1"/>
  <c r="M309" i="1"/>
  <c r="M252" i="1"/>
  <c r="M354" i="1"/>
  <c r="O207" i="1"/>
  <c r="O309" i="1"/>
  <c r="J11" i="8"/>
  <c r="U25" i="5"/>
  <c r="T25" i="5"/>
  <c r="U20" i="5"/>
  <c r="T20" i="5"/>
  <c r="U26" i="5"/>
  <c r="T26" i="5"/>
  <c r="U95" i="7"/>
  <c r="T95" i="7"/>
  <c r="K286" i="1"/>
  <c r="K296" i="1"/>
  <c r="U49" i="7"/>
  <c r="T49" i="7"/>
  <c r="T84" i="7"/>
  <c r="U84" i="7"/>
  <c r="U43" i="5"/>
  <c r="T43" i="5"/>
  <c r="E9" i="8"/>
  <c r="D9" i="8" s="1"/>
  <c r="K287" i="1"/>
  <c r="U36" i="7"/>
  <c r="T36" i="7"/>
  <c r="U45" i="7"/>
  <c r="T45" i="7"/>
  <c r="U37" i="7"/>
  <c r="T37" i="7"/>
  <c r="U106" i="7"/>
  <c r="T106" i="7"/>
  <c r="U43" i="7"/>
  <c r="T43" i="7"/>
  <c r="J87" i="7"/>
  <c r="K295" i="1"/>
  <c r="E151" i="1"/>
  <c r="U138" i="7"/>
  <c r="T138" i="7"/>
  <c r="U31" i="7"/>
  <c r="T31" i="7"/>
  <c r="J234" i="1"/>
  <c r="J336" i="1"/>
  <c r="G252" i="1"/>
  <c r="G354" i="1"/>
  <c r="G225" i="1"/>
  <c r="G327" i="1"/>
  <c r="L243" i="1"/>
  <c r="L345" i="1"/>
  <c r="O216" i="1"/>
  <c r="O318" i="1"/>
  <c r="H252" i="1"/>
  <c r="H354" i="1"/>
  <c r="F11" i="8"/>
  <c r="E8" i="8"/>
  <c r="E225" i="1"/>
  <c r="E327" i="1"/>
  <c r="O243" i="1"/>
  <c r="O345" i="1"/>
  <c r="I243" i="1"/>
  <c r="I345" i="1"/>
  <c r="M225" i="1"/>
  <c r="M327" i="1"/>
  <c r="H225" i="1"/>
  <c r="H327" i="1"/>
  <c r="K207" i="1"/>
  <c r="K309" i="1"/>
  <c r="N252" i="1"/>
  <c r="N354" i="1"/>
  <c r="H234" i="1"/>
  <c r="H336" i="1"/>
  <c r="O252" i="1"/>
  <c r="O354" i="1"/>
  <c r="U102" i="7"/>
  <c r="T102" i="7"/>
  <c r="U103" i="7"/>
  <c r="T103" i="7"/>
  <c r="U133" i="7"/>
  <c r="T133" i="7"/>
  <c r="U141" i="7"/>
  <c r="T141" i="7"/>
  <c r="T24" i="7"/>
  <c r="U24" i="7"/>
  <c r="U22" i="5"/>
  <c r="T22" i="5"/>
  <c r="U48" i="7"/>
  <c r="T48" i="7"/>
  <c r="U41" i="5"/>
  <c r="T41" i="5"/>
  <c r="U34" i="5"/>
  <c r="T34" i="5"/>
  <c r="U135" i="7"/>
  <c r="T135" i="7"/>
  <c r="U30" i="5"/>
  <c r="T30" i="5"/>
  <c r="U42" i="5"/>
  <c r="T42" i="5"/>
  <c r="U24" i="5"/>
  <c r="T24" i="5"/>
  <c r="U44" i="7"/>
  <c r="T44" i="7"/>
  <c r="U18" i="7"/>
  <c r="T18" i="7"/>
  <c r="U28" i="5"/>
  <c r="T28" i="5"/>
  <c r="U97" i="7"/>
  <c r="T97" i="7"/>
  <c r="U47" i="7"/>
  <c r="T47" i="7"/>
  <c r="U93" i="7"/>
  <c r="T93" i="7"/>
  <c r="U19" i="7"/>
  <c r="T19" i="7"/>
  <c r="J243" i="1"/>
  <c r="J345" i="1"/>
  <c r="H216" i="1"/>
  <c r="H318" i="1"/>
  <c r="I354" i="1"/>
  <c r="I252" i="1"/>
  <c r="F19" i="6"/>
  <c r="N207" i="1"/>
  <c r="N309" i="1"/>
  <c r="H243" i="1"/>
  <c r="H345" i="1"/>
  <c r="I336" i="1"/>
  <c r="I234" i="1"/>
  <c r="J225" i="1"/>
  <c r="J327" i="1"/>
  <c r="K243" i="1"/>
  <c r="K345" i="1"/>
  <c r="N216" i="1"/>
  <c r="N318" i="1"/>
  <c r="M216" i="1"/>
  <c r="M318" i="1"/>
  <c r="L207" i="1"/>
  <c r="L309" i="1"/>
  <c r="J207" i="1"/>
  <c r="J309" i="1"/>
  <c r="O198" i="1"/>
  <c r="O300" i="1"/>
  <c r="H207" i="1"/>
  <c r="H309" i="1"/>
  <c r="L225" i="1"/>
  <c r="L327" i="1"/>
  <c r="G207" i="1"/>
  <c r="G309" i="1"/>
  <c r="E234" i="1"/>
  <c r="E336" i="1"/>
  <c r="E385" i="1"/>
  <c r="P234" i="1"/>
  <c r="P336" i="1"/>
  <c r="M243" i="1"/>
  <c r="M345" i="1"/>
  <c r="K198" i="1"/>
  <c r="K300" i="1"/>
  <c r="K252" i="1"/>
  <c r="K354" i="1"/>
  <c r="U94" i="7"/>
  <c r="T94" i="7"/>
  <c r="U19" i="5"/>
  <c r="T19" i="5"/>
  <c r="U27" i="5"/>
  <c r="T27" i="5"/>
  <c r="Q16" i="5"/>
  <c r="U14" i="5"/>
  <c r="U16" i="5" s="1"/>
  <c r="T14" i="5"/>
  <c r="T16" i="5" s="1"/>
  <c r="U11" i="7"/>
  <c r="T11" i="7"/>
  <c r="U96" i="7"/>
  <c r="T96" i="7"/>
  <c r="K285" i="1"/>
  <c r="T136" i="6"/>
  <c r="U136" i="6" s="1"/>
  <c r="U134" i="7"/>
  <c r="T134" i="7"/>
  <c r="U35" i="7"/>
  <c r="T35" i="7"/>
  <c r="U33" i="7"/>
  <c r="T33" i="7"/>
  <c r="U91" i="7"/>
  <c r="T91" i="7"/>
  <c r="T86" i="7"/>
  <c r="U86" i="7"/>
  <c r="U144" i="7"/>
  <c r="T144" i="7"/>
  <c r="T34" i="6"/>
  <c r="U34" i="6" s="1"/>
  <c r="U90" i="7"/>
  <c r="T90" i="7"/>
  <c r="U98" i="7"/>
  <c r="T98" i="7"/>
  <c r="U41" i="7"/>
  <c r="T41" i="7"/>
  <c r="U109" i="7"/>
  <c r="T109" i="7"/>
  <c r="U21" i="5"/>
  <c r="T21" i="5"/>
  <c r="U42" i="7"/>
  <c r="T42" i="7"/>
  <c r="U105" i="7"/>
  <c r="T105" i="7"/>
  <c r="T26" i="7"/>
  <c r="U26" i="7"/>
  <c r="J368" i="1"/>
  <c r="N20" i="7"/>
  <c r="F27" i="7"/>
  <c r="O27" i="7"/>
  <c r="S27" i="7"/>
  <c r="H27" i="7"/>
  <c r="K27" i="7"/>
  <c r="I27" i="7"/>
  <c r="G27" i="7"/>
  <c r="R27" i="7"/>
  <c r="N27" i="7"/>
  <c r="L27" i="7"/>
  <c r="M27" i="7"/>
  <c r="O367" i="1"/>
  <c r="R20" i="7"/>
  <c r="L20" i="7"/>
  <c r="E292" i="1"/>
  <c r="L367" i="1"/>
  <c r="R69" i="6"/>
  <c r="N69" i="6"/>
  <c r="K20" i="7"/>
  <c r="G20" i="7"/>
  <c r="I20" i="7"/>
  <c r="O20" i="7"/>
  <c r="E277" i="1"/>
  <c r="E285" i="1"/>
  <c r="G368" i="1"/>
  <c r="E294" i="1"/>
  <c r="R37" i="6"/>
  <c r="L37" i="6"/>
  <c r="E276" i="1"/>
  <c r="E286" i="1"/>
  <c r="E296" i="1"/>
  <c r="O69" i="6"/>
  <c r="M20" i="7"/>
  <c r="S20" i="7"/>
  <c r="H368" i="1"/>
  <c r="J367" i="1"/>
  <c r="E287" i="1"/>
  <c r="I37" i="6"/>
  <c r="M367" i="1"/>
  <c r="E295" i="1"/>
  <c r="K69" i="6"/>
  <c r="G69" i="6"/>
  <c r="H20" i="7"/>
  <c r="F20" i="7"/>
  <c r="I367" i="1"/>
  <c r="L369" i="1"/>
  <c r="H367" i="1"/>
  <c r="J369" i="1"/>
  <c r="H37" i="6" l="1"/>
  <c r="I69" i="6"/>
  <c r="M69" i="6"/>
  <c r="L69" i="6"/>
  <c r="F69" i="6"/>
  <c r="H69" i="6"/>
  <c r="E216" i="1"/>
  <c r="E318" i="1"/>
  <c r="N37" i="6"/>
  <c r="S37" i="6"/>
  <c r="K277" i="1"/>
  <c r="E11" i="8"/>
  <c r="D11" i="8" s="1"/>
  <c r="D8" i="8"/>
  <c r="T87" i="7"/>
  <c r="E207" i="1"/>
  <c r="E309" i="1"/>
  <c r="E252" i="1"/>
  <c r="E354" i="1"/>
  <c r="T35" i="6"/>
  <c r="U35" i="6" s="1"/>
  <c r="J20" i="7"/>
  <c r="M37" i="6"/>
  <c r="P390" i="1"/>
  <c r="M390" i="1"/>
  <c r="L390" i="1"/>
  <c r="N390" i="1"/>
  <c r="J390" i="1"/>
  <c r="O390" i="1"/>
  <c r="H390" i="1"/>
  <c r="I390" i="1"/>
  <c r="K390" i="1"/>
  <c r="K278" i="1"/>
  <c r="K276" i="1"/>
  <c r="T19" i="6"/>
  <c r="U17" i="6"/>
  <c r="U19" i="6" s="1"/>
  <c r="O37" i="6"/>
  <c r="T68" i="6"/>
  <c r="U68" i="6" s="1"/>
  <c r="S69" i="6"/>
  <c r="J27" i="7"/>
  <c r="G37" i="6"/>
  <c r="G390" i="1"/>
  <c r="U87" i="7"/>
  <c r="K275" i="1"/>
  <c r="F37" i="6"/>
  <c r="K37" i="6"/>
  <c r="T67" i="6"/>
  <c r="U67" i="6" s="1"/>
  <c r="E275" i="1"/>
  <c r="E369" i="1"/>
  <c r="E368" i="1"/>
  <c r="E278" i="1"/>
  <c r="E367" i="1"/>
  <c r="J37" i="6" l="1"/>
  <c r="T44" i="6"/>
  <c r="U44" i="6" s="1"/>
  <c r="U104" i="7"/>
  <c r="T104" i="7"/>
  <c r="U100" i="7"/>
  <c r="T100" i="7"/>
  <c r="U48" i="5"/>
  <c r="T48" i="5"/>
  <c r="U34" i="7"/>
  <c r="T34" i="7"/>
  <c r="U33" i="5"/>
  <c r="T33" i="5"/>
  <c r="K368" i="1"/>
  <c r="K369" i="1"/>
  <c r="U30" i="7"/>
  <c r="T30" i="7"/>
  <c r="J69" i="6"/>
  <c r="T23" i="7"/>
  <c r="T27" i="7" s="1"/>
  <c r="Q27" i="7"/>
  <c r="U23" i="7"/>
  <c r="U27" i="7" s="1"/>
  <c r="T33" i="6"/>
  <c r="Q37" i="6"/>
  <c r="U126" i="7"/>
  <c r="T126" i="7"/>
  <c r="U46" i="7"/>
  <c r="T46" i="7"/>
  <c r="T61" i="6"/>
  <c r="Q69" i="6"/>
  <c r="U71" i="7"/>
  <c r="T71" i="7"/>
  <c r="E390" i="1"/>
  <c r="U38" i="7"/>
  <c r="T38" i="7"/>
  <c r="U92" i="7"/>
  <c r="T92" i="7"/>
  <c r="U17" i="7"/>
  <c r="U20" i="7" s="1"/>
  <c r="T17" i="7"/>
  <c r="T20" i="7" s="1"/>
  <c r="Q20" i="7"/>
  <c r="K367" i="1"/>
  <c r="U131" i="7" l="1"/>
  <c r="T131" i="7"/>
  <c r="U61" i="6"/>
  <c r="U69" i="6" s="1"/>
  <c r="T69" i="6"/>
  <c r="T37" i="6"/>
  <c r="U33" i="6"/>
  <c r="U37" i="6" s="1"/>
  <c r="U107" i="7"/>
  <c r="T107" i="7"/>
  <c r="E23" i="1" l="1"/>
  <c r="K26" i="2"/>
  <c r="I26" i="2"/>
  <c r="G26" i="2"/>
  <c r="M26" i="2"/>
  <c r="E11" i="1"/>
  <c r="F26" i="2" l="1"/>
  <c r="E22" i="1"/>
  <c r="E10" i="1"/>
  <c r="C26" i="3"/>
  <c r="L26" i="2"/>
  <c r="C26" i="4"/>
  <c r="M26" i="3"/>
  <c r="I26" i="3"/>
  <c r="J26" i="3"/>
  <c r="E26" i="3"/>
  <c r="J26" i="2"/>
  <c r="F26" i="3"/>
  <c r="L26" i="3"/>
  <c r="H26" i="2"/>
  <c r="J26" i="4"/>
  <c r="G26" i="3"/>
  <c r="L26" i="4"/>
  <c r="K26" i="3"/>
  <c r="G26" i="4"/>
  <c r="I26" i="4"/>
  <c r="C26" i="2"/>
  <c r="F26" i="4"/>
  <c r="H70" i="1" l="1"/>
  <c r="N70" i="1"/>
  <c r="I70" i="1"/>
  <c r="J70" i="1"/>
  <c r="E26" i="2"/>
  <c r="H26" i="3"/>
  <c r="L70" i="1"/>
  <c r="P70" i="1"/>
  <c r="M70" i="1"/>
  <c r="O70" i="1"/>
  <c r="E26" i="4"/>
  <c r="M26" i="4"/>
  <c r="D26" i="4"/>
  <c r="M79" i="1"/>
  <c r="L79" i="1"/>
  <c r="H79" i="1"/>
  <c r="J79" i="1"/>
  <c r="K26" i="4"/>
  <c r="P61" i="1"/>
  <c r="O61" i="1"/>
  <c r="M61" i="1"/>
  <c r="N61" i="1"/>
  <c r="L61" i="1"/>
  <c r="J61" i="1"/>
  <c r="I61" i="1"/>
  <c r="D26" i="3"/>
  <c r="I79" i="1"/>
  <c r="P79" i="1"/>
  <c r="J13" i="1"/>
  <c r="M13" i="1"/>
  <c r="H26" i="4"/>
  <c r="O13" i="1"/>
  <c r="D26" i="2"/>
  <c r="H13" i="1"/>
  <c r="L13" i="1"/>
  <c r="I13" i="1"/>
  <c r="O79" i="1"/>
  <c r="N79" i="1"/>
  <c r="E66" i="1" l="1"/>
  <c r="P13" i="1"/>
  <c r="P33" i="1" s="1"/>
  <c r="N13" i="1"/>
  <c r="N33" i="1" s="1"/>
  <c r="E65" i="1"/>
  <c r="E56" i="1"/>
  <c r="O33" i="1"/>
  <c r="H33" i="1"/>
  <c r="M33" i="1"/>
  <c r="K70" i="1"/>
  <c r="G70" i="1"/>
  <c r="G79" i="1"/>
  <c r="E73" i="1"/>
  <c r="E64" i="1"/>
  <c r="I33" i="1"/>
  <c r="L33" i="1"/>
  <c r="G61" i="1"/>
  <c r="J33" i="1"/>
  <c r="H61" i="1"/>
  <c r="E70" i="1" l="1"/>
  <c r="K13" i="1"/>
  <c r="N152" i="1"/>
  <c r="N154" i="1"/>
  <c r="L154" i="1"/>
  <c r="L152" i="1"/>
  <c r="I154" i="1"/>
  <c r="I152" i="1"/>
  <c r="P154" i="1"/>
  <c r="P152" i="1"/>
  <c r="M152" i="1"/>
  <c r="M154" i="1"/>
  <c r="E55" i="1"/>
  <c r="E61" i="1" s="1"/>
  <c r="E75" i="1"/>
  <c r="E79" i="1" s="1"/>
  <c r="C12" i="9" s="1"/>
  <c r="G152" i="1"/>
  <c r="G154" i="1"/>
  <c r="O154" i="1"/>
  <c r="O152" i="1"/>
  <c r="K61" i="1"/>
  <c r="J152" i="1"/>
  <c r="J154" i="1"/>
  <c r="K79" i="1"/>
  <c r="E147" i="1"/>
  <c r="E146" i="1" l="1"/>
  <c r="C11" i="9"/>
  <c r="C15" i="9"/>
  <c r="E12" i="1"/>
  <c r="E13" i="1" s="1"/>
  <c r="G13" i="1"/>
  <c r="E148" i="1"/>
  <c r="H154" i="1"/>
  <c r="H152" i="1"/>
  <c r="K33" i="1"/>
  <c r="K154" i="1"/>
  <c r="K152" i="1"/>
  <c r="E152" i="1" l="1"/>
  <c r="E28" i="8"/>
  <c r="D28" i="8" s="1"/>
  <c r="E26" i="8"/>
  <c r="D26" i="8" s="1"/>
  <c r="E154" i="1"/>
  <c r="E17" i="8"/>
  <c r="D17" i="8" s="1"/>
  <c r="E27" i="8"/>
  <c r="D27" i="8" s="1"/>
  <c r="G33" i="1"/>
  <c r="G11" i="9"/>
  <c r="G12" i="9" s="1"/>
  <c r="G15" i="9" s="1"/>
  <c r="E11" i="9"/>
  <c r="E12" i="9" s="1"/>
  <c r="E15" i="9" s="1"/>
  <c r="K51" i="7"/>
  <c r="K58" i="6"/>
  <c r="N58" i="6"/>
  <c r="G23" i="6"/>
  <c r="I51" i="7"/>
  <c r="J283" i="1"/>
  <c r="N283" i="1"/>
  <c r="L283" i="1"/>
  <c r="I283" i="1"/>
  <c r="P283" i="1"/>
  <c r="M283" i="1"/>
  <c r="H283" i="1"/>
  <c r="O283" i="1"/>
  <c r="G51" i="7"/>
  <c r="I58" i="6"/>
  <c r="H58" i="6"/>
  <c r="G58" i="6"/>
  <c r="R58" i="6"/>
  <c r="N14" i="6"/>
  <c r="K14" i="6"/>
  <c r="R51" i="7"/>
  <c r="L51" i="7"/>
  <c r="N51" i="7"/>
  <c r="S58" i="6"/>
  <c r="I23" i="6"/>
  <c r="N23" i="6"/>
  <c r="O23" i="6"/>
  <c r="R111" i="7"/>
  <c r="M51" i="7"/>
  <c r="S51" i="7"/>
  <c r="H51" i="7"/>
  <c r="O51" i="7"/>
  <c r="F58" i="6"/>
  <c r="H14" i="6"/>
  <c r="R23" i="6"/>
  <c r="S23" i="6"/>
  <c r="K23" i="6"/>
  <c r="L23" i="6"/>
  <c r="M23" i="6"/>
  <c r="F23" i="6"/>
  <c r="H23" i="6"/>
  <c r="F51" i="7"/>
  <c r="O58" i="6"/>
  <c r="L58" i="6"/>
  <c r="M111" i="7" l="1"/>
  <c r="S80" i="7"/>
  <c r="R14" i="6"/>
  <c r="F14" i="6"/>
  <c r="F111" i="7"/>
  <c r="E29" i="8"/>
  <c r="D29" i="8" s="1"/>
  <c r="S30" i="6"/>
  <c r="G14" i="6"/>
  <c r="L111" i="7"/>
  <c r="M80" i="7"/>
  <c r="K111" i="7"/>
  <c r="H30" i="6"/>
  <c r="T108" i="6"/>
  <c r="U108" i="6" s="1"/>
  <c r="I14" i="6"/>
  <c r="T28" i="6"/>
  <c r="U28" i="6" s="1"/>
  <c r="T43" i="6"/>
  <c r="U43" i="6" s="1"/>
  <c r="T45" i="6"/>
  <c r="U45" i="6" s="1"/>
  <c r="T89" i="6"/>
  <c r="U89" i="6" s="1"/>
  <c r="T127" i="6"/>
  <c r="U127" i="6" s="1"/>
  <c r="G80" i="7"/>
  <c r="G111" i="7"/>
  <c r="T13" i="6"/>
  <c r="U13" i="6" s="1"/>
  <c r="R80" i="7"/>
  <c r="O14" i="6"/>
  <c r="T121" i="6"/>
  <c r="U121" i="6" s="1"/>
  <c r="T122" i="6"/>
  <c r="U122" i="6" s="1"/>
  <c r="O30" i="6"/>
  <c r="T29" i="6"/>
  <c r="U29" i="6" s="1"/>
  <c r="T93" i="6"/>
  <c r="U93" i="6" s="1"/>
  <c r="T131" i="6"/>
  <c r="U131" i="6" s="1"/>
  <c r="O111" i="7"/>
  <c r="S111" i="7"/>
  <c r="E33" i="1"/>
  <c r="N30" i="6"/>
  <c r="H80" i="7"/>
  <c r="T107" i="6"/>
  <c r="U107" i="6" s="1"/>
  <c r="T113" i="6"/>
  <c r="U113" i="6" s="1"/>
  <c r="T90" i="6"/>
  <c r="U90" i="6" s="1"/>
  <c r="K30" i="6"/>
  <c r="I80" i="7"/>
  <c r="T88" i="6"/>
  <c r="U88" i="6" s="1"/>
  <c r="R30" i="6"/>
  <c r="M14" i="6"/>
  <c r="T41" i="6"/>
  <c r="U41" i="6" s="1"/>
  <c r="I111" i="7"/>
  <c r="T27" i="6"/>
  <c r="U27" i="6" s="1"/>
  <c r="S14" i="6"/>
  <c r="T126" i="6"/>
  <c r="U126" i="6" s="1"/>
  <c r="T141" i="6"/>
  <c r="U141" i="6" s="1"/>
  <c r="L80" i="7"/>
  <c r="L14" i="6"/>
  <c r="J51" i="7"/>
  <c r="T139" i="6"/>
  <c r="U139" i="6" s="1"/>
  <c r="T91" i="6"/>
  <c r="U91" i="6" s="1"/>
  <c r="G30" i="6"/>
  <c r="N80" i="7"/>
  <c r="F80" i="7"/>
  <c r="J23" i="6"/>
  <c r="T142" i="6"/>
  <c r="U142" i="6" s="1"/>
  <c r="T46" i="6"/>
  <c r="U46" i="6" s="1"/>
  <c r="N111" i="7"/>
  <c r="M30" i="6"/>
  <c r="M58" i="6"/>
  <c r="O80" i="7"/>
  <c r="I30" i="6"/>
  <c r="T115" i="6"/>
  <c r="U115" i="6" s="1"/>
  <c r="E38" i="8"/>
  <c r="D38" i="8" s="1"/>
  <c r="J58" i="6"/>
  <c r="F30" i="6"/>
  <c r="T114" i="6"/>
  <c r="U114" i="6" s="1"/>
  <c r="T42" i="6"/>
  <c r="U42" i="6" s="1"/>
  <c r="K80" i="7"/>
  <c r="H111" i="7"/>
  <c r="L30" i="6"/>
  <c r="T138" i="6"/>
  <c r="U138" i="6" s="1"/>
  <c r="K95" i="6"/>
  <c r="H32" i="8"/>
  <c r="L32" i="8"/>
  <c r="K32" i="8"/>
  <c r="O32" i="8"/>
  <c r="N32" i="8"/>
  <c r="G32" i="8"/>
  <c r="I32" i="8"/>
  <c r="M32" i="8"/>
  <c r="E14" i="2"/>
  <c r="E18" i="2" s="1"/>
  <c r="H274" i="1"/>
  <c r="L14" i="2"/>
  <c r="L18" i="2" s="1"/>
  <c r="O274" i="1"/>
  <c r="F14" i="2"/>
  <c r="F18" i="2" s="1"/>
  <c r="I274" i="1"/>
  <c r="M14" i="2"/>
  <c r="M18" i="2" s="1"/>
  <c r="P274" i="1"/>
  <c r="K14" i="2"/>
  <c r="K18" i="2" s="1"/>
  <c r="N274" i="1"/>
  <c r="J14" i="2"/>
  <c r="J18" i="2" s="1"/>
  <c r="M274" i="1"/>
  <c r="G14" i="2"/>
  <c r="G18" i="2" s="1"/>
  <c r="J274" i="1"/>
  <c r="I14" i="2"/>
  <c r="I18" i="2" s="1"/>
  <c r="L274" i="1"/>
  <c r="G14" i="3"/>
  <c r="G18" i="3" s="1"/>
  <c r="M293" i="1"/>
  <c r="P293" i="1"/>
  <c r="I293" i="1"/>
  <c r="I14" i="3"/>
  <c r="I18" i="3" s="1"/>
  <c r="C14" i="4"/>
  <c r="C18" i="4" s="1"/>
  <c r="P284" i="1"/>
  <c r="E14" i="3"/>
  <c r="E18" i="3" s="1"/>
  <c r="L14" i="3"/>
  <c r="L18" i="3" s="1"/>
  <c r="O95" i="6"/>
  <c r="R95" i="6"/>
  <c r="S95" i="6"/>
  <c r="E283" i="1"/>
  <c r="L284" i="1"/>
  <c r="J284" i="1"/>
  <c r="O284" i="1"/>
  <c r="J14" i="3"/>
  <c r="J18" i="3" s="1"/>
  <c r="O293" i="1"/>
  <c r="N284" i="1"/>
  <c r="M284" i="1"/>
  <c r="C14" i="2"/>
  <c r="C18" i="2" s="1"/>
  <c r="F95" i="6"/>
  <c r="M95" i="6"/>
  <c r="H95" i="6"/>
  <c r="N95" i="6"/>
  <c r="I95" i="6"/>
  <c r="M14" i="3"/>
  <c r="M18" i="3" s="1"/>
  <c r="H293" i="1"/>
  <c r="J293" i="1"/>
  <c r="L293" i="1"/>
  <c r="N293" i="1"/>
  <c r="C14" i="3"/>
  <c r="C18" i="3" s="1"/>
  <c r="I284" i="1"/>
  <c r="H284" i="1"/>
  <c r="F14" i="3"/>
  <c r="F18" i="3" s="1"/>
  <c r="K14" i="3"/>
  <c r="K18" i="3" s="1"/>
  <c r="G95" i="6"/>
  <c r="L95" i="6"/>
  <c r="E14" i="8" l="1"/>
  <c r="D14" i="8" s="1"/>
  <c r="H14" i="2"/>
  <c r="H18" i="2" s="1"/>
  <c r="J32" i="8"/>
  <c r="C23" i="9"/>
  <c r="C27" i="9" s="1"/>
  <c r="C29" i="9" s="1"/>
  <c r="J111" i="7"/>
  <c r="U31" i="5"/>
  <c r="T31" i="5"/>
  <c r="U35" i="5"/>
  <c r="T35" i="5"/>
  <c r="U143" i="7"/>
  <c r="T143" i="7"/>
  <c r="U140" i="7"/>
  <c r="T140" i="7"/>
  <c r="J80" i="7"/>
  <c r="U130" i="7"/>
  <c r="T130" i="7"/>
  <c r="T53" i="6"/>
  <c r="Q58" i="6"/>
  <c r="U38" i="5"/>
  <c r="T38" i="5"/>
  <c r="T106" i="6"/>
  <c r="U137" i="7"/>
  <c r="T137" i="7"/>
  <c r="U77" i="7"/>
  <c r="T77" i="7"/>
  <c r="Q80" i="7"/>
  <c r="U78" i="7"/>
  <c r="T78" i="7"/>
  <c r="J30" i="6"/>
  <c r="H14" i="3"/>
  <c r="H18" i="3" s="1"/>
  <c r="T94" i="6"/>
  <c r="U94" i="6" s="1"/>
  <c r="K283" i="1"/>
  <c r="T87" i="6"/>
  <c r="Q95" i="6"/>
  <c r="U79" i="7"/>
  <c r="T79" i="7"/>
  <c r="U110" i="7"/>
  <c r="T110" i="7"/>
  <c r="U29" i="5"/>
  <c r="T29" i="5"/>
  <c r="Q30" i="6"/>
  <c r="T26" i="6"/>
  <c r="U45" i="5"/>
  <c r="T45" i="5"/>
  <c r="T12" i="6"/>
  <c r="Q14" i="6"/>
  <c r="D14" i="2"/>
  <c r="D18" i="2" s="1"/>
  <c r="T47" i="6"/>
  <c r="U47" i="6" s="1"/>
  <c r="J95" i="6"/>
  <c r="T22" i="6"/>
  <c r="Q23" i="6"/>
  <c r="U50" i="7"/>
  <c r="U51" i="7" s="1"/>
  <c r="T50" i="7"/>
  <c r="T51" i="7" s="1"/>
  <c r="Q51" i="7"/>
  <c r="U108" i="7"/>
  <c r="T108" i="7"/>
  <c r="Q111" i="7"/>
  <c r="U40" i="5"/>
  <c r="T40" i="5"/>
  <c r="U37" i="5"/>
  <c r="T37" i="5"/>
  <c r="J14" i="6"/>
  <c r="F14" i="4"/>
  <c r="F18" i="4" s="1"/>
  <c r="J14" i="4"/>
  <c r="J18" i="4" s="1"/>
  <c r="E14" i="4"/>
  <c r="E18" i="4" s="1"/>
  <c r="M14" i="4"/>
  <c r="M18" i="4" s="1"/>
  <c r="K14" i="4"/>
  <c r="K18" i="4" s="1"/>
  <c r="L365" i="1"/>
  <c r="J365" i="1"/>
  <c r="M365" i="1"/>
  <c r="H365" i="1"/>
  <c r="D14" i="4"/>
  <c r="D18" i="4" s="1"/>
  <c r="D14" i="3"/>
  <c r="D18" i="3" s="1"/>
  <c r="L14" i="4"/>
  <c r="L18" i="4" s="1"/>
  <c r="P365" i="1"/>
  <c r="O365" i="1"/>
  <c r="E293" i="1"/>
  <c r="N365" i="1"/>
  <c r="G14" i="4"/>
  <c r="G18" i="4" s="1"/>
  <c r="I14" i="4"/>
  <c r="I18" i="4" s="1"/>
  <c r="E284" i="1"/>
  <c r="I365" i="1"/>
  <c r="K50" i="6"/>
  <c r="U111" i="7" l="1"/>
  <c r="R50" i="6"/>
  <c r="C26" i="9"/>
  <c r="G26" i="9" s="1"/>
  <c r="G27" i="9" s="1"/>
  <c r="E39" i="8"/>
  <c r="D39" i="8" s="1"/>
  <c r="C31" i="9"/>
  <c r="H14" i="4"/>
  <c r="H18" i="4" s="1"/>
  <c r="L50" i="6"/>
  <c r="S50" i="6"/>
  <c r="I50" i="6"/>
  <c r="F50" i="6"/>
  <c r="H50" i="6"/>
  <c r="M50" i="6"/>
  <c r="E35" i="8"/>
  <c r="D35" i="8" s="1"/>
  <c r="G50" i="6"/>
  <c r="O50" i="6"/>
  <c r="N50" i="6"/>
  <c r="T49" i="6"/>
  <c r="U49" i="6" s="1"/>
  <c r="F32" i="8"/>
  <c r="E25" i="8"/>
  <c r="T95" i="6"/>
  <c r="U87" i="6"/>
  <c r="U95" i="6" s="1"/>
  <c r="U80" i="7"/>
  <c r="T58" i="6"/>
  <c r="U53" i="6"/>
  <c r="U58" i="6" s="1"/>
  <c r="H26" i="1"/>
  <c r="T23" i="6"/>
  <c r="U22" i="6"/>
  <c r="U23" i="6" s="1"/>
  <c r="T30" i="6"/>
  <c r="U26" i="6"/>
  <c r="U30" i="6" s="1"/>
  <c r="K293" i="1"/>
  <c r="T140" i="6"/>
  <c r="U140" i="6" s="1"/>
  <c r="T128" i="6"/>
  <c r="U128" i="6" s="1"/>
  <c r="T134" i="6"/>
  <c r="U134" i="6" s="1"/>
  <c r="K284" i="1"/>
  <c r="T14" i="6"/>
  <c r="U12" i="6"/>
  <c r="U14" i="6" s="1"/>
  <c r="T111" i="7"/>
  <c r="T40" i="6"/>
  <c r="T143" i="6"/>
  <c r="U143" i="6" s="1"/>
  <c r="T144" i="6"/>
  <c r="U144" i="6" s="1"/>
  <c r="T48" i="6"/>
  <c r="U48" i="6" s="1"/>
  <c r="E189" i="1"/>
  <c r="E297" i="1" s="1"/>
  <c r="E291" i="1"/>
  <c r="E26" i="9"/>
  <c r="E27" i="9" s="1"/>
  <c r="T80" i="7"/>
  <c r="U106" i="6"/>
  <c r="K274" i="1"/>
  <c r="M366" i="1"/>
  <c r="E274" i="1"/>
  <c r="I366" i="1"/>
  <c r="E365" i="1"/>
  <c r="P366" i="1"/>
  <c r="G274" i="1"/>
  <c r="N366" i="1"/>
  <c r="L366" i="1"/>
  <c r="J366" i="1"/>
  <c r="O366" i="1"/>
  <c r="G283" i="1"/>
  <c r="J50" i="6" l="1"/>
  <c r="Q50" i="6"/>
  <c r="L180" i="1"/>
  <c r="L288" i="1" s="1"/>
  <c r="L282" i="1"/>
  <c r="M171" i="1"/>
  <c r="M279" i="1" s="1"/>
  <c r="M273" i="1"/>
  <c r="P189" i="1"/>
  <c r="P297" i="1" s="1"/>
  <c r="P291" i="1"/>
  <c r="H189" i="1"/>
  <c r="H297" i="1" s="1"/>
  <c r="H291" i="1"/>
  <c r="P171" i="1"/>
  <c r="P279" i="1" s="1"/>
  <c r="P273" i="1"/>
  <c r="P26" i="1"/>
  <c r="I26" i="1"/>
  <c r="E29" i="9"/>
  <c r="E31" i="9"/>
  <c r="U12" i="7"/>
  <c r="T12" i="7"/>
  <c r="U40" i="6"/>
  <c r="U50" i="6" s="1"/>
  <c r="T50" i="6"/>
  <c r="U32" i="5"/>
  <c r="T32" i="5"/>
  <c r="U132" i="7"/>
  <c r="T132" i="7"/>
  <c r="U145" i="7"/>
  <c r="T145" i="7"/>
  <c r="U58" i="7"/>
  <c r="T58" i="7"/>
  <c r="I189" i="1"/>
  <c r="I297" i="1" s="1"/>
  <c r="I291" i="1"/>
  <c r="J180" i="1"/>
  <c r="J288" i="1" s="1"/>
  <c r="J282" i="1"/>
  <c r="H180" i="1"/>
  <c r="H288" i="1" s="1"/>
  <c r="H282" i="1"/>
  <c r="P180" i="1"/>
  <c r="P288" i="1" s="1"/>
  <c r="P282" i="1"/>
  <c r="E25" i="1"/>
  <c r="E180" i="1"/>
  <c r="E288" i="1" s="1"/>
  <c r="E282" i="1"/>
  <c r="H366" i="1"/>
  <c r="N26" i="1"/>
  <c r="U128" i="7"/>
  <c r="T128" i="7"/>
  <c r="K365" i="1"/>
  <c r="U46" i="5"/>
  <c r="T46" i="5"/>
  <c r="U142" i="7"/>
  <c r="T142" i="7"/>
  <c r="M180" i="1"/>
  <c r="M288" i="1" s="1"/>
  <c r="M282" i="1"/>
  <c r="G273" i="1"/>
  <c r="G171" i="1"/>
  <c r="G279" i="1" s="1"/>
  <c r="O171" i="1"/>
  <c r="O279" i="1" s="1"/>
  <c r="O273" i="1"/>
  <c r="M189" i="1"/>
  <c r="M297" i="1" s="1"/>
  <c r="M291" i="1"/>
  <c r="N189" i="1"/>
  <c r="N297" i="1" s="1"/>
  <c r="N291" i="1"/>
  <c r="G282" i="1"/>
  <c r="L273" i="1"/>
  <c r="L171" i="1"/>
  <c r="L279" i="1" s="1"/>
  <c r="H171" i="1"/>
  <c r="H279" i="1" s="1"/>
  <c r="H273" i="1"/>
  <c r="O180" i="1"/>
  <c r="O288" i="1" s="1"/>
  <c r="O282" i="1"/>
  <c r="O26" i="1"/>
  <c r="J26" i="1"/>
  <c r="D25" i="8"/>
  <c r="E32" i="8"/>
  <c r="D32" i="8" s="1"/>
  <c r="O189" i="1"/>
  <c r="O297" i="1" s="1"/>
  <c r="O291" i="1"/>
  <c r="L189" i="1"/>
  <c r="L297" i="1" s="1"/>
  <c r="L291" i="1"/>
  <c r="N180" i="1"/>
  <c r="N288" i="1" s="1"/>
  <c r="N282" i="1"/>
  <c r="L26" i="1"/>
  <c r="I171" i="1"/>
  <c r="I279" i="1" s="1"/>
  <c r="I273" i="1"/>
  <c r="J189" i="1"/>
  <c r="J297" i="1" s="1"/>
  <c r="J291" i="1"/>
  <c r="I180" i="1"/>
  <c r="I288" i="1" s="1"/>
  <c r="I282" i="1"/>
  <c r="N171" i="1"/>
  <c r="N279" i="1" s="1"/>
  <c r="N273" i="1"/>
  <c r="J171" i="1"/>
  <c r="J279" i="1" s="1"/>
  <c r="J273" i="1"/>
  <c r="M26" i="1"/>
  <c r="G31" i="9"/>
  <c r="G29" i="9"/>
  <c r="U47" i="5"/>
  <c r="T47" i="5"/>
  <c r="U139" i="7"/>
  <c r="T139" i="7"/>
  <c r="U72" i="7"/>
  <c r="T72" i="7"/>
  <c r="N386" i="1"/>
  <c r="M386" i="1"/>
  <c r="O386" i="1"/>
  <c r="I386" i="1"/>
  <c r="G365" i="1"/>
  <c r="L386" i="1"/>
  <c r="J386" i="1"/>
  <c r="G293" i="1"/>
  <c r="E366" i="1"/>
  <c r="G284" i="1"/>
  <c r="H386" i="1"/>
  <c r="G386" i="1"/>
  <c r="P370" i="1" l="1"/>
  <c r="P364" i="1"/>
  <c r="G189" i="1"/>
  <c r="G297" i="1" s="1"/>
  <c r="G291" i="1"/>
  <c r="E171" i="1"/>
  <c r="E279" i="1" s="1"/>
  <c r="E273" i="1"/>
  <c r="L370" i="1"/>
  <c r="L364" i="1"/>
  <c r="P386" i="1"/>
  <c r="K189" i="1"/>
  <c r="K297" i="1" s="1"/>
  <c r="K291" i="1"/>
  <c r="T80" i="6"/>
  <c r="U80" i="6" s="1"/>
  <c r="K180" i="1"/>
  <c r="K288" i="1" s="1"/>
  <c r="K282" i="1"/>
  <c r="K366" i="1"/>
  <c r="E24" i="1"/>
  <c r="E26" i="1" s="1"/>
  <c r="G26" i="1"/>
  <c r="N370" i="1"/>
  <c r="N364" i="1"/>
  <c r="K386" i="1"/>
  <c r="T79" i="6"/>
  <c r="U79" i="6" s="1"/>
  <c r="E262" i="1"/>
  <c r="E370" i="1" s="1"/>
  <c r="E364" i="1"/>
  <c r="T73" i="6"/>
  <c r="U73" i="6" s="1"/>
  <c r="O370" i="1"/>
  <c r="O364" i="1"/>
  <c r="G180" i="1"/>
  <c r="G288" i="1" s="1"/>
  <c r="H370" i="1"/>
  <c r="H364" i="1"/>
  <c r="J370" i="1"/>
  <c r="J364" i="1"/>
  <c r="I370" i="1"/>
  <c r="I364" i="1"/>
  <c r="M364" i="1"/>
  <c r="M370" i="1"/>
  <c r="T75" i="6"/>
  <c r="U75" i="6" s="1"/>
  <c r="T74" i="6"/>
  <c r="U74" i="6" s="1"/>
  <c r="T81" i="6"/>
  <c r="U81" i="6" s="1"/>
  <c r="K26" i="1"/>
  <c r="K273" i="1"/>
  <c r="K171" i="1"/>
  <c r="K279" i="1" s="1"/>
  <c r="G366" i="1"/>
  <c r="E386" i="1" l="1"/>
  <c r="I391" i="1" s="1"/>
  <c r="K65" i="7"/>
  <c r="L65" i="7"/>
  <c r="O65" i="7"/>
  <c r="M65" i="7"/>
  <c r="I65" i="7"/>
  <c r="G65" i="7"/>
  <c r="T149" i="6"/>
  <c r="U149" i="6" s="1"/>
  <c r="N65" i="7"/>
  <c r="T78" i="6"/>
  <c r="U78" i="6" s="1"/>
  <c r="G370" i="1"/>
  <c r="G364" i="1"/>
  <c r="R65" i="7"/>
  <c r="U59" i="7"/>
  <c r="T59" i="7"/>
  <c r="U60" i="7"/>
  <c r="T60" i="7"/>
  <c r="T72" i="6"/>
  <c r="U61" i="7"/>
  <c r="T61" i="7"/>
  <c r="K370" i="1"/>
  <c r="K364" i="1"/>
  <c r="H65" i="7"/>
  <c r="S65" i="7"/>
  <c r="F65" i="7"/>
  <c r="T77" i="6"/>
  <c r="U77" i="6" s="1"/>
  <c r="M391" i="1" l="1"/>
  <c r="O391" i="1"/>
  <c r="G391" i="1"/>
  <c r="P391" i="1"/>
  <c r="N391" i="1"/>
  <c r="K391" i="1"/>
  <c r="L391" i="1"/>
  <c r="J391" i="1"/>
  <c r="H391" i="1"/>
  <c r="U62" i="7"/>
  <c r="T62" i="7"/>
  <c r="J65" i="7"/>
  <c r="U57" i="7"/>
  <c r="T57" i="7"/>
  <c r="Q65" i="7"/>
  <c r="U54" i="7"/>
  <c r="T54" i="7"/>
  <c r="U136" i="7"/>
  <c r="T136" i="7"/>
  <c r="E13" i="8"/>
  <c r="D13" i="8" s="1"/>
  <c r="U55" i="7"/>
  <c r="T55" i="7"/>
  <c r="U63" i="7"/>
  <c r="T63" i="7"/>
  <c r="U72" i="6"/>
  <c r="U56" i="7"/>
  <c r="T56" i="7"/>
  <c r="T64" i="7"/>
  <c r="U64" i="7"/>
  <c r="H14" i="7"/>
  <c r="H67" i="7" s="1"/>
  <c r="S99" i="6"/>
  <c r="S101" i="6" s="1"/>
  <c r="M74" i="7"/>
  <c r="K99" i="6"/>
  <c r="K101" i="6" s="1"/>
  <c r="K14" i="7"/>
  <c r="K67" i="7" s="1"/>
  <c r="N116" i="7"/>
  <c r="I82" i="6"/>
  <c r="I84" i="6" s="1"/>
  <c r="M14" i="7"/>
  <c r="M67" i="7" s="1"/>
  <c r="R14" i="7"/>
  <c r="R67" i="7" s="1"/>
  <c r="O14" i="7"/>
  <c r="O67" i="7" s="1"/>
  <c r="I74" i="7"/>
  <c r="F74" i="7"/>
  <c r="K74" i="7"/>
  <c r="N74" i="7"/>
  <c r="S74" i="7"/>
  <c r="S50" i="5"/>
  <c r="S52" i="5" s="1"/>
  <c r="H99" i="6"/>
  <c r="H101" i="6" s="1"/>
  <c r="K116" i="7"/>
  <c r="F82" i="6"/>
  <c r="F84" i="6" s="1"/>
  <c r="N82" i="6"/>
  <c r="N84" i="6" s="1"/>
  <c r="H82" i="6"/>
  <c r="H84" i="6" s="1"/>
  <c r="I14" i="7"/>
  <c r="I67" i="7" s="1"/>
  <c r="L14" i="7"/>
  <c r="L67" i="7" s="1"/>
  <c r="N99" i="6"/>
  <c r="N101" i="6" s="1"/>
  <c r="M82" i="6"/>
  <c r="M84" i="6" s="1"/>
  <c r="G14" i="7"/>
  <c r="G67" i="7" s="1"/>
  <c r="S14" i="7"/>
  <c r="S67" i="7" s="1"/>
  <c r="H74" i="7"/>
  <c r="R74" i="7"/>
  <c r="R50" i="5"/>
  <c r="R52" i="5" s="1"/>
  <c r="G99" i="6"/>
  <c r="G101" i="6" s="1"/>
  <c r="O99" i="6"/>
  <c r="O101" i="6" s="1"/>
  <c r="M99" i="6"/>
  <c r="M101" i="6" s="1"/>
  <c r="L99" i="6"/>
  <c r="L101" i="6" s="1"/>
  <c r="S147" i="7"/>
  <c r="O82" i="6"/>
  <c r="O84" i="6" s="1"/>
  <c r="R82" i="6"/>
  <c r="R84" i="6" s="1"/>
  <c r="K82" i="6"/>
  <c r="K84" i="6" s="1"/>
  <c r="N14" i="7"/>
  <c r="N67" i="7" s="1"/>
  <c r="F14" i="7"/>
  <c r="F67" i="7" s="1"/>
  <c r="G74" i="7"/>
  <c r="O74" i="7"/>
  <c r="L74" i="7"/>
  <c r="I99" i="6"/>
  <c r="I101" i="6" s="1"/>
  <c r="F99" i="6"/>
  <c r="F101" i="6" s="1"/>
  <c r="R99" i="6"/>
  <c r="R101" i="6" s="1"/>
  <c r="G82" i="6"/>
  <c r="G84" i="6" s="1"/>
  <c r="L82" i="6"/>
  <c r="L84" i="6" s="1"/>
  <c r="S82" i="6"/>
  <c r="S84" i="6" s="1"/>
  <c r="F103" i="6" l="1"/>
  <c r="I103" i="6"/>
  <c r="E391" i="1"/>
  <c r="G116" i="7"/>
  <c r="R103" i="6"/>
  <c r="N147" i="7"/>
  <c r="O145" i="6"/>
  <c r="S145" i="6"/>
  <c r="R145" i="6"/>
  <c r="M103" i="6"/>
  <c r="L147" i="7"/>
  <c r="O116" i="7"/>
  <c r="I147" i="7"/>
  <c r="N103" i="6"/>
  <c r="F147" i="7"/>
  <c r="E47" i="8"/>
  <c r="D47" i="8" s="1"/>
  <c r="F145" i="6"/>
  <c r="K145" i="6"/>
  <c r="G147" i="7"/>
  <c r="H116" i="7"/>
  <c r="M116" i="7"/>
  <c r="H103" i="6"/>
  <c r="H147" i="7"/>
  <c r="I116" i="7"/>
  <c r="T65" i="7"/>
  <c r="F116" i="7"/>
  <c r="O103" i="6"/>
  <c r="H145" i="6"/>
  <c r="J14" i="7"/>
  <c r="J67" i="7" s="1"/>
  <c r="R116" i="7"/>
  <c r="L145" i="6"/>
  <c r="G145" i="6"/>
  <c r="U65" i="7"/>
  <c r="L103" i="6"/>
  <c r="G103" i="6"/>
  <c r="I145" i="6"/>
  <c r="E41" i="8"/>
  <c r="D41" i="8" s="1"/>
  <c r="K147" i="7"/>
  <c r="M145" i="6"/>
  <c r="J82" i="6"/>
  <c r="J84" i="6" s="1"/>
  <c r="O147" i="7"/>
  <c r="T129" i="6"/>
  <c r="U129" i="6" s="1"/>
  <c r="J74" i="7"/>
  <c r="T133" i="6"/>
  <c r="U133" i="6" s="1"/>
  <c r="E15" i="8"/>
  <c r="D15" i="8" s="1"/>
  <c r="R147" i="7"/>
  <c r="M22" i="8"/>
  <c r="M57" i="8" s="1"/>
  <c r="S116" i="7"/>
  <c r="J99" i="6"/>
  <c r="J101" i="6" s="1"/>
  <c r="N145" i="6"/>
  <c r="E42" i="8"/>
  <c r="D42" i="8" s="1"/>
  <c r="L116" i="7"/>
  <c r="K103" i="6"/>
  <c r="S103" i="6"/>
  <c r="M147" i="7"/>
  <c r="I22" i="8"/>
  <c r="I57" i="8" s="1"/>
  <c r="O22" i="8"/>
  <c r="O57" i="8" s="1"/>
  <c r="K22" i="8"/>
  <c r="K57" i="8" s="1"/>
  <c r="H22" i="8"/>
  <c r="H57" i="8" s="1"/>
  <c r="J22" i="8"/>
  <c r="J57" i="8" s="1"/>
  <c r="G22" i="8"/>
  <c r="G57" i="8" s="1"/>
  <c r="E19" i="8"/>
  <c r="D19" i="8" s="1"/>
  <c r="L22" i="8"/>
  <c r="L57" i="8" s="1"/>
  <c r="E46" i="8" l="1"/>
  <c r="D46" i="8" s="1"/>
  <c r="J145" i="6"/>
  <c r="J103" i="6"/>
  <c r="E43" i="8"/>
  <c r="D43" i="8" s="1"/>
  <c r="U146" i="7"/>
  <c r="T146" i="7"/>
  <c r="J116" i="7"/>
  <c r="U36" i="5"/>
  <c r="U50" i="5" s="1"/>
  <c r="U52" i="5" s="1"/>
  <c r="T36" i="5"/>
  <c r="T50" i="5" s="1"/>
  <c r="T52" i="5" s="1"/>
  <c r="Q50" i="5"/>
  <c r="Q52" i="5" s="1"/>
  <c r="J147" i="7"/>
  <c r="T125" i="6"/>
  <c r="Q145" i="6"/>
  <c r="U73" i="7"/>
  <c r="U74" i="7" s="1"/>
  <c r="T73" i="7"/>
  <c r="T74" i="7" s="1"/>
  <c r="Q74" i="7"/>
  <c r="U114" i="7"/>
  <c r="T114" i="7"/>
  <c r="Q116" i="7"/>
  <c r="U13" i="7"/>
  <c r="U14" i="7" s="1"/>
  <c r="U67" i="7" s="1"/>
  <c r="T13" i="7"/>
  <c r="T14" i="7" s="1"/>
  <c r="T67" i="7" s="1"/>
  <c r="Q14" i="7"/>
  <c r="Q67" i="7" s="1"/>
  <c r="N22" i="8"/>
  <c r="N57" i="8" s="1"/>
  <c r="U115" i="7"/>
  <c r="T115" i="7"/>
  <c r="T76" i="6"/>
  <c r="Q82" i="6"/>
  <c r="Q84" i="6" s="1"/>
  <c r="T148" i="6"/>
  <c r="Q99" i="6"/>
  <c r="Q101" i="6" s="1"/>
  <c r="T98" i="6"/>
  <c r="U129" i="7"/>
  <c r="U147" i="7" s="1"/>
  <c r="T129" i="7"/>
  <c r="T147" i="7" s="1"/>
  <c r="Q147" i="7"/>
  <c r="E34" i="8" l="1"/>
  <c r="D34" i="8" s="1"/>
  <c r="I50" i="8"/>
  <c r="I58" i="8" s="1"/>
  <c r="I59" i="8" s="1"/>
  <c r="N50" i="8"/>
  <c r="N58" i="8" s="1"/>
  <c r="N59" i="8" s="1"/>
  <c r="Q103" i="6"/>
  <c r="K50" i="8"/>
  <c r="K58" i="8" s="1"/>
  <c r="K59" i="8" s="1"/>
  <c r="O50" i="8"/>
  <c r="O58" i="8" s="1"/>
  <c r="O59" i="8" s="1"/>
  <c r="G19" i="1"/>
  <c r="G28" i="1" s="1"/>
  <c r="G39" i="1"/>
  <c r="H39" i="1"/>
  <c r="H19" i="1"/>
  <c r="H28" i="1" s="1"/>
  <c r="T99" i="6"/>
  <c r="T101" i="6" s="1"/>
  <c r="U98" i="6"/>
  <c r="U99" i="6" s="1"/>
  <c r="U101" i="6" s="1"/>
  <c r="U76" i="6"/>
  <c r="U82" i="6" s="1"/>
  <c r="U84" i="6" s="1"/>
  <c r="T82" i="6"/>
  <c r="T84" i="6" s="1"/>
  <c r="U116" i="7"/>
  <c r="F22" i="8"/>
  <c r="F57" i="8" s="1"/>
  <c r="E20" i="8"/>
  <c r="J19" i="1"/>
  <c r="J28" i="1" s="1"/>
  <c r="J39" i="1"/>
  <c r="L19" i="1"/>
  <c r="L28" i="1" s="1"/>
  <c r="L39" i="1"/>
  <c r="E44" i="8"/>
  <c r="D44" i="8" s="1"/>
  <c r="M50" i="8"/>
  <c r="M58" i="8" s="1"/>
  <c r="M59" i="8" s="1"/>
  <c r="U148" i="6"/>
  <c r="U125" i="6"/>
  <c r="U145" i="6" s="1"/>
  <c r="T145" i="6"/>
  <c r="O19" i="1"/>
  <c r="O28" i="1" s="1"/>
  <c r="O39" i="1"/>
  <c r="I19" i="1"/>
  <c r="I28" i="1" s="1"/>
  <c r="I39" i="1"/>
  <c r="P39" i="1"/>
  <c r="P19" i="1"/>
  <c r="P28" i="1" s="1"/>
  <c r="N19" i="1"/>
  <c r="N28" i="1" s="1"/>
  <c r="N39" i="1"/>
  <c r="E36" i="8"/>
  <c r="D36" i="8" s="1"/>
  <c r="M39" i="1"/>
  <c r="M19" i="1"/>
  <c r="M28" i="1" s="1"/>
  <c r="H50" i="8"/>
  <c r="H58" i="8" s="1"/>
  <c r="H59" i="8" s="1"/>
  <c r="T116" i="7"/>
  <c r="M123" i="7"/>
  <c r="M149" i="7" s="1"/>
  <c r="M151" i="7" s="1"/>
  <c r="I123" i="7"/>
  <c r="I149" i="7" s="1"/>
  <c r="I151" i="7" s="1"/>
  <c r="H123" i="7"/>
  <c r="H149" i="7" s="1"/>
  <c r="H151" i="7" s="1"/>
  <c r="G123" i="7"/>
  <c r="G149" i="7" s="1"/>
  <c r="G151" i="7" s="1"/>
  <c r="G50" i="8"/>
  <c r="G58" i="8" s="1"/>
  <c r="G59" i="8" s="1"/>
  <c r="N123" i="7"/>
  <c r="N149" i="7" s="1"/>
  <c r="N151" i="7" s="1"/>
  <c r="R123" i="7"/>
  <c r="R149" i="7" s="1"/>
  <c r="R151" i="7" s="1"/>
  <c r="L50" i="8"/>
  <c r="L58" i="8" s="1"/>
  <c r="L59" i="8" s="1"/>
  <c r="J50" i="8"/>
  <c r="J58" i="8" s="1"/>
  <c r="J59" i="8" s="1"/>
  <c r="L123" i="7"/>
  <c r="L149" i="7" s="1"/>
  <c r="L151" i="7" s="1"/>
  <c r="K123" i="7"/>
  <c r="K149" i="7" s="1"/>
  <c r="K151" i="7" s="1"/>
  <c r="F123" i="7"/>
  <c r="F149" i="7" s="1"/>
  <c r="F151" i="7" s="1"/>
  <c r="S123" i="7"/>
  <c r="S149" i="7" s="1"/>
  <c r="S151" i="7" s="1"/>
  <c r="P29" i="1" l="1"/>
  <c r="P34" i="1"/>
  <c r="E22" i="8"/>
  <c r="D20" i="8"/>
  <c r="C17" i="12"/>
  <c r="U118" i="7"/>
  <c r="T118" i="7"/>
  <c r="I29" i="1"/>
  <c r="I34" i="1"/>
  <c r="L29" i="1"/>
  <c r="L34" i="1"/>
  <c r="U103" i="6"/>
  <c r="G29" i="1"/>
  <c r="G34" i="1"/>
  <c r="O123" i="7"/>
  <c r="O149" i="7" s="1"/>
  <c r="O151" i="7" s="1"/>
  <c r="K19" i="1"/>
  <c r="K28" i="1" s="1"/>
  <c r="K39" i="1"/>
  <c r="T103" i="6"/>
  <c r="H29" i="1"/>
  <c r="H34" i="1"/>
  <c r="E18" i="1"/>
  <c r="E19" i="1" s="1"/>
  <c r="J123" i="7"/>
  <c r="J149" i="7" s="1"/>
  <c r="J151" i="7" s="1"/>
  <c r="M29" i="1"/>
  <c r="M34" i="1"/>
  <c r="N29" i="1"/>
  <c r="N34" i="1"/>
  <c r="O29" i="1"/>
  <c r="O34" i="1"/>
  <c r="J29" i="1"/>
  <c r="J34" i="1"/>
  <c r="E28" i="1" l="1"/>
  <c r="E29" i="1" s="1"/>
  <c r="F50" i="8"/>
  <c r="F58" i="8" s="1"/>
  <c r="F59" i="8" s="1"/>
  <c r="E48" i="8"/>
  <c r="T122" i="7"/>
  <c r="T123" i="7" s="1"/>
  <c r="T149" i="7" s="1"/>
  <c r="T151" i="7" s="1"/>
  <c r="Q123" i="7"/>
  <c r="Q149" i="7" s="1"/>
  <c r="Q151" i="7" s="1"/>
  <c r="U122" i="7"/>
  <c r="U123" i="7" s="1"/>
  <c r="U149" i="7" s="1"/>
  <c r="U151" i="7" s="1"/>
  <c r="E39" i="1"/>
  <c r="E57" i="8"/>
  <c r="D22" i="8"/>
  <c r="K29" i="1"/>
  <c r="K34" i="1"/>
  <c r="E34" i="1" s="1"/>
  <c r="E50" i="8" l="1"/>
  <c r="D48" i="8"/>
  <c r="E58" i="8" l="1"/>
  <c r="E59" i="8" s="1"/>
  <c r="D50" i="8"/>
  <c r="S153" i="6"/>
  <c r="R153" i="6"/>
  <c r="S158" i="6" l="1"/>
  <c r="S160" i="6" s="1"/>
  <c r="N158" i="6"/>
  <c r="O388" i="1"/>
  <c r="H387" i="1"/>
  <c r="G153" i="6"/>
  <c r="R158" i="6"/>
  <c r="R160" i="6" s="1"/>
  <c r="O158" i="6"/>
  <c r="P388" i="1"/>
  <c r="N387" i="1"/>
  <c r="M153" i="6"/>
  <c r="I387" i="1"/>
  <c r="H153" i="6"/>
  <c r="T157" i="6"/>
  <c r="U157" i="6" s="1"/>
  <c r="P387" i="1"/>
  <c r="O153" i="6"/>
  <c r="K158" i="6"/>
  <c r="L388" i="1"/>
  <c r="O387" i="1"/>
  <c r="N153" i="6"/>
  <c r="L387" i="1"/>
  <c r="K153" i="6"/>
  <c r="F158" i="6"/>
  <c r="F160" i="6" s="1"/>
  <c r="G388" i="1"/>
  <c r="M387" i="1"/>
  <c r="L153" i="6"/>
  <c r="G158" i="6"/>
  <c r="G160" i="6" s="1"/>
  <c r="H388" i="1"/>
  <c r="J387" i="1"/>
  <c r="I153" i="6"/>
  <c r="G387" i="1"/>
  <c r="F153" i="6"/>
  <c r="M158" i="6"/>
  <c r="M160" i="6" s="1"/>
  <c r="N388" i="1"/>
  <c r="L158" i="6"/>
  <c r="L160" i="6" s="1"/>
  <c r="M388" i="1"/>
  <c r="I158" i="6"/>
  <c r="J388" i="1"/>
  <c r="K160" i="6" l="1"/>
  <c r="I160" i="6"/>
  <c r="T156" i="6"/>
  <c r="Q158" i="6"/>
  <c r="T150" i="6"/>
  <c r="Q153" i="6"/>
  <c r="K387" i="1"/>
  <c r="E387" i="1" s="1"/>
  <c r="J153" i="6"/>
  <c r="O160" i="6"/>
  <c r="H158" i="6"/>
  <c r="H160" i="6" s="1"/>
  <c r="I388" i="1"/>
  <c r="J158" i="6"/>
  <c r="K388" i="1"/>
  <c r="N160" i="6"/>
  <c r="Q160" i="6" l="1"/>
  <c r="L392" i="1"/>
  <c r="P392" i="1"/>
  <c r="H392" i="1"/>
  <c r="O392" i="1"/>
  <c r="I392" i="1"/>
  <c r="G392" i="1"/>
  <c r="J392" i="1"/>
  <c r="N392" i="1"/>
  <c r="M392" i="1"/>
  <c r="K392" i="1"/>
  <c r="U150" i="6"/>
  <c r="U153" i="6" s="1"/>
  <c r="T153" i="6"/>
  <c r="T158" i="6"/>
  <c r="U156" i="6"/>
  <c r="U158" i="6" s="1"/>
  <c r="J160" i="6"/>
  <c r="E388" i="1"/>
  <c r="T160" i="6" l="1"/>
  <c r="U160" i="6"/>
  <c r="J393" i="1"/>
  <c r="P393" i="1"/>
  <c r="N393" i="1"/>
  <c r="M393" i="1"/>
  <c r="M36" i="1" s="1"/>
  <c r="H393" i="1"/>
  <c r="O393" i="1"/>
  <c r="G393" i="1"/>
  <c r="L393" i="1"/>
  <c r="L36" i="1" s="1"/>
  <c r="K393" i="1"/>
  <c r="I393" i="1"/>
  <c r="E392" i="1"/>
  <c r="G394" i="1"/>
  <c r="P394" i="1" l="1"/>
  <c r="L394" i="1"/>
  <c r="M394" i="1"/>
  <c r="J36" i="1"/>
  <c r="J38" i="1" s="1"/>
  <c r="P36" i="1"/>
  <c r="P38" i="1" s="1"/>
  <c r="H36" i="1"/>
  <c r="H38" i="1" s="1"/>
  <c r="J394" i="1"/>
  <c r="H394" i="1"/>
  <c r="E393" i="1"/>
  <c r="E394" i="1" s="1"/>
  <c r="O394" i="1"/>
  <c r="M38" i="1"/>
  <c r="K36" i="1"/>
  <c r="I36" i="1"/>
  <c r="N36" i="1"/>
  <c r="K394" i="1"/>
  <c r="L38" i="1"/>
  <c r="I394" i="1"/>
  <c r="G36" i="1"/>
  <c r="O36" i="1"/>
  <c r="N394" i="1"/>
  <c r="C15" i="12"/>
  <c r="H40" i="1" l="1"/>
  <c r="L40" i="1"/>
  <c r="K38" i="1"/>
  <c r="E36" i="1"/>
  <c r="E35" i="1" s="1"/>
  <c r="G38" i="1"/>
  <c r="J40" i="1"/>
  <c r="M40" i="1"/>
  <c r="O38" i="1"/>
  <c r="N38" i="1"/>
  <c r="I38" i="1"/>
  <c r="P40" i="1"/>
  <c r="M43" i="1" l="1"/>
  <c r="M41" i="1"/>
  <c r="G40" i="1"/>
  <c r="E38" i="1"/>
  <c r="I40" i="1"/>
  <c r="L41" i="1"/>
  <c r="L43" i="1"/>
  <c r="P41" i="1"/>
  <c r="P43" i="1"/>
  <c r="O40" i="1"/>
  <c r="J41" i="1"/>
  <c r="J43" i="1"/>
  <c r="N40" i="1"/>
  <c r="K40" i="1"/>
  <c r="H41" i="1"/>
  <c r="H43" i="1"/>
  <c r="N41" i="1" l="1"/>
  <c r="N43" i="1"/>
  <c r="O41" i="1"/>
  <c r="O43" i="1"/>
  <c r="K43" i="1"/>
  <c r="K41" i="1"/>
  <c r="E40" i="1"/>
  <c r="G41" i="1"/>
  <c r="G43" i="1"/>
  <c r="I41" i="1"/>
  <c r="I43" i="1"/>
  <c r="E43" i="1" l="1"/>
  <c r="E41" i="1"/>
  <c r="G44" i="1" l="1"/>
  <c r="N44" i="1"/>
  <c r="I44" i="1"/>
  <c r="E44" i="1"/>
  <c r="J44" i="1"/>
  <c r="L44" i="1"/>
  <c r="P44" i="1"/>
  <c r="H44" i="1"/>
  <c r="M44" i="1"/>
  <c r="O44" i="1"/>
  <c r="M51" i="5" l="1"/>
  <c r="M53" i="5" s="1"/>
  <c r="I51" i="5"/>
  <c r="I53" i="5" s="1"/>
  <c r="L51" i="5"/>
  <c r="L53" i="5" s="1"/>
  <c r="O51" i="5"/>
  <c r="O53" i="5" s="1"/>
  <c r="G51" i="5"/>
  <c r="G53" i="5" s="1"/>
  <c r="H51" i="5"/>
  <c r="H53" i="5" s="1"/>
  <c r="N51" i="5"/>
  <c r="N53" i="5" s="1"/>
  <c r="K51" i="5"/>
  <c r="K53" i="5" s="1"/>
  <c r="J51" i="5"/>
  <c r="J53" i="5" s="1"/>
  <c r="F51" i="5"/>
  <c r="F53" i="5" s="1"/>
</calcChain>
</file>

<file path=xl/sharedStrings.xml><?xml version="1.0" encoding="utf-8"?>
<sst xmlns="http://schemas.openxmlformats.org/spreadsheetml/2006/main" count="1291" uniqueCount="616">
  <si>
    <t>Puget Sound Energy</t>
  </si>
  <si>
    <t>ELECTRIC COST OF SERVICE SUMMARY</t>
  </si>
  <si>
    <t>Line No.</t>
  </si>
  <si>
    <t>Description</t>
  </si>
  <si>
    <t>Total Company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</si>
  <si>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</si>
  <si>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</si>
  <si>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</si>
  <si>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</si>
  <si>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</si>
  <si>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Special Contract</t>
  </si>
  <si>
    <t>High Volt
Sch 46/49</t>
  </si>
  <si>
    <t>Choice /
Retail Wheeling
Sch 448/449</t>
  </si>
  <si>
    <t>Lighting
Sch 50-59</t>
  </si>
  <si>
    <t>Firm Resale</t>
  </si>
  <si>
    <t>(a)</t>
  </si>
  <si>
    <t>(b)</t>
  </si>
  <si>
    <t>(c)</t>
  </si>
  <si>
    <t>(d)</t>
  </si>
  <si>
    <t>(e)</t>
  </si>
  <si>
    <t>(g)</t>
  </si>
  <si>
    <t>(h)</t>
  </si>
  <si>
    <t>(k)</t>
  </si>
  <si>
    <t>(l)</t>
  </si>
  <si>
    <t>(m)</t>
  </si>
  <si>
    <t>(n)</t>
  </si>
  <si>
    <t>(o)</t>
  </si>
  <si>
    <t>Rate Base</t>
  </si>
  <si>
    <t>Plant in Service</t>
  </si>
  <si>
    <t>Accumulated Reserve</t>
  </si>
  <si>
    <t>Other Ratebase Items</t>
  </si>
  <si>
    <t>TOTAL RATE BASE</t>
  </si>
  <si>
    <t>Firm Sales</t>
  </si>
  <si>
    <t>Non-Firm Sales</t>
  </si>
  <si>
    <t>Other Operating Revenue</t>
  </si>
  <si>
    <t>Expenses at Current Rates</t>
  </si>
  <si>
    <t>Operation and Maintenance</t>
  </si>
  <si>
    <t>Depreciation Expense</t>
  </si>
  <si>
    <t>Taxes Other Than Income</t>
  </si>
  <si>
    <t>Income Taxes</t>
  </si>
  <si>
    <t>Required Return</t>
  </si>
  <si>
    <t>Required Operating Income</t>
  </si>
  <si>
    <t>Operating Income Deficiency / (Surplus)</t>
  </si>
  <si>
    <t>Revenue Conversion Factor</t>
  </si>
  <si>
    <t>Revenues Other Than Rate Sch. Rev.</t>
  </si>
  <si>
    <t>Current Revenue to Cost Ratio</t>
  </si>
  <si>
    <t>Parity Ratio</t>
  </si>
  <si>
    <t>Functional Rate Base</t>
  </si>
  <si>
    <t>System Total</t>
  </si>
  <si>
    <t>TOTAL</t>
  </si>
  <si>
    <t>Functional Revenue Requirement</t>
  </si>
  <si>
    <t>TOTAL REVENUE REQUIREMENT</t>
  </si>
  <si>
    <t>Unit Costs (per kWh)</t>
  </si>
  <si>
    <t>Total</t>
  </si>
  <si>
    <t>Delivered kWh</t>
  </si>
  <si>
    <t>Allocate Deficiency to Cost</t>
  </si>
  <si>
    <t>Uncollectible Expense</t>
  </si>
  <si>
    <t>Regulatory Exp</t>
  </si>
  <si>
    <t>Utility Tax</t>
  </si>
  <si>
    <t>FIT</t>
  </si>
  <si>
    <t>Total Deficiency (Expense)</t>
  </si>
  <si>
    <t>Allocation to Class</t>
  </si>
  <si>
    <t>ELECTRIC COST OF SERVICE SUMMARY - ENERGY RELATED</t>
  </si>
  <si>
    <t>(f)</t>
  </si>
  <si>
    <t>(i)</t>
  </si>
  <si>
    <t>(j)</t>
  </si>
  <si>
    <t>Expense</t>
  </si>
  <si>
    <t>TOTAL EXPENSES</t>
  </si>
  <si>
    <t>Requested Return on Net Investment</t>
  </si>
  <si>
    <t>Total Cost of Service</t>
  </si>
  <si>
    <t>Construction Work in Progress</t>
  </si>
  <si>
    <t>Working Capital Assets</t>
  </si>
  <si>
    <t>Other Items</t>
  </si>
  <si>
    <t>ELECTRIC COST OF SERVICE SUMMARY - DEMAND RELATED</t>
  </si>
  <si>
    <t>ELECTRIC COST OF SERVICE SUMMARY - CUSTOMER RELATED</t>
  </si>
  <si>
    <t>ELECTRIC COST OF SERVICE SUMMARY - REVENUE SUMMARY</t>
  </si>
  <si>
    <t>COS ID</t>
  </si>
  <si>
    <t>Account Description</t>
  </si>
  <si>
    <t>Allocation Method</t>
  </si>
  <si>
    <t>Pri Volt
Sch 31</t>
  </si>
  <si>
    <t>Pri Volt
Sch 35</t>
  </si>
  <si>
    <t>Pri Volt
Sch 43</t>
  </si>
  <si>
    <t>Pri Volt</t>
  </si>
  <si>
    <t>Pri Volt Sch 31/35</t>
  </si>
  <si>
    <t>SALES REVENUE</t>
  </si>
  <si>
    <t>ELECTRIC COST OF SERVICE SUMMARY - EXPENSE SUMMARY</t>
  </si>
  <si>
    <t>Pri Volt Sch 31 &amp; 35</t>
  </si>
  <si>
    <t>TOTAL OPERATING EXPENSES</t>
  </si>
  <si>
    <t>Pri Volt Sch 3135</t>
  </si>
  <si>
    <t>ELECTRIC COST OF SERVICE SUMMARY - CUSTOMER CHARGE SUMMARY</t>
  </si>
  <si>
    <t>PLANT INVESTMENT:</t>
  </si>
  <si>
    <t>Meters (A/C 370)</t>
  </si>
  <si>
    <t>UG Service (A/C 369)</t>
  </si>
  <si>
    <t>OH Service (A/C 369)</t>
  </si>
  <si>
    <t>Subtotal Transformer, Meter &amp; Service</t>
  </si>
  <si>
    <t>General Plant</t>
  </si>
  <si>
    <t>Prod, Trans &amp; Dist Plant</t>
  </si>
  <si>
    <t>Related General Plant</t>
  </si>
  <si>
    <t>Related Distribution Accumulated Depreciation</t>
  </si>
  <si>
    <t>General Accumulated Depreciation</t>
  </si>
  <si>
    <t>Related General Accumulated Depreciation</t>
  </si>
  <si>
    <t>Net Plant Investment</t>
  </si>
  <si>
    <t>EXPENSE:</t>
  </si>
  <si>
    <t>OE - Supervision &amp; Eng (A/C 580)</t>
  </si>
  <si>
    <t>OE - Meters (A/C 586)</t>
  </si>
  <si>
    <t>OE - Customer Installation (A/C 587)</t>
  </si>
  <si>
    <t>ME - Meters (A/C 597)</t>
  </si>
  <si>
    <t>CAE - Supervision (A/C 901)</t>
  </si>
  <si>
    <t>CAE - Meter Reading (A/C 902)</t>
  </si>
  <si>
    <t>CAE - Records &amp; Collections (A/C 903)</t>
  </si>
  <si>
    <t>Subtotal O&amp;M and Cust Acctg Expense</t>
  </si>
  <si>
    <t>Total Admin &amp; General</t>
  </si>
  <si>
    <t>Total Prod, Tran, Dist &amp; Customer Expense</t>
  </si>
  <si>
    <t>Related Admin &amp; General</t>
  </si>
  <si>
    <t>Distribution Depreciation Expense</t>
  </si>
  <si>
    <t>Related Distribution Depreciation Expense</t>
  </si>
  <si>
    <t>Total Depreciation Expense</t>
  </si>
  <si>
    <t>General Distribution Expense</t>
  </si>
  <si>
    <t>Depreciation Net of General Expense</t>
  </si>
  <si>
    <t>Related General Depr Expense</t>
  </si>
  <si>
    <t>Total Plant in Service</t>
  </si>
  <si>
    <t>Property Tax (A/C 236)</t>
  </si>
  <si>
    <t>Related Property Tax</t>
  </si>
  <si>
    <t>Total Related Expense</t>
  </si>
  <si>
    <t>Customers (Annual)</t>
  </si>
  <si>
    <t>Cost of Capital (Net of Tax)</t>
  </si>
  <si>
    <t>Conversion Factor</t>
  </si>
  <si>
    <t>1 - FIT Rate</t>
  </si>
  <si>
    <t>$ / Month per Customer for Plant Investment</t>
  </si>
  <si>
    <t>$ / Month per Customer for Expense</t>
  </si>
  <si>
    <t>TOTAL MONTHLY CUSTOMER CHARGE</t>
  </si>
  <si>
    <t>FERC 364 &amp; 365</t>
  </si>
  <si>
    <t>FERC 366 &amp; 367</t>
  </si>
  <si>
    <t>% to Total</t>
  </si>
  <si>
    <t>OH Lines</t>
  </si>
  <si>
    <t>UG Lines</t>
  </si>
  <si>
    <t>Distribution Ratebase</t>
  </si>
  <si>
    <t>Direct Ratebase</t>
  </si>
  <si>
    <t>Direct Accumulated Depreciation</t>
  </si>
  <si>
    <t>Indirect Ratebase</t>
  </si>
  <si>
    <t>Net Distribution Ratebase</t>
  </si>
  <si>
    <t>Rate of Return</t>
  </si>
  <si>
    <t>Return on Distribution Ratebase</t>
  </si>
  <si>
    <t>Distribution Expense</t>
  </si>
  <si>
    <t>Total Distribution Expense</t>
  </si>
  <si>
    <t xml:space="preserve">Less:  </t>
  </si>
  <si>
    <t>Depreciation</t>
  </si>
  <si>
    <t>Property Tax</t>
  </si>
  <si>
    <t>Subtotal Distribution Expense</t>
  </si>
  <si>
    <t>Direct Expense</t>
  </si>
  <si>
    <t>Indirect Expense</t>
  </si>
  <si>
    <t>Total Distribution Cost of Service</t>
  </si>
  <si>
    <t>% Expense to Distribution Plant</t>
  </si>
  <si>
    <t>Substation 
O&amp;M  %</t>
  </si>
  <si>
    <t>A&amp;G - Operating Expense</t>
  </si>
  <si>
    <t>A&amp;G - Maintenance Expense</t>
  </si>
  <si>
    <t>Total A&amp;G</t>
  </si>
  <si>
    <t>Plant In Service</t>
  </si>
  <si>
    <t>Intangible Plant</t>
  </si>
  <si>
    <t>Accumulated Reserve for Depreciation</t>
  </si>
  <si>
    <t>Net Plant In Service</t>
  </si>
  <si>
    <t>% A&amp;G to Total Net Plant</t>
  </si>
  <si>
    <t>Distribution Operating Expense</t>
  </si>
  <si>
    <t>Distribution Maintenance Expense</t>
  </si>
  <si>
    <t>Total Distribution O&amp;M Expense</t>
  </si>
  <si>
    <t>Distribution Plant in Service</t>
  </si>
  <si>
    <t xml:space="preserve">Distribution Accumulated Reserve for Depreciation </t>
  </si>
  <si>
    <t>Distribution Net Plant in Service</t>
  </si>
  <si>
    <t>% Dist O&amp;M Expense to Net Plant</t>
  </si>
  <si>
    <t>Total O&amp;M and A&amp;G</t>
  </si>
  <si>
    <t>Revenue Sensitive Factor</t>
  </si>
  <si>
    <t>After Tax Rate</t>
  </si>
  <si>
    <t>Substation 
A&amp;G  %</t>
  </si>
  <si>
    <t>O&amp;M Expense</t>
  </si>
  <si>
    <t>Production O&amp;M</t>
  </si>
  <si>
    <t>Transmission O&amp;M</t>
  </si>
  <si>
    <t>Distribution O&amp;M</t>
  </si>
  <si>
    <t>Customer Accounting</t>
  </si>
  <si>
    <t>Customer Service / Sales</t>
  </si>
  <si>
    <t>Less:</t>
  </si>
  <si>
    <t>Fuel</t>
  </si>
  <si>
    <t>Purchased Power</t>
  </si>
  <si>
    <t>Other Purchase Power</t>
  </si>
  <si>
    <t>Wheeling</t>
  </si>
  <si>
    <t>Conservation Amortization</t>
  </si>
  <si>
    <t>Total O&amp;M for A&amp;G Calculation</t>
  </si>
  <si>
    <t>A&amp;G % to Total</t>
  </si>
  <si>
    <t>Delivery Costs</t>
  </si>
  <si>
    <t>kWh</t>
  </si>
  <si>
    <t>Demand</t>
  </si>
  <si>
    <t>PC-3</t>
  </si>
  <si>
    <t>Total Revenue Requirement</t>
  </si>
  <si>
    <t>Fixed PCA Costs</t>
  </si>
  <si>
    <t>Variable PCA Costs</t>
  </si>
  <si>
    <t>Total PCA Costs</t>
  </si>
  <si>
    <t>Allocate Fixed PCA Costs on PC-3</t>
  </si>
  <si>
    <t>Allocate Variable PCA Costs on PC-3</t>
  </si>
  <si>
    <t>Total PCA Costs Net of Other Revenue</t>
  </si>
  <si>
    <t>Peak Credit Allocation</t>
  </si>
  <si>
    <t>% Applicable to Energy</t>
  </si>
  <si>
    <t>% Applicable to Demand</t>
  </si>
  <si>
    <t>Total Allocation to Class</t>
  </si>
  <si>
    <t>Production</t>
  </si>
  <si>
    <t>Energy</t>
  </si>
  <si>
    <t>Customer</t>
  </si>
  <si>
    <t>~</t>
  </si>
  <si>
    <t>Transmission</t>
  </si>
  <si>
    <t>Distribution</t>
  </si>
  <si>
    <t>Revenue at Current Rates</t>
  </si>
  <si>
    <t>TOTAL REVENUE - Current</t>
  </si>
  <si>
    <t>TOTAL EXPENSES - Current</t>
  </si>
  <si>
    <t>OPERATING INCOME - Current</t>
  </si>
  <si>
    <t>Current Rate of Return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</si>
  <si>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</si>
  <si>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</si>
  <si>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</si>
  <si>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</si>
  <si>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</si>
  <si>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</si>
  <si>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</si>
  <si>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High Volt 46/49</t>
  </si>
  <si>
    <t>Choice/Retail Wheeling</t>
  </si>
  <si>
    <t>Lighting 50-59</t>
  </si>
  <si>
    <t>REVENUE</t>
  </si>
  <si>
    <t>Sales of Electricity - Firm Revenue</t>
  </si>
  <si>
    <t>PROFORMA_RETAIL</t>
  </si>
  <si>
    <t>Sales of Electricity - Transportation Revenue - Retail</t>
  </si>
  <si>
    <t>DIR_449</t>
  </si>
  <si>
    <t>Sales of Electricity - Special Contract</t>
  </si>
  <si>
    <t>DIR_SC</t>
  </si>
  <si>
    <t>NON FIRM REVENUE</t>
  </si>
  <si>
    <t>Sales of Electricity - Non Firm Revenue</t>
  </si>
  <si>
    <t>PC4</t>
  </si>
  <si>
    <t>Provision for Rate Refund</t>
  </si>
  <si>
    <t>RB.T</t>
  </si>
  <si>
    <t>TOTAL NON FIRM REVENUE</t>
  </si>
  <si>
    <t>OTHER OPERATING REVENUE</t>
  </si>
  <si>
    <t>Late Payment Revenue - Interest</t>
  </si>
  <si>
    <t>DIR450.01</t>
  </si>
  <si>
    <t>Late Payment Revenue - Field Call</t>
  </si>
  <si>
    <t>DIR450.02</t>
  </si>
  <si>
    <t xml:space="preserve">Misc Service Revenue - Temporary Service </t>
  </si>
  <si>
    <t>CUST_2</t>
  </si>
  <si>
    <t>Misc Service Revenue - Reconnection Charge</t>
  </si>
  <si>
    <t>DIR451.02</t>
  </si>
  <si>
    <t>Misc Service Revenue - Modified Service Charge</t>
  </si>
  <si>
    <t>Misc Service Revenue - Line Extension/UG Conversions</t>
  </si>
  <si>
    <t>Misc Service Revenue - Billing Initiation Charge</t>
  </si>
  <si>
    <t>DIR451.05</t>
  </si>
  <si>
    <t>Misc Service Revenue - NSF Handling Chg</t>
  </si>
  <si>
    <t>DIR451.06</t>
  </si>
  <si>
    <t>Misc Service Revenue - Deferred FIT CIAC</t>
  </si>
  <si>
    <t>DIR252.00</t>
  </si>
  <si>
    <t>Misc Service Revenue - Energy Diversion</t>
  </si>
  <si>
    <t>Rental Revenue - Steam Plant</t>
  </si>
  <si>
    <t>PP.T</t>
  </si>
  <si>
    <t>Rental Revenue - Pole &amp; Personal Cell Site Contacts - Transmission</t>
  </si>
  <si>
    <t>Rental Revenue - Pole &amp; Personal Cell Site Contacts - Distribution</t>
  </si>
  <si>
    <t>D364.T</t>
  </si>
  <si>
    <t>Rental Revenue - Land &amp; Bldg</t>
  </si>
  <si>
    <t>PTDP.T</t>
  </si>
  <si>
    <t>Rental Revenue - Transf &amp; Equip</t>
  </si>
  <si>
    <t>DIR454.05</t>
  </si>
  <si>
    <t>Other Elect Revenue -  Wheeling</t>
  </si>
  <si>
    <t>Other Elect Revenue - Dist O&amp;M</t>
  </si>
  <si>
    <t>LINE.T</t>
  </si>
  <si>
    <t>Other Elect Revenue - Summit Buyout</t>
  </si>
  <si>
    <t>GP.T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</si>
  <si>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</si>
  <si>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</si>
  <si>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</si>
  <si>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</si>
  <si>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</si>
  <si>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DIR373.00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</si>
  <si>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</si>
  <si>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</si>
  <si>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</si>
  <si>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</si>
  <si>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</si>
  <si>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DP.T</t>
  </si>
  <si>
    <t>Other Elect Revenue -  Decoupling Amortization</t>
  </si>
  <si>
    <t>Other Elect Revenue - Transmission Transportation</t>
  </si>
  <si>
    <t>Other Elect Revenue - Special Contract Wheeling</t>
  </si>
  <si>
    <t>TOTAL OTHER OPERATING INCOME</t>
  </si>
  <si>
    <t>TOTAL REVENUE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</si>
  <si>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</si>
  <si>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</si>
  <si>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</si>
  <si>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</si>
  <si>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</si>
  <si>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</si>
  <si>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</si>
  <si>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Sub-total</t>
  </si>
  <si>
    <t>Production - O&amp;M - Purchase Power</t>
  </si>
  <si>
    <t>Purch Pwr - Other</t>
  </si>
  <si>
    <t>Purch Pwr - Res Exchange</t>
  </si>
  <si>
    <t>BPAX</t>
  </si>
  <si>
    <t>Production - O&amp;M - Wheeling</t>
  </si>
  <si>
    <t>Wheeling by Others - Wheeling</t>
  </si>
  <si>
    <t>Production - O&amp;M - Other</t>
  </si>
  <si>
    <t xml:space="preserve">Steam Prod O&amp;M </t>
  </si>
  <si>
    <t>Hydro Prod O&amp;M - O&amp;M</t>
  </si>
  <si>
    <t>Other Prod O&amp;M - O&amp;M</t>
  </si>
  <si>
    <t>System Control &amp; Load Dispatch</t>
  </si>
  <si>
    <t>Transmission  - O&amp;M</t>
  </si>
  <si>
    <t>Transmission O&amp;M - Washington</t>
  </si>
  <si>
    <t>PC3</t>
  </si>
  <si>
    <t>Transmission O&amp;M - Washington GIF</t>
  </si>
  <si>
    <t>Transmission O&amp;M - Washington LIF</t>
  </si>
  <si>
    <t>Transmission O&amp;M - Non-Washington</t>
  </si>
  <si>
    <t>Distribution Expense - Operating</t>
  </si>
  <si>
    <t>Dist O&amp;M - Load Dispatch</t>
  </si>
  <si>
    <t>DES3.T</t>
  </si>
  <si>
    <t>Dist O&amp;M - Station</t>
  </si>
  <si>
    <t>D362.T</t>
  </si>
  <si>
    <t>Dist O&amp;M - OVHD Lines</t>
  </si>
  <si>
    <t>Dist O&amp;M - UNGD Lines</t>
  </si>
  <si>
    <t>D366.T</t>
  </si>
  <si>
    <t>Dist O&amp;M - Street Lighting</t>
  </si>
  <si>
    <t>Dist O&amp;M - Meter</t>
  </si>
  <si>
    <t>D370.T</t>
  </si>
  <si>
    <t>Dist O&amp;M - Cust Installations - Meters</t>
  </si>
  <si>
    <t>Dist O&amp;M - Rents</t>
  </si>
  <si>
    <t>Dist O&amp;M - Supr &amp; Eng</t>
  </si>
  <si>
    <t>DES1.T</t>
  </si>
  <si>
    <t>Dist O&amp;M - Miscellaneous</t>
  </si>
  <si>
    <t>Customer Accounts Expense</t>
  </si>
  <si>
    <t>CAE - Suprv</t>
  </si>
  <si>
    <t>CAES1.T</t>
  </si>
  <si>
    <t>CAE - Meter Reading</t>
  </si>
  <si>
    <t>CUST_4</t>
  </si>
  <si>
    <t>CAE - Records &amp; Collections</t>
  </si>
  <si>
    <t>CUST_3</t>
  </si>
  <si>
    <t xml:space="preserve">CAE - Uncollect Accts </t>
  </si>
  <si>
    <t>DIR904.00</t>
  </si>
  <si>
    <t>CAE - Miscellaneous</t>
  </si>
  <si>
    <t>CUST_1</t>
  </si>
  <si>
    <t>Customer Service &amp; Information Expense</t>
  </si>
  <si>
    <t>Cust Svc Exp - Cust Assistance</t>
  </si>
  <si>
    <t>RESID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</si>
  <si>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</si>
  <si>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</si>
  <si>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</si>
  <si>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</si>
  <si>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</si>
  <si>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</si>
  <si>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</si>
  <si>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</si>
  <si>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</si>
  <si>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ADJPTDCE.T</t>
  </si>
  <si>
    <t>A&amp;G Exp - Office Supplies</t>
  </si>
  <si>
    <t>A&amp;G Exp - Transf (credit)</t>
  </si>
  <si>
    <t>A&amp;G Exp - Outside Svcs</t>
  </si>
  <si>
    <t>A&amp;G Exp - Prop Insurance - Other</t>
  </si>
  <si>
    <t>PTDGP.T</t>
  </si>
  <si>
    <t>A&amp;G Exp - Injuries &amp; Damages - Other</t>
  </si>
  <si>
    <t>SW.T</t>
  </si>
  <si>
    <t>A&amp;G Exp - Pensions &amp; Benefits</t>
  </si>
  <si>
    <t xml:space="preserve">A&amp;G Exp - Reg Comm Exp </t>
  </si>
  <si>
    <t>PTDE.T</t>
  </si>
  <si>
    <t>A&amp;G Exp - Miscellaneous</t>
  </si>
  <si>
    <t>A&amp;G Exp - Rents</t>
  </si>
  <si>
    <t>Distribution Expense - Maintenance</t>
  </si>
  <si>
    <t>Dist O&amp;M - Structure</t>
  </si>
  <si>
    <t>D361.T</t>
  </si>
  <si>
    <t>Dist O&amp;M - Station Eqpt</t>
  </si>
  <si>
    <t>Dist O&amp;M - Lines Transformers</t>
  </si>
  <si>
    <t>D368.T</t>
  </si>
  <si>
    <t>Dist O&amp;M - Meters</t>
  </si>
  <si>
    <t>Dist O&amp;M - Supervision &amp; Maintenance</t>
  </si>
  <si>
    <t>DES2.T</t>
  </si>
  <si>
    <t>General Expense - Maintenance &amp; Other</t>
  </si>
  <si>
    <t>A&amp;G Exp - Maint of Gen Plant</t>
  </si>
  <si>
    <t>TOTAL MAINTENANCE EXPENSES</t>
  </si>
  <si>
    <t>TOTAL O &amp; M EXPENSES</t>
  </si>
  <si>
    <t>Depr Exp - Production Steam Baseload</t>
  </si>
  <si>
    <t>Depr Exp - Production Hydro</t>
  </si>
  <si>
    <t>Depr Exp - Production Other</t>
  </si>
  <si>
    <t>403.04a</t>
  </si>
  <si>
    <t>Depr Exp - Transmission - Washington</t>
  </si>
  <si>
    <t>403.04b</t>
  </si>
  <si>
    <t>Depr Exp - Transmission - Washington GIF</t>
  </si>
  <si>
    <t>403.04c</t>
  </si>
  <si>
    <t>Depr Exp - Transmission - Washington LIF</t>
  </si>
  <si>
    <t>403.04d</t>
  </si>
  <si>
    <t>Depr Exp - Transmission - Non-Washington</t>
  </si>
  <si>
    <t>403.05a</t>
  </si>
  <si>
    <t>Depr Exp - Distribution - Easements</t>
  </si>
  <si>
    <t>D360.T</t>
  </si>
  <si>
    <t>403.05b</t>
  </si>
  <si>
    <t>Depr Exp - Distribution - Structures</t>
  </si>
  <si>
    <t>403.05c</t>
  </si>
  <si>
    <t>Depr Exp - Distribution - Station Equipment</t>
  </si>
  <si>
    <t>403.05d</t>
  </si>
  <si>
    <t>Depr Exp - Distribution - Batteries</t>
  </si>
  <si>
    <t>NCP_362</t>
  </si>
  <si>
    <t>403.05e</t>
  </si>
  <si>
    <t>Depr Exp - Distribution - OH Poles</t>
  </si>
  <si>
    <t>OH_NCP</t>
  </si>
  <si>
    <t>403.05f</t>
  </si>
  <si>
    <t>Depr Exp - Distribution - OH Conductors</t>
  </si>
  <si>
    <t>403.05g</t>
  </si>
  <si>
    <t>Depr Exp - Distribution - UG Conductors</t>
  </si>
  <si>
    <t>UG_NCP</t>
  </si>
  <si>
    <t>403.05h</t>
  </si>
  <si>
    <t>Depr Exp - Distribution - UG Conduit</t>
  </si>
  <si>
    <t>403.05i</t>
  </si>
  <si>
    <t>Depr Exp - Distribution - Line Transformers</t>
  </si>
  <si>
    <t>403.05j</t>
  </si>
  <si>
    <t>Depr Exp - Distribution - Services</t>
  </si>
  <si>
    <t>D369.T</t>
  </si>
  <si>
    <t>403.05k</t>
  </si>
  <si>
    <t>Depr Exp - Distribution - Meters</t>
  </si>
  <si>
    <t>METER</t>
  </si>
  <si>
    <t>403.05l</t>
  </si>
  <si>
    <t>Depr Exp - Distribution - Lighting</t>
  </si>
  <si>
    <t>Depr Exp - General</t>
  </si>
  <si>
    <t>403.07a</t>
  </si>
  <si>
    <t>Depr Exp - FAS 143 - Prod</t>
  </si>
  <si>
    <t>403.07b</t>
  </si>
  <si>
    <t>Depr Exp - FAS 143 - Trans</t>
  </si>
  <si>
    <t>TP.T</t>
  </si>
  <si>
    <t>403.07c</t>
  </si>
  <si>
    <t>Depr Exp - FAS 143 - Dist</t>
  </si>
  <si>
    <t>403.07d</t>
  </si>
  <si>
    <t>Depr Exp - FAS 143 - Other</t>
  </si>
  <si>
    <t>Depr Exp - VROW</t>
  </si>
  <si>
    <t>Amort Exp - Limited Term Plant - Prod</t>
  </si>
  <si>
    <t>Amort Exp - Limited Term Plant - Transmission</t>
  </si>
  <si>
    <t>Amort Exp - Limited Term Plant - General</t>
  </si>
  <si>
    <t>Amort Exp - WUTC AFUDC</t>
  </si>
  <si>
    <t>Amort Exp - Acq Adjustment - Transmission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</si>
  <si>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</si>
  <si>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</si>
  <si>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</si>
  <si>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</si>
  <si>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</si>
  <si>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TDP.T</t>
  </si>
  <si>
    <t>Regulatory Debit / Credit - Production</t>
  </si>
  <si>
    <t>Accretion Exp - FAS 143</t>
  </si>
  <si>
    <t>Gain/Loss on Utility Plant</t>
  </si>
  <si>
    <t>Gain/Loss Disp Allowance</t>
  </si>
  <si>
    <t>TOTAL DEPRECIATION EXPENSES</t>
  </si>
  <si>
    <t>Taxes (Other Than Income)</t>
  </si>
  <si>
    <t>Property Taxes</t>
  </si>
  <si>
    <t>Payroll Taxes</t>
  </si>
  <si>
    <t>Other Taxes - Wash Excise - Allocated</t>
  </si>
  <si>
    <t>REVFAC1.T</t>
  </si>
  <si>
    <t>Other Taxes - Muni</t>
  </si>
  <si>
    <t>Other Taxes - Montana</t>
  </si>
  <si>
    <t>ENERGY_2</t>
  </si>
  <si>
    <t>TOTAL TAXES OTHER THAN INCOME</t>
  </si>
  <si>
    <t>INCOME TAXES</t>
  </si>
  <si>
    <t>409.10</t>
  </si>
  <si>
    <t>Current Federal Income Tax @ Rate</t>
  </si>
  <si>
    <t>410.10</t>
  </si>
  <si>
    <t>Provision for Def Inc Tax</t>
  </si>
  <si>
    <t>TOTAL FIT</t>
  </si>
  <si>
    <t>RATE BASE</t>
  </si>
  <si>
    <t>Plant-in-Service</t>
  </si>
  <si>
    <t>Generation/Transmission</t>
  </si>
  <si>
    <t>Other</t>
  </si>
  <si>
    <t>Production Plant</t>
  </si>
  <si>
    <t>Thermal Baseload Generation</t>
  </si>
  <si>
    <t>Hydro Baseload Generation</t>
  </si>
  <si>
    <t>Other Production Generation</t>
  </si>
  <si>
    <t>Transmission Plant</t>
  </si>
  <si>
    <t>Washington Transmission Plant</t>
  </si>
  <si>
    <t>Washington Integrated Generation (GIF) Transmission Plant</t>
  </si>
  <si>
    <t>Washington Integrated Lease Facilities (LIF) Transmission Plant</t>
  </si>
  <si>
    <t>Non-Washington Transmission Plant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</si>
  <si>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</si>
  <si>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</si>
  <si>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</si>
  <si>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</si>
  <si>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</si>
  <si>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</si>
  <si>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</si>
  <si>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</si>
  <si>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</si>
  <si>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</si>
  <si>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</si>
  <si>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</si>
  <si>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Battery Storage</t>
  </si>
  <si>
    <t>DEM</t>
  </si>
  <si>
    <t xml:space="preserve">Poles Towers &amp; Fixtures 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</si>
  <si>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</si>
  <si>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</si>
  <si>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</si>
  <si>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</si>
  <si>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</si>
  <si>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</si>
  <si>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</si>
  <si>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</si>
  <si>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</si>
  <si>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</si>
  <si>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</si>
  <si>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</si>
  <si>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</si>
  <si>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</si>
  <si>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</si>
  <si>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</si>
  <si>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</si>
  <si>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</si>
  <si>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</si>
  <si>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</si>
  <si>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Meters</t>
  </si>
  <si>
    <t xml:space="preserve">Str &amp; Area Lighting Sys </t>
  </si>
  <si>
    <t>Asset Retirement Obligation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</si>
  <si>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</si>
  <si>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</si>
  <si>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</si>
  <si>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</si>
  <si>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</si>
  <si>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</si>
  <si>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</si>
  <si>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</si>
  <si>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</si>
  <si>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</si>
  <si>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</si>
  <si>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</si>
  <si>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</si>
  <si>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 Amortization - Generation/Transmission</t>
  </si>
  <si>
    <t>Accum Amortization - Distribution</t>
  </si>
  <si>
    <t>Accum Amortization - Other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</si>
  <si>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</si>
  <si>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</si>
  <si>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</si>
  <si>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</si>
  <si>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108.04a</t>
  </si>
  <si>
    <t>Accum Depreciation Washington Transmisson Plant</t>
  </si>
  <si>
    <t>108.04b</t>
  </si>
  <si>
    <t>Accum Depreciation Washington GIF Transmisson Plant</t>
  </si>
  <si>
    <t>108.04c</t>
  </si>
  <si>
    <t>Accum Depreciation Washington LIF Transmisson Plant</t>
  </si>
  <si>
    <t>108.04d</t>
  </si>
  <si>
    <t>Accum Depreciation Non-Washington Transmisson Plant</t>
  </si>
  <si>
    <t>108.05_360a</t>
  </si>
  <si>
    <t>Land Rights - Assigned</t>
  </si>
  <si>
    <t>DIR108.360</t>
  </si>
  <si>
    <t>108.05_360b</t>
  </si>
  <si>
    <t>Land Rights</t>
  </si>
  <si>
    <t>108.05_361a</t>
  </si>
  <si>
    <t>DIR108.361</t>
  </si>
  <si>
    <t>108.05_361b</t>
  </si>
  <si>
    <t>108.05_362a</t>
  </si>
  <si>
    <t>DIR108.362</t>
  </si>
  <si>
    <t>108.05_362b</t>
  </si>
  <si>
    <t>108.10_363</t>
  </si>
  <si>
    <t>108.10_364a</t>
  </si>
  <si>
    <t>108.10_364b</t>
  </si>
  <si>
    <t>Poles &amp; OH Conductor - Assigned</t>
  </si>
  <si>
    <t>DIR108.364</t>
  </si>
  <si>
    <t>108.10_365a</t>
  </si>
  <si>
    <t>108.10_366a</t>
  </si>
  <si>
    <t>UG Conduit &amp; Conductor - Assigned</t>
  </si>
  <si>
    <t>DIR108.366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</si>
  <si>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</si>
  <si>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</si>
  <si>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</si>
  <si>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</si>
  <si>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</si>
  <si>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</si>
  <si>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</si>
  <si>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</si>
  <si>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</si>
  <si>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</si>
  <si>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</si>
  <si>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</si>
  <si>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</si>
  <si>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</si>
  <si>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</si>
  <si>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</si>
  <si>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</si>
  <si>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</si>
  <si>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</si>
  <si>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</si>
  <si>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</si>
  <si>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WC</t>
  </si>
  <si>
    <t>Working Capital</t>
  </si>
  <si>
    <t>EPIS.T</t>
  </si>
  <si>
    <t>Misc Def Debits - Production</t>
  </si>
  <si>
    <t>Misc Def Debits - Transmission</t>
  </si>
  <si>
    <t>Misc Def Debits - Distribution</t>
  </si>
  <si>
    <t>Misc Def Debits - Other</t>
  </si>
  <si>
    <t xml:space="preserve">Accum Deferred Income Tax - Prod </t>
  </si>
  <si>
    <t>Accum Deferred Income Tax - Trans</t>
  </si>
  <si>
    <t>Accum Deferred Income Tax - General</t>
  </si>
  <si>
    <t>Customer Deposits</t>
  </si>
  <si>
    <t>CUS</t>
  </si>
  <si>
    <t>Customer Deposits - Transmission</t>
  </si>
  <si>
    <t>Customer Advances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</si>
  <si>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</si>
  <si>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</si>
  <si>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</si>
  <si>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</si>
  <si>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</si>
  <si>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</si>
  <si>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</si>
  <si>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</si>
  <si>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</si>
  <si>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</si>
  <si>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</si>
  <si>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</si>
  <si>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NRG</t>
  </si>
  <si>
    <t>Revenue Change Before Attrition and Riders</t>
  </si>
  <si>
    <t>Calculation of Rate Schedule Revenue Change Before Attrition and Riders at Equal Rates of Return</t>
  </si>
  <si>
    <t>Revenue Requirement Before Attrition and Riders</t>
  </si>
  <si>
    <t>Rate Schedule Revenue Requirement Before Attrition and Riders</t>
  </si>
  <si>
    <t>Revenue Change before Attrition and Riders as % of Firm Sales</t>
  </si>
  <si>
    <t>Sales of Electricity - Small Firm Resale</t>
  </si>
  <si>
    <t>DIR_RESALE_SMALL</t>
  </si>
  <si>
    <t>Adjusted Test Year Twelve Months ended December 2018 @ Revenue Requirement Before Attrition and Riders</t>
  </si>
  <si>
    <t>Special Contract &amp; Schedule 62 Substation Administrative &amp; General Overhead</t>
  </si>
  <si>
    <t>Substation O&amp;M Overhead</t>
  </si>
  <si>
    <t>Feeder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</si>
</sst>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_(* #,##0_);_(* \(#,##0\);_(* &quot;-&quot;??_);_(@_)"/>
    <numFmt numFmtId="169" formatCode="0.0000%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0.00_)"/>
    <numFmt numFmtId="176" formatCode="&quot;$&quot;#,##0;\-&quot;$&quot;#,##0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&quot;$&quot;#,##0.0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412">
    <xf numFmtId="164" fontId="0" fillId="0" borderId="0">
      <alignment horizontal="left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2" fillId="0" borderId="3"/>
    <xf numFmtId="41" fontId="2" fillId="2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5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5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172" fontId="9" fillId="0" borderId="0" applyFill="0" applyBorder="0" applyAlignment="0"/>
    <xf numFmtId="41" fontId="4" fillId="2" borderId="0"/>
    <xf numFmtId="0" fontId="10" fillId="21" borderId="6" applyNumberFormat="0" applyAlignment="0" applyProtection="0"/>
    <xf numFmtId="41" fontId="4" fillId="22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73" fontId="15" fillId="0" borderId="0">
      <protection locked="0"/>
    </xf>
    <xf numFmtId="0" fontId="13" fillId="0" borderId="0"/>
    <xf numFmtId="0" fontId="16" fillId="0" borderId="0" applyNumberFormat="0" applyAlignment="0">
      <alignment horizontal="left"/>
    </xf>
    <xf numFmtId="0" fontId="17" fillId="0" borderId="0" applyNumberFormat="0" applyAlignment="0"/>
    <xf numFmtId="0" fontId="12" fillId="0" borderId="0"/>
    <xf numFmtId="0" fontId="13" fillId="0" borderId="0"/>
    <xf numFmtId="0" fontId="12" fillId="0" borderId="0"/>
    <xf numFmtId="0" fontId="1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4" fontId="4" fillId="0" borderId="0"/>
    <xf numFmtId="0" fontId="18" fillId="0" borderId="0" applyNumberFormat="0" applyFill="0" applyBorder="0" applyAlignment="0" applyProtection="0"/>
    <xf numFmtId="2" fontId="11" fillId="0" borderId="0" applyFont="0" applyFill="0" applyBorder="0" applyAlignment="0" applyProtection="0"/>
    <xf numFmtId="0" fontId="12" fillId="0" borderId="0"/>
    <xf numFmtId="0" fontId="19" fillId="5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0" fontId="21" fillId="0" borderId="7" applyNumberFormat="0" applyAlignment="0" applyProtection="0">
      <alignment horizontal="left"/>
    </xf>
    <xf numFmtId="0" fontId="21" fillId="0" borderId="1">
      <alignment horizontal="left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22" fillId="0" borderId="0"/>
    <xf numFmtId="40" fontId="22" fillId="0" borderId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0" fontId="23" fillId="8" borderId="9" applyNumberFormat="0" applyAlignment="0" applyProtection="0"/>
    <xf numFmtId="0" fontId="23" fillId="8" borderId="9" applyNumberFormat="0" applyAlignment="0" applyProtection="0"/>
    <xf numFmtId="0" fontId="23" fillId="8" borderId="9" applyNumberFormat="0" applyAlignment="0" applyProtection="0"/>
    <xf numFmtId="41" fontId="24" fillId="23" borderId="3">
      <alignment horizontal="left"/>
      <protection locked="0"/>
    </xf>
    <xf numFmtId="10" fontId="24" fillId="23" borderId="3">
      <alignment horizontal="right"/>
      <protection locked="0"/>
    </xf>
    <xf numFmtId="0" fontId="20" fillId="22" borderId="0"/>
    <xf numFmtId="3" fontId="25" fillId="0" borderId="0" applyFill="0" applyBorder="0" applyAlignment="0" applyProtection="0"/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0" fontId="26" fillId="24" borderId="0" applyNumberFormat="0" applyBorder="0" applyAlignment="0" applyProtection="0"/>
    <xf numFmtId="37" fontId="27" fillId="0" borderId="0"/>
    <xf numFmtId="175" fontId="28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4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30" fillId="26" borderId="13" applyNumberFormat="0" applyAlignment="0" applyProtection="0"/>
    <xf numFmtId="0" fontId="12" fillId="0" borderId="0"/>
    <xf numFmtId="0" fontId="12" fillId="0" borderId="0"/>
    <xf numFmtId="0" fontId="13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27" borderId="3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1" fillId="0" borderId="14">
      <alignment horizontal="center"/>
    </xf>
    <xf numFmtId="3" fontId="29" fillId="0" borderId="0" applyFont="0" applyFill="0" applyBorder="0" applyAlignment="0" applyProtection="0"/>
    <xf numFmtId="0" fontId="29" fillId="28" borderId="0" applyNumberFormat="0" applyFont="0" applyBorder="0" applyAlignment="0" applyProtection="0"/>
    <xf numFmtId="0" fontId="13" fillId="0" borderId="0"/>
    <xf numFmtId="3" fontId="32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42" fontId="4" fillId="2" borderId="0"/>
    <xf numFmtId="42" fontId="4" fillId="2" borderId="2">
      <alignment vertical="center"/>
    </xf>
    <xf numFmtId="0" fontId="3" fillId="2" borderId="5" applyNumberFormat="0">
      <alignment horizontal="center" vertical="center" wrapText="1"/>
    </xf>
    <xf numFmtId="10" fontId="4" fillId="2" borderId="0"/>
    <xf numFmtId="177" fontId="4" fillId="2" borderId="0"/>
    <xf numFmtId="168" fontId="22" fillId="0" borderId="0" applyBorder="0" applyAlignment="0"/>
    <xf numFmtId="42" fontId="4" fillId="2" borderId="4">
      <alignment horizontal="left"/>
    </xf>
    <xf numFmtId="177" fontId="34" fillId="2" borderId="4">
      <alignment horizontal="left"/>
    </xf>
    <xf numFmtId="14" fontId="35" fillId="0" borderId="0" applyNumberFormat="0" applyFill="0" applyBorder="0" applyAlignment="0" applyProtection="0">
      <alignment horizontal="left"/>
    </xf>
    <xf numFmtId="178" fontId="4" fillId="0" borderId="0" applyFont="0" applyFill="0" applyAlignment="0">
      <alignment horizontal="right"/>
    </xf>
    <xf numFmtId="4" fontId="36" fillId="23" borderId="13" applyNumberFormat="0" applyProtection="0">
      <alignment vertical="center"/>
    </xf>
    <xf numFmtId="4" fontId="37" fillId="23" borderId="13" applyNumberFormat="0" applyProtection="0">
      <alignment vertical="center"/>
    </xf>
    <xf numFmtId="4" fontId="36" fillId="23" borderId="13" applyNumberFormat="0" applyProtection="0">
      <alignment horizontal="left" vertical="center" indent="1"/>
    </xf>
    <xf numFmtId="4" fontId="36" fillId="23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6" fillId="30" borderId="13" applyNumberFormat="0" applyProtection="0">
      <alignment horizontal="right" vertical="center"/>
    </xf>
    <xf numFmtId="4" fontId="36" fillId="31" borderId="13" applyNumberFormat="0" applyProtection="0">
      <alignment horizontal="right" vertical="center"/>
    </xf>
    <xf numFmtId="4" fontId="36" fillId="32" borderId="13" applyNumberFormat="0" applyProtection="0">
      <alignment horizontal="right" vertical="center"/>
    </xf>
    <xf numFmtId="4" fontId="36" fillId="33" borderId="13" applyNumberFormat="0" applyProtection="0">
      <alignment horizontal="right" vertical="center"/>
    </xf>
    <xf numFmtId="4" fontId="36" fillId="34" borderId="13" applyNumberFormat="0" applyProtection="0">
      <alignment horizontal="right" vertical="center"/>
    </xf>
    <xf numFmtId="4" fontId="36" fillId="35" borderId="13" applyNumberFormat="0" applyProtection="0">
      <alignment horizontal="right" vertical="center"/>
    </xf>
    <xf numFmtId="4" fontId="36" fillId="36" borderId="13" applyNumberFormat="0" applyProtection="0">
      <alignment horizontal="right" vertical="center"/>
    </xf>
    <xf numFmtId="4" fontId="36" fillId="37" borderId="13" applyNumberFormat="0" applyProtection="0">
      <alignment horizontal="right" vertical="center"/>
    </xf>
    <xf numFmtId="4" fontId="36" fillId="38" borderId="13" applyNumberFormat="0" applyProtection="0">
      <alignment horizontal="right" vertical="center"/>
    </xf>
    <xf numFmtId="4" fontId="38" fillId="39" borderId="13" applyNumberFormat="0" applyProtection="0">
      <alignment horizontal="left" vertical="center" indent="1"/>
    </xf>
    <xf numFmtId="4" fontId="36" fillId="40" borderId="15" applyNumberFormat="0" applyProtection="0">
      <alignment horizontal="left" vertical="center" indent="1"/>
    </xf>
    <xf numFmtId="4" fontId="39" fillId="41" borderId="0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6" fillId="40" borderId="13" applyNumberFormat="0" applyProtection="0">
      <alignment horizontal="left" vertical="center" indent="1"/>
    </xf>
    <xf numFmtId="4" fontId="36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6" fillId="44" borderId="13" applyNumberFormat="0" applyProtection="0">
      <alignment vertical="center"/>
    </xf>
    <xf numFmtId="4" fontId="37" fillId="44" borderId="13" applyNumberFormat="0" applyProtection="0">
      <alignment vertical="center"/>
    </xf>
    <xf numFmtId="4" fontId="36" fillId="44" borderId="13" applyNumberFormat="0" applyProtection="0">
      <alignment horizontal="left" vertical="center" indent="1"/>
    </xf>
    <xf numFmtId="4" fontId="36" fillId="44" borderId="13" applyNumberFormat="0" applyProtection="0">
      <alignment horizontal="left" vertical="center" indent="1"/>
    </xf>
    <xf numFmtId="4" fontId="36" fillId="40" borderId="13" applyNumberFormat="0" applyProtection="0">
      <alignment horizontal="right" vertical="center"/>
    </xf>
    <xf numFmtId="4" fontId="37" fillId="40" borderId="13" applyNumberFormat="0" applyProtection="0">
      <alignment horizontal="right" vertical="center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0" fillId="0" borderId="0"/>
    <xf numFmtId="4" fontId="41" fillId="40" borderId="13" applyNumberFormat="0" applyProtection="0">
      <alignment horizontal="right" vertical="center"/>
    </xf>
    <xf numFmtId="39" fontId="4" fillId="45" borderId="0"/>
    <xf numFmtId="38" fontId="20" fillId="0" borderId="16"/>
    <xf numFmtId="38" fontId="20" fillId="0" borderId="16"/>
    <xf numFmtId="38" fontId="20" fillId="0" borderId="16"/>
    <xf numFmtId="38" fontId="20" fillId="0" borderId="16"/>
    <xf numFmtId="38" fontId="20" fillId="0" borderId="16"/>
    <xf numFmtId="38" fontId="22" fillId="0" borderId="4"/>
    <xf numFmtId="39" fontId="35" fillId="46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40" fontId="42" fillId="0" borderId="0" applyBorder="0">
      <alignment horizontal="right"/>
    </xf>
    <xf numFmtId="41" fontId="43" fillId="2" borderId="0">
      <alignment horizontal="left"/>
    </xf>
    <xf numFmtId="179" fontId="44" fillId="2" borderId="0">
      <alignment horizontal="left" vertical="center"/>
    </xf>
    <xf numFmtId="0" fontId="3" fillId="2" borderId="0">
      <alignment horizontal="left" wrapText="1"/>
    </xf>
    <xf numFmtId="0" fontId="45" fillId="0" borderId="0">
      <alignment horizontal="left" vertical="center"/>
    </xf>
    <xf numFmtId="0" fontId="11" fillId="0" borderId="17" applyNumberFormat="0" applyFont="0" applyFill="0" applyAlignment="0" applyProtection="0"/>
    <xf numFmtId="0" fontId="13" fillId="0" borderId="18"/>
    <xf numFmtId="0" fontId="46" fillId="0" borderId="0" applyNumberFormat="0" applyFill="0" applyBorder="0" applyAlignment="0" applyProtection="0"/>
  </cellStyleXfs>
  <cellXfs count="111">
    <xf numFmtId="164" fontId="0" fillId="0" borderId="0" xfId="0">
      <alignment horizontal="left" wrapText="1"/>
    </xf>
    <xf numFmtId="0" fontId="0" fillId="2" borderId="0" xfId="0" applyNumberFormat="1" applyFill="1" applyAlignment="1"/>
    <xf numFmtId="0" fontId="3" fillId="2" borderId="2" xfId="0" applyNumberFormat="1" applyFont="1" applyFill="1" applyBorder="1" applyAlignment="1"/>
    <xf numFmtId="0" fontId="3" fillId="2" borderId="1" xfId="0" applyNumberFormat="1" applyFont="1" applyFill="1" applyBorder="1" applyAlignment="1"/>
    <xf numFmtId="0" fontId="0" fillId="2" borderId="0" xfId="0" applyNumberFormat="1" applyFill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2" fontId="0" fillId="2" borderId="0" xfId="0" applyNumberFormat="1" applyFill="1" applyAlignment="1"/>
    <xf numFmtId="2" fontId="3" fillId="2" borderId="1" xfId="0" applyNumberFormat="1" applyFont="1" applyFill="1" applyBorder="1" applyAlignment="1"/>
    <xf numFmtId="2" fontId="3" fillId="2" borderId="2" xfId="0" applyNumberFormat="1" applyFont="1" applyFill="1" applyBorder="1" applyAlignment="1"/>
    <xf numFmtId="0" fontId="3" fillId="0" borderId="0" xfId="0" applyNumberFormat="1" applyFont="1" applyFill="1" applyBorder="1" applyAlignment="1"/>
    <xf numFmtId="169" fontId="4" fillId="0" borderId="0" xfId="3" applyNumberFormat="1" applyFont="1" applyFill="1" applyBorder="1" applyAlignment="1">
      <alignment horizontal="right"/>
    </xf>
    <xf numFmtId="168" fontId="4" fillId="0" borderId="0" xfId="1" applyNumberFormat="1" applyFont="1" applyFill="1" applyAlignment="1">
      <alignment horizontal="left" wrapText="1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166" fontId="4" fillId="0" borderId="0" xfId="1" applyNumberFormat="1" applyFont="1" applyFill="1" applyAlignment="1"/>
    <xf numFmtId="166" fontId="4" fillId="0" borderId="0" xfId="0" applyNumberFormat="1" applyFont="1" applyFill="1" applyAlignment="1"/>
    <xf numFmtId="0" fontId="3" fillId="2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quotePrefix="1" applyNumberFormat="1" applyFont="1" applyFill="1" applyBorder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0" fontId="3" fillId="0" borderId="2" xfId="0" applyNumberFormat="1" applyFont="1" applyFill="1" applyBorder="1" applyAlignment="1"/>
    <xf numFmtId="165" fontId="3" fillId="0" borderId="2" xfId="2" applyNumberFormat="1" applyFont="1" applyFill="1" applyBorder="1" applyAlignment="1"/>
    <xf numFmtId="10" fontId="3" fillId="0" borderId="2" xfId="3" applyFont="1" applyFill="1" applyBorder="1"/>
    <xf numFmtId="0" fontId="4" fillId="0" borderId="0" xfId="0" applyNumberFormat="1" applyFont="1" applyFill="1" applyBorder="1" applyAlignment="1"/>
    <xf numFmtId="10" fontId="4" fillId="0" borderId="0" xfId="3" applyFont="1" applyFill="1" applyBorder="1"/>
    <xf numFmtId="0" fontId="3" fillId="0" borderId="1" xfId="0" applyNumberFormat="1" applyFont="1" applyFill="1" applyBorder="1" applyAlignment="1"/>
    <xf numFmtId="0" fontId="3" fillId="0" borderId="1" xfId="0" quotePrefix="1" applyNumberFormat="1" applyFont="1" applyFill="1" applyBorder="1" applyAlignment="1">
      <alignment horizontal="left"/>
    </xf>
    <xf numFmtId="165" fontId="3" fillId="0" borderId="1" xfId="2" applyNumberFormat="1" applyFont="1" applyFill="1" applyBorder="1" applyAlignment="1"/>
    <xf numFmtId="0" fontId="4" fillId="0" borderId="0" xfId="0" quotePrefix="1" applyNumberFormat="1" applyFont="1" applyFill="1" applyBorder="1" applyAlignment="1">
      <alignment horizontal="left"/>
    </xf>
    <xf numFmtId="43" fontId="3" fillId="0" borderId="1" xfId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167" fontId="3" fillId="0" borderId="1" xfId="2" applyNumberFormat="1" applyFont="1" applyFill="1" applyBorder="1" applyAlignment="1"/>
    <xf numFmtId="168" fontId="3" fillId="0" borderId="1" xfId="1" applyNumberFormat="1" applyFont="1" applyFill="1" applyBorder="1" applyAlignment="1"/>
    <xf numFmtId="0" fontId="3" fillId="0" borderId="5" xfId="0" applyNumberFormat="1" applyFont="1" applyFill="1" applyBorder="1" applyAlignment="1">
      <alignment horizontal="center" wrapText="1"/>
    </xf>
    <xf numFmtId="0" fontId="3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center"/>
    </xf>
    <xf numFmtId="168" fontId="4" fillId="0" borderId="0" xfId="1" applyNumberFormat="1" applyFont="1" applyFill="1" applyAlignment="1"/>
    <xf numFmtId="0" fontId="3" fillId="0" borderId="0" xfId="0" quotePrefix="1" applyNumberFormat="1" applyFont="1" applyFill="1" applyAlignment="1">
      <alignment horizontal="left"/>
    </xf>
    <xf numFmtId="0" fontId="3" fillId="0" borderId="0" xfId="0" quotePrefix="1" applyNumberFormat="1" applyFont="1" applyFill="1" applyAlignment="1">
      <alignment horizontal="left" indent="1"/>
    </xf>
    <xf numFmtId="0" fontId="3" fillId="0" borderId="0" xfId="0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/>
    <xf numFmtId="9" fontId="3" fillId="0" borderId="2" xfId="3" applyNumberFormat="1" applyFont="1" applyFill="1" applyBorder="1" applyAlignment="1">
      <alignment horizontal="right"/>
    </xf>
    <xf numFmtId="164" fontId="3" fillId="0" borderId="0" xfId="0" applyFont="1" applyFill="1" applyAlignment="1">
      <alignment horizontal="center" wrapText="1"/>
    </xf>
    <xf numFmtId="0" fontId="3" fillId="0" borderId="1" xfId="0" quotePrefix="1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wrapText="1"/>
    </xf>
    <xf numFmtId="0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/>
    <xf numFmtId="165" fontId="3" fillId="0" borderId="4" xfId="2" applyNumberFormat="1" applyFont="1" applyFill="1" applyBorder="1" applyAlignment="1"/>
    <xf numFmtId="0" fontId="3" fillId="0" borderId="4" xfId="0" quotePrefix="1" applyNumberFormat="1" applyFont="1" applyFill="1" applyBorder="1" applyAlignment="1">
      <alignment horizontal="left"/>
    </xf>
    <xf numFmtId="10" fontId="3" fillId="0" borderId="1" xfId="3" applyFont="1" applyFill="1" applyBorder="1" applyAlignment="1">
      <alignment horizontal="right"/>
    </xf>
    <xf numFmtId="10" fontId="4" fillId="0" borderId="0" xfId="3" applyFont="1" applyFill="1" applyBorder="1" applyAlignment="1">
      <alignment horizontal="right"/>
    </xf>
    <xf numFmtId="10" fontId="3" fillId="0" borderId="2" xfId="3" applyNumberFormat="1" applyFont="1" applyFill="1" applyBorder="1" applyAlignment="1">
      <alignment horizontal="right"/>
    </xf>
    <xf numFmtId="0" fontId="3" fillId="0" borderId="5" xfId="0" applyNumberFormat="1" applyFont="1" applyFill="1" applyBorder="1" applyAlignment="1"/>
    <xf numFmtId="0" fontId="3" fillId="0" borderId="5" xfId="0" applyNumberFormat="1" applyFont="1" applyFill="1" applyBorder="1" applyAlignment="1">
      <alignment horizontal="center"/>
    </xf>
    <xf numFmtId="0" fontId="3" fillId="0" borderId="5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10" fontId="4" fillId="0" borderId="0" xfId="3" applyFont="1" applyFill="1" applyBorder="1" applyAlignment="1">
      <alignment horizontal="center"/>
    </xf>
    <xf numFmtId="10" fontId="3" fillId="0" borderId="4" xfId="3" applyFont="1" applyFill="1" applyBorder="1" applyAlignment="1">
      <alignment horizontal="center"/>
    </xf>
    <xf numFmtId="10" fontId="3" fillId="0" borderId="1" xfId="3" applyFont="1" applyFill="1" applyBorder="1" applyAlignment="1">
      <alignment horizontal="center"/>
    </xf>
    <xf numFmtId="10" fontId="3" fillId="0" borderId="2" xfId="3" applyFont="1" applyFill="1" applyBorder="1" applyAlignment="1">
      <alignment horizontal="right"/>
    </xf>
    <xf numFmtId="9" fontId="4" fillId="0" borderId="0" xfId="3" applyNumberFormat="1" applyFont="1" applyFill="1" applyBorder="1"/>
    <xf numFmtId="44" fontId="3" fillId="0" borderId="0" xfId="2" applyFont="1" applyFill="1" applyAlignment="1"/>
    <xf numFmtId="44" fontId="3" fillId="0" borderId="2" xfId="2" applyFont="1" applyFill="1" applyBorder="1" applyAlignment="1"/>
    <xf numFmtId="0" fontId="3" fillId="0" borderId="1" xfId="0" applyNumberFormat="1" applyFont="1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165" fontId="4" fillId="0" borderId="0" xfId="2" applyNumberFormat="1" applyFont="1" applyFill="1" applyAlignment="1"/>
    <xf numFmtId="0" fontId="4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/>
    <xf numFmtId="44" fontId="4" fillId="0" borderId="0" xfId="0" applyNumberFormat="1" applyFont="1" applyFill="1" applyAlignment="1"/>
    <xf numFmtId="41" fontId="4" fillId="0" borderId="0" xfId="0" applyNumberFormat="1" applyFont="1" applyFill="1" applyAlignment="1"/>
    <xf numFmtId="167" fontId="4" fillId="0" borderId="0" xfId="2" applyNumberFormat="1" applyFont="1" applyFill="1" applyAlignment="1"/>
    <xf numFmtId="165" fontId="4" fillId="0" borderId="2" xfId="2" applyNumberFormat="1" applyFont="1" applyFill="1" applyBorder="1" applyAlignment="1"/>
    <xf numFmtId="165" fontId="3" fillId="0" borderId="0" xfId="2" quotePrefix="1" applyNumberFormat="1" applyFont="1" applyFill="1" applyAlignment="1">
      <alignment horizontal="left"/>
    </xf>
    <xf numFmtId="168" fontId="4" fillId="0" borderId="0" xfId="1" quotePrefix="1" applyNumberFormat="1" applyFont="1" applyFill="1" applyAlignment="1">
      <alignment horizontal="left"/>
    </xf>
    <xf numFmtId="166" fontId="4" fillId="0" borderId="0" xfId="1" quotePrefix="1" applyNumberFormat="1" applyFont="1" applyFill="1" applyAlignment="1">
      <alignment horizontal="left"/>
    </xf>
    <xf numFmtId="9" fontId="4" fillId="0" borderId="3" xfId="3" quotePrefix="1" applyNumberFormat="1" applyFont="1" applyFill="1"/>
    <xf numFmtId="165" fontId="4" fillId="0" borderId="0" xfId="2" quotePrefix="1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 indent="1"/>
    </xf>
    <xf numFmtId="0" fontId="4" fillId="0" borderId="0" xfId="0" applyNumberFormat="1" applyFont="1" applyFill="1" applyAlignment="1">
      <alignment horizontal="left" indent="2"/>
    </xf>
    <xf numFmtId="0" fontId="4" fillId="0" borderId="0" xfId="0" applyNumberFormat="1" applyFont="1" applyFill="1" applyAlignment="1">
      <alignment wrapText="1"/>
    </xf>
    <xf numFmtId="164" fontId="4" fillId="0" borderId="0" xfId="0" applyFont="1" applyFill="1">
      <alignment horizontal="left" wrapText="1"/>
    </xf>
    <xf numFmtId="41" fontId="4" fillId="0" borderId="0" xfId="4" applyFont="1" applyFill="1"/>
    <xf numFmtId="165" fontId="4" fillId="0" borderId="0" xfId="2" applyNumberFormat="1" applyFont="1" applyFill="1"/>
    <xf numFmtId="165" fontId="4" fillId="0" borderId="0" xfId="2" applyNumberFormat="1" applyFont="1" applyFill="1" applyBorder="1" applyAlignment="1"/>
    <xf numFmtId="0" fontId="4" fillId="0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/>
    <xf numFmtId="165" fontId="4" fillId="0" borderId="4" xfId="2" applyNumberFormat="1" applyFont="1" applyFill="1" applyBorder="1" applyAlignment="1"/>
    <xf numFmtId="165" fontId="4" fillId="0" borderId="0" xfId="2" applyNumberFormat="1" applyFont="1" applyFill="1" applyAlignment="1">
      <alignment horizontal="left" wrapText="1"/>
    </xf>
    <xf numFmtId="0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2" fontId="4" fillId="0" borderId="0" xfId="0" applyNumberFormat="1" applyFont="1" applyFill="1" applyAlignment="1"/>
    <xf numFmtId="165" fontId="0" fillId="2" borderId="0" xfId="216" applyNumberFormat="1" applyFont="1" applyFill="1" applyAlignment="1"/>
    <xf numFmtId="165" fontId="3" fillId="2" borderId="1" xfId="216" applyNumberFormat="1" applyFont="1" applyFill="1" applyBorder="1" applyAlignment="1"/>
    <xf numFmtId="165" fontId="3" fillId="2" borderId="2" xfId="216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quotePrefix="1" applyNumberFormat="1" applyFont="1" applyFill="1" applyAlignment="1">
      <alignment horizontal="center"/>
    </xf>
    <xf numFmtId="0" fontId="3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/>
    <xf numFmtId="0" fontId="3" fillId="0" borderId="4" xfId="0" quotePrefix="1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 wrapText="1"/>
    </xf>
  </cellXfs>
  <cellStyles count="412">
    <cellStyle name="_x0013_" xfId="5" xr:uid="{00000000-0005-0000-0000-000000000000}"/>
    <cellStyle name="_4.06E Pass Throughs" xfId="6" xr:uid="{00000000-0005-0000-0000-000001000000}"/>
    <cellStyle name="_4.06E Pass Throughs_04 07E Wild Horse Wind Expansion (C) (2)" xfId="7" xr:uid="{00000000-0005-0000-0000-000002000000}"/>
    <cellStyle name="_4.06E Pass Throughs_04 07E Wild Horse Wind Expansion (C) (2)_Electric Rev Req Model (2009 GRC) " xfId="8" xr:uid="{00000000-0005-0000-0000-000003000000}"/>
    <cellStyle name="_4.06E Pass Throughs_Production Adj 4.37" xfId="9" xr:uid="{00000000-0005-0000-0000-000004000000}"/>
    <cellStyle name="_4.06E Pass Throughs_Purchased Power Adj 4.03" xfId="10" xr:uid="{00000000-0005-0000-0000-000005000000}"/>
    <cellStyle name="_4.06E Pass Throughs_ROR 5.02" xfId="11" xr:uid="{00000000-0005-0000-0000-000006000000}"/>
    <cellStyle name="_4.13E Montana Energy Tax" xfId="12" xr:uid="{00000000-0005-0000-0000-000007000000}"/>
    <cellStyle name="_4.13E Montana Energy Tax_04 07E Wild Horse Wind Expansion (C) (2)" xfId="13" xr:uid="{00000000-0005-0000-0000-000008000000}"/>
    <cellStyle name="_4.13E Montana Energy Tax_04 07E Wild Horse Wind Expansion (C) (2)_Electric Rev Req Model (2009 GRC) " xfId="14" xr:uid="{00000000-0005-0000-0000-000009000000}"/>
    <cellStyle name="_4.13E Montana Energy Tax_Production Adj 4.37" xfId="15" xr:uid="{00000000-0005-0000-0000-00000A000000}"/>
    <cellStyle name="_4.13E Montana Energy Tax_Purchased Power Adj 4.03" xfId="16" xr:uid="{00000000-0005-0000-0000-00000B000000}"/>
    <cellStyle name="_4.13E Montana Energy Tax_ROR 5.02" xfId="17" xr:uid="{00000000-0005-0000-0000-00000C000000}"/>
    <cellStyle name="_Book1" xfId="18" xr:uid="{00000000-0005-0000-0000-00000D000000}"/>
    <cellStyle name="_Book1 (2)" xfId="19" xr:uid="{00000000-0005-0000-0000-00000E000000}"/>
    <cellStyle name="_Book1 (2)_04 07E Wild Horse Wind Expansion (C) (2)" xfId="20" xr:uid="{00000000-0005-0000-0000-00000F000000}"/>
    <cellStyle name="_Book1 (2)_04 07E Wild Horse Wind Expansion (C) (2)_Electric Rev Req Model (2009 GRC) " xfId="21" xr:uid="{00000000-0005-0000-0000-000010000000}"/>
    <cellStyle name="_Book1 (2)_Production Adj 4.37" xfId="22" xr:uid="{00000000-0005-0000-0000-000011000000}"/>
    <cellStyle name="_Book1 (2)_Purchased Power Adj 4.03" xfId="23" xr:uid="{00000000-0005-0000-0000-000012000000}"/>
    <cellStyle name="_Book1 (2)_ROR 5.02" xfId="24" xr:uid="{00000000-0005-0000-0000-000013000000}"/>
    <cellStyle name="_Book1_Production Adj 4.37" xfId="25" xr:uid="{00000000-0005-0000-0000-000014000000}"/>
    <cellStyle name="_Book1_Purchased Power Adj 4.03" xfId="26" xr:uid="{00000000-0005-0000-0000-000015000000}"/>
    <cellStyle name="_Book1_ROR 5.02" xfId="27" xr:uid="{00000000-0005-0000-0000-000016000000}"/>
    <cellStyle name="_Book2" xfId="28" xr:uid="{00000000-0005-0000-0000-000017000000}"/>
    <cellStyle name="_Book2_04 07E Wild Horse Wind Expansion (C) (2)" xfId="29" xr:uid="{00000000-0005-0000-0000-000018000000}"/>
    <cellStyle name="_Book2_04 07E Wild Horse Wind Expansion (C) (2)_Electric Rev Req Model (2009 GRC) " xfId="30" xr:uid="{00000000-0005-0000-0000-000019000000}"/>
    <cellStyle name="_Book2_Production Adj 4.37" xfId="31" xr:uid="{00000000-0005-0000-0000-00001A000000}"/>
    <cellStyle name="_Book2_Purchased Power Adj 4.03" xfId="32" xr:uid="{00000000-0005-0000-0000-00001B000000}"/>
    <cellStyle name="_Book2_ROR 5.02" xfId="33" xr:uid="{00000000-0005-0000-0000-00001C000000}"/>
    <cellStyle name="_Chelan Debt Forecast 12.19.05" xfId="34" xr:uid="{00000000-0005-0000-0000-00001D000000}"/>
    <cellStyle name="_Chelan Debt Forecast 12.19.05_Production Adj 4.37" xfId="35" xr:uid="{00000000-0005-0000-0000-00001E000000}"/>
    <cellStyle name="_Chelan Debt Forecast 12.19.05_Purchased Power Adj 4.03" xfId="36" xr:uid="{00000000-0005-0000-0000-00001F000000}"/>
    <cellStyle name="_Chelan Debt Forecast 12.19.05_ROR 5.02" xfId="37" xr:uid="{00000000-0005-0000-0000-000020000000}"/>
    <cellStyle name="_Costs not in AURORA 06GRC" xfId="38" xr:uid="{00000000-0005-0000-0000-000021000000}"/>
    <cellStyle name="_Costs not in AURORA 06GRC_04 07E Wild Horse Wind Expansion (C) (2)" xfId="39" xr:uid="{00000000-0005-0000-0000-000022000000}"/>
    <cellStyle name="_Costs not in AURORA 06GRC_04 07E Wild Horse Wind Expansion (C) (2)_Electric Rev Req Model (2009 GRC) " xfId="40" xr:uid="{00000000-0005-0000-0000-000023000000}"/>
    <cellStyle name="_Costs not in AURORA 06GRC_Production Adj 4.37" xfId="41" xr:uid="{00000000-0005-0000-0000-000024000000}"/>
    <cellStyle name="_Costs not in AURORA 06GRC_Purchased Power Adj 4.03" xfId="42" xr:uid="{00000000-0005-0000-0000-000025000000}"/>
    <cellStyle name="_Costs not in AURORA 06GRC_ROR 5.02" xfId="43" xr:uid="{00000000-0005-0000-0000-000026000000}"/>
    <cellStyle name="_Costs not in AURORA 2006GRC 6.15.06" xfId="44" xr:uid="{00000000-0005-0000-0000-000027000000}"/>
    <cellStyle name="_Costs not in AURORA 2006GRC 6.15.06_04 07E Wild Horse Wind Expansion (C) (2)" xfId="45" xr:uid="{00000000-0005-0000-0000-000028000000}"/>
    <cellStyle name="_Costs not in AURORA 2006GRC 6.15.06_04 07E Wild Horse Wind Expansion (C) (2)_Electric Rev Req Model (2009 GRC) " xfId="46" xr:uid="{00000000-0005-0000-0000-000029000000}"/>
    <cellStyle name="_Costs not in AURORA 2006GRC 6.15.06_Production Adj 4.37" xfId="47" xr:uid="{00000000-0005-0000-0000-00002A000000}"/>
    <cellStyle name="_Costs not in AURORA 2006GRC 6.15.06_Purchased Power Adj 4.03" xfId="48" xr:uid="{00000000-0005-0000-0000-00002B000000}"/>
    <cellStyle name="_Costs not in AURORA 2006GRC 6.15.06_ROR 5.02" xfId="49" xr:uid="{00000000-0005-0000-0000-00002C000000}"/>
    <cellStyle name="_Costs not in AURORA 2006GRC w gas price updated" xfId="50" xr:uid="{00000000-0005-0000-0000-00002D000000}"/>
    <cellStyle name="_Costs not in AURORA 2006GRC w gas price updated_Electric Rev Req Model (2009 GRC) " xfId="51" xr:uid="{00000000-0005-0000-0000-00002E000000}"/>
    <cellStyle name="_Costs not in AURORA 2007 Rate Case" xfId="52" xr:uid="{00000000-0005-0000-0000-00002F000000}"/>
    <cellStyle name="_Costs not in AURORA 2007 Rate Case_Production Adj 4.37" xfId="53" xr:uid="{00000000-0005-0000-0000-000030000000}"/>
    <cellStyle name="_Costs not in AURORA 2007 Rate Case_Purchased Power Adj 4.03" xfId="54" xr:uid="{00000000-0005-0000-0000-000031000000}"/>
    <cellStyle name="_Costs not in AURORA 2007 Rate Case_ROR 5.02" xfId="55" xr:uid="{00000000-0005-0000-0000-000032000000}"/>
    <cellStyle name="_Costs not in KWI3000 '06Budget" xfId="56" xr:uid="{00000000-0005-0000-0000-000033000000}"/>
    <cellStyle name="_Costs not in KWI3000 '06Budget_Production Adj 4.37" xfId="57" xr:uid="{00000000-0005-0000-0000-000034000000}"/>
    <cellStyle name="_Costs not in KWI3000 '06Budget_Purchased Power Adj 4.03" xfId="58" xr:uid="{00000000-0005-0000-0000-000035000000}"/>
    <cellStyle name="_Costs not in KWI3000 '06Budget_ROR 5.02" xfId="59" xr:uid="{00000000-0005-0000-0000-000036000000}"/>
    <cellStyle name="_DEM-WP (C) Power Cost 2006GRC Order" xfId="60" xr:uid="{00000000-0005-0000-0000-000037000000}"/>
    <cellStyle name="_DEM-WP (C) Power Cost 2006GRC Order_04 07E Wild Horse Wind Expansion (C) (2)" xfId="61" xr:uid="{00000000-0005-0000-0000-000038000000}"/>
    <cellStyle name="_DEM-WP (C) Power Cost 2006GRC Order_04 07E Wild Horse Wind Expansion (C) (2)_Electric Rev Req Model (2009 GRC) " xfId="62" xr:uid="{00000000-0005-0000-0000-000039000000}"/>
    <cellStyle name="_DEM-WP (C) Power Cost 2006GRC Order_Production Adj 4.37" xfId="63" xr:uid="{00000000-0005-0000-0000-00003A000000}"/>
    <cellStyle name="_DEM-WP (C) Power Cost 2006GRC Order_Purchased Power Adj 4.03" xfId="64" xr:uid="{00000000-0005-0000-0000-00003B000000}"/>
    <cellStyle name="_DEM-WP (C) Power Cost 2006GRC Order_ROR 5.02" xfId="65" xr:uid="{00000000-0005-0000-0000-00003C000000}"/>
    <cellStyle name="_DEM-WP Revised (HC) Wild Horse 2006GRC" xfId="66" xr:uid="{00000000-0005-0000-0000-00003D000000}"/>
    <cellStyle name="_DEM-WP Revised (HC) Wild Horse 2006GRC_Electric Rev Req Model (2009 GRC) " xfId="67" xr:uid="{00000000-0005-0000-0000-00003E000000}"/>
    <cellStyle name="_DEM-WP(C) Costs not in AURORA 2006GRC" xfId="68" xr:uid="{00000000-0005-0000-0000-00003F000000}"/>
    <cellStyle name="_DEM-WP(C) Costs not in AURORA 2006GRC_Production Adj 4.37" xfId="69" xr:uid="{00000000-0005-0000-0000-000040000000}"/>
    <cellStyle name="_DEM-WP(C) Costs not in AURORA 2006GRC_Purchased Power Adj 4.03" xfId="70" xr:uid="{00000000-0005-0000-0000-000041000000}"/>
    <cellStyle name="_DEM-WP(C) Costs not in AURORA 2006GRC_ROR 5.02" xfId="71" xr:uid="{00000000-0005-0000-0000-000042000000}"/>
    <cellStyle name="_DEM-WP(C) Costs not in AURORA 2007GRC" xfId="72" xr:uid="{00000000-0005-0000-0000-000043000000}"/>
    <cellStyle name="_DEM-WP(C) Costs not in AURORA 2007GRC_Electric Rev Req Model (2009 GRC) " xfId="73" xr:uid="{00000000-0005-0000-0000-000044000000}"/>
    <cellStyle name="_DEM-WP(C) Costs not in AURORA 2007PCORC-5.07Update" xfId="74" xr:uid="{00000000-0005-0000-0000-000045000000}"/>
    <cellStyle name="_DEM-WP(C) Costs not in AURORA 2007PCORC-5.07Update_Electric Rev Req Model (2009 GRC) " xfId="75" xr:uid="{00000000-0005-0000-0000-000046000000}"/>
    <cellStyle name="_DEM-WP(C) Sumas Proforma 11.5.07" xfId="76" xr:uid="{00000000-0005-0000-0000-000047000000}"/>
    <cellStyle name="_DEM-WP(C) Westside Hydro Data_051007" xfId="77" xr:uid="{00000000-0005-0000-0000-000048000000}"/>
    <cellStyle name="_DEM-WP(C) Westside Hydro Data_051007_Electric Rev Req Model (2009 GRC) " xfId="78" xr:uid="{00000000-0005-0000-0000-000049000000}"/>
    <cellStyle name="_x0013__Electric Rev Req Model (2009 GRC) " xfId="79" xr:uid="{00000000-0005-0000-0000-00004A000000}"/>
    <cellStyle name="_Fuel Prices 4-14" xfId="80" xr:uid="{00000000-0005-0000-0000-00004B000000}"/>
    <cellStyle name="_Fuel Prices 4-14_04 07E Wild Horse Wind Expansion (C) (2)" xfId="81" xr:uid="{00000000-0005-0000-0000-00004C000000}"/>
    <cellStyle name="_Fuel Prices 4-14_04 07E Wild Horse Wind Expansion (C) (2)_Electric Rev Req Model (2009 GRC) " xfId="82" xr:uid="{00000000-0005-0000-0000-00004D000000}"/>
    <cellStyle name="_Fuel Prices 4-14_Production Adj 4.37" xfId="83" xr:uid="{00000000-0005-0000-0000-00004E000000}"/>
    <cellStyle name="_Fuel Prices 4-14_Purchased Power Adj 4.03" xfId="84" xr:uid="{00000000-0005-0000-0000-00004F000000}"/>
    <cellStyle name="_Fuel Prices 4-14_ROR 5.02" xfId="85" xr:uid="{00000000-0005-0000-0000-000050000000}"/>
    <cellStyle name="_Fuel Prices 4-14_Sch 40 Interim Energy Rates " xfId="86" xr:uid="{00000000-0005-0000-0000-000051000000}"/>
    <cellStyle name="_NIM 06 Base Case Current Trends" xfId="87" xr:uid="{00000000-0005-0000-0000-000052000000}"/>
    <cellStyle name="_NIM 06 Base Case Current Trends_Electric Rev Req Model (2009 GRC) " xfId="88" xr:uid="{00000000-0005-0000-0000-000053000000}"/>
    <cellStyle name="_Portfolio SPlan Base Case.xls Chart 1" xfId="89" xr:uid="{00000000-0005-0000-0000-000054000000}"/>
    <cellStyle name="_Portfolio SPlan Base Case.xls Chart 1_Electric Rev Req Model (2009 GRC) " xfId="90" xr:uid="{00000000-0005-0000-0000-000055000000}"/>
    <cellStyle name="_Portfolio SPlan Base Case.xls Chart 2" xfId="91" xr:uid="{00000000-0005-0000-0000-000056000000}"/>
    <cellStyle name="_Portfolio SPlan Base Case.xls Chart 2_Electric Rev Req Model (2009 GRC) " xfId="92" xr:uid="{00000000-0005-0000-0000-000057000000}"/>
    <cellStyle name="_Portfolio SPlan Base Case.xls Chart 3" xfId="93" xr:uid="{00000000-0005-0000-0000-000058000000}"/>
    <cellStyle name="_Portfolio SPlan Base Case.xls Chart 3_Electric Rev Req Model (2009 GRC) " xfId="94" xr:uid="{00000000-0005-0000-0000-000059000000}"/>
    <cellStyle name="_Power Cost Value Copy 11.30.05 gas 1.09.06 AURORA at 1.10.06" xfId="95" xr:uid="{00000000-0005-0000-0000-00005A000000}"/>
    <cellStyle name="_Power Cost Value Copy 11.30.05 gas 1.09.06 AURORA at 1.10.06_04 07E Wild Horse Wind Expansion (C) (2)" xfId="96" xr:uid="{00000000-0005-0000-0000-00005B000000}"/>
    <cellStyle name="_Power Cost Value Copy 11.30.05 gas 1.09.06 AURORA at 1.10.06_04 07E Wild Horse Wind Expansion (C) (2)_Electric Rev Req Model (2009 GRC) " xfId="97" xr:uid="{00000000-0005-0000-0000-00005C000000}"/>
    <cellStyle name="_Power Cost Value Copy 11.30.05 gas 1.09.06 AURORA at 1.10.06_Production Adj 4.37" xfId="98" xr:uid="{00000000-0005-0000-0000-00005D000000}"/>
    <cellStyle name="_Power Cost Value Copy 11.30.05 gas 1.09.06 AURORA at 1.10.06_Purchased Power Adj 4.03" xfId="99" xr:uid="{00000000-0005-0000-0000-00005E000000}"/>
    <cellStyle name="_Power Cost Value Copy 11.30.05 gas 1.09.06 AURORA at 1.10.06_ROR 5.02" xfId="100" xr:uid="{00000000-0005-0000-0000-00005F000000}"/>
    <cellStyle name="_Power Cost Value Copy 11.30.05 gas 1.09.06 AURORA at 1.10.06_Sch 40 Interim Energy Rates " xfId="101" xr:uid="{00000000-0005-0000-0000-000060000000}"/>
    <cellStyle name="_Recon to Darrin's 5.11.05 proforma" xfId="102" xr:uid="{00000000-0005-0000-0000-000061000000}"/>
    <cellStyle name="_Recon to Darrin's 5.11.05 proforma_Production Adj 4.37" xfId="103" xr:uid="{00000000-0005-0000-0000-000062000000}"/>
    <cellStyle name="_Recon to Darrin's 5.11.05 proforma_Purchased Power Adj 4.03" xfId="104" xr:uid="{00000000-0005-0000-0000-000063000000}"/>
    <cellStyle name="_Recon to Darrin's 5.11.05 proforma_ROR 5.02" xfId="105" xr:uid="{00000000-0005-0000-0000-000064000000}"/>
    <cellStyle name="_Tenaska Comparison" xfId="106" xr:uid="{00000000-0005-0000-0000-000065000000}"/>
    <cellStyle name="_Tenaska Comparison_Production Adj 4.37" xfId="107" xr:uid="{00000000-0005-0000-0000-000066000000}"/>
    <cellStyle name="_Tenaska Comparison_Purchased Power Adj 4.03" xfId="108" xr:uid="{00000000-0005-0000-0000-000067000000}"/>
    <cellStyle name="_Tenaska Comparison_ROR 5.02" xfId="109" xr:uid="{00000000-0005-0000-0000-000068000000}"/>
    <cellStyle name="_Value Copy 11 30 05 gas 12 09 05 AURORA at 12 14 05" xfId="110" xr:uid="{00000000-0005-0000-0000-000069000000}"/>
    <cellStyle name="_Value Copy 11 30 05 gas 12 09 05 AURORA at 12 14 05_04 07E Wild Horse Wind Expansion (C) (2)" xfId="111" xr:uid="{00000000-0005-0000-0000-00006A000000}"/>
    <cellStyle name="_Value Copy 11 30 05 gas 12 09 05 AURORA at 12 14 05_04 07E Wild Horse Wind Expansion (C) (2)_Electric Rev Req Model (2009 GRC) " xfId="112" xr:uid="{00000000-0005-0000-0000-00006B000000}"/>
    <cellStyle name="_Value Copy 11 30 05 gas 12 09 05 AURORA at 12 14 05_Production Adj 4.37" xfId="113" xr:uid="{00000000-0005-0000-0000-00006C000000}"/>
    <cellStyle name="_Value Copy 11 30 05 gas 12 09 05 AURORA at 12 14 05_Purchased Power Adj 4.03" xfId="114" xr:uid="{00000000-0005-0000-0000-00006D000000}"/>
    <cellStyle name="_Value Copy 11 30 05 gas 12 09 05 AURORA at 12 14 05_ROR 5.02" xfId="115" xr:uid="{00000000-0005-0000-0000-00006E000000}"/>
    <cellStyle name="_Value Copy 11 30 05 gas 12 09 05 AURORA at 12 14 05_Sch 40 Interim Energy Rates " xfId="116" xr:uid="{00000000-0005-0000-0000-00006F000000}"/>
    <cellStyle name="_VC 6.15.06 update on 06GRC power costs.xls Chart 1" xfId="117" xr:uid="{00000000-0005-0000-0000-000070000000}"/>
    <cellStyle name="_VC 6.15.06 update on 06GRC power costs.xls Chart 1_04 07E Wild Horse Wind Expansion (C) (2)" xfId="118" xr:uid="{00000000-0005-0000-0000-000071000000}"/>
    <cellStyle name="_VC 6.15.06 update on 06GRC power costs.xls Chart 1_04 07E Wild Horse Wind Expansion (C) (2)_Electric Rev Req Model (2009 GRC) " xfId="119" xr:uid="{00000000-0005-0000-0000-000072000000}"/>
    <cellStyle name="_VC 6.15.06 update on 06GRC power costs.xls Chart 1_Production Adj 4.37" xfId="120" xr:uid="{00000000-0005-0000-0000-000073000000}"/>
    <cellStyle name="_VC 6.15.06 update on 06GRC power costs.xls Chart 1_Purchased Power Adj 4.03" xfId="121" xr:uid="{00000000-0005-0000-0000-000074000000}"/>
    <cellStyle name="_VC 6.15.06 update on 06GRC power costs.xls Chart 1_ROR 5.02" xfId="122" xr:uid="{00000000-0005-0000-0000-000075000000}"/>
    <cellStyle name="_VC 6.15.06 update on 06GRC power costs.xls Chart 2" xfId="123" xr:uid="{00000000-0005-0000-0000-000076000000}"/>
    <cellStyle name="_VC 6.15.06 update on 06GRC power costs.xls Chart 2_04 07E Wild Horse Wind Expansion (C) (2)" xfId="124" xr:uid="{00000000-0005-0000-0000-000077000000}"/>
    <cellStyle name="_VC 6.15.06 update on 06GRC power costs.xls Chart 2_04 07E Wild Horse Wind Expansion (C) (2)_Electric Rev Req Model (2009 GRC) " xfId="125" xr:uid="{00000000-0005-0000-0000-000078000000}"/>
    <cellStyle name="_VC 6.15.06 update on 06GRC power costs.xls Chart 2_Production Adj 4.37" xfId="126" xr:uid="{00000000-0005-0000-0000-000079000000}"/>
    <cellStyle name="_VC 6.15.06 update on 06GRC power costs.xls Chart 2_Purchased Power Adj 4.03" xfId="127" xr:uid="{00000000-0005-0000-0000-00007A000000}"/>
    <cellStyle name="_VC 6.15.06 update on 06GRC power costs.xls Chart 2_ROR 5.02" xfId="128" xr:uid="{00000000-0005-0000-0000-00007B000000}"/>
    <cellStyle name="_VC 6.15.06 update on 06GRC power costs.xls Chart 3" xfId="129" xr:uid="{00000000-0005-0000-0000-00007C000000}"/>
    <cellStyle name="_VC 6.15.06 update on 06GRC power costs.xls Chart 3_04 07E Wild Horse Wind Expansion (C) (2)" xfId="130" xr:uid="{00000000-0005-0000-0000-00007D000000}"/>
    <cellStyle name="_VC 6.15.06 update on 06GRC power costs.xls Chart 3_04 07E Wild Horse Wind Expansion (C) (2)_Electric Rev Req Model (2009 GRC) " xfId="131" xr:uid="{00000000-0005-0000-0000-00007E000000}"/>
    <cellStyle name="_VC 6.15.06 update on 06GRC power costs.xls Chart 3_Production Adj 4.37" xfId="132" xr:uid="{00000000-0005-0000-0000-00007F000000}"/>
    <cellStyle name="_VC 6.15.06 update on 06GRC power costs.xls Chart 3_Purchased Power Adj 4.03" xfId="133" xr:uid="{00000000-0005-0000-0000-000080000000}"/>
    <cellStyle name="_VC 6.15.06 update on 06GRC power costs.xls Chart 3_ROR 5.02" xfId="134" xr:uid="{00000000-0005-0000-0000-000081000000}"/>
    <cellStyle name="0,0_x000d__x000a_NA_x000d__x000a_" xfId="135" xr:uid="{00000000-0005-0000-0000-000082000000}"/>
    <cellStyle name="20% - Accent1 2" xfId="136" xr:uid="{00000000-0005-0000-0000-000083000000}"/>
    <cellStyle name="20% - Accent1 3" xfId="137" xr:uid="{00000000-0005-0000-0000-000084000000}"/>
    <cellStyle name="20% - Accent1 4" xfId="138" xr:uid="{00000000-0005-0000-0000-000085000000}"/>
    <cellStyle name="20% - Accent2 2" xfId="139" xr:uid="{00000000-0005-0000-0000-000086000000}"/>
    <cellStyle name="20% - Accent2 3" xfId="140" xr:uid="{00000000-0005-0000-0000-000087000000}"/>
    <cellStyle name="20% - Accent2 4" xfId="141" xr:uid="{00000000-0005-0000-0000-000088000000}"/>
    <cellStyle name="20% - Accent3 2" xfId="142" xr:uid="{00000000-0005-0000-0000-000089000000}"/>
    <cellStyle name="20% - Accent3 3" xfId="143" xr:uid="{00000000-0005-0000-0000-00008A000000}"/>
    <cellStyle name="20% - Accent3 4" xfId="144" xr:uid="{00000000-0005-0000-0000-00008B000000}"/>
    <cellStyle name="20% - Accent4 2" xfId="145" xr:uid="{00000000-0005-0000-0000-00008C000000}"/>
    <cellStyle name="20% - Accent4 3" xfId="146" xr:uid="{00000000-0005-0000-0000-00008D000000}"/>
    <cellStyle name="20% - Accent4 4" xfId="147" xr:uid="{00000000-0005-0000-0000-00008E000000}"/>
    <cellStyle name="20% - Accent5 2" xfId="148" xr:uid="{00000000-0005-0000-0000-00008F000000}"/>
    <cellStyle name="20% - Accent5 3" xfId="149" xr:uid="{00000000-0005-0000-0000-000090000000}"/>
    <cellStyle name="20% - Accent5 4" xfId="150" xr:uid="{00000000-0005-0000-0000-000091000000}"/>
    <cellStyle name="20% - Accent6 2" xfId="151" xr:uid="{00000000-0005-0000-0000-000092000000}"/>
    <cellStyle name="20% - Accent6 3" xfId="152" xr:uid="{00000000-0005-0000-0000-000093000000}"/>
    <cellStyle name="20% - Accent6 4" xfId="153" xr:uid="{00000000-0005-0000-0000-000094000000}"/>
    <cellStyle name="40% - Accent1 2" xfId="154" xr:uid="{00000000-0005-0000-0000-000095000000}"/>
    <cellStyle name="40% - Accent1 3" xfId="155" xr:uid="{00000000-0005-0000-0000-000096000000}"/>
    <cellStyle name="40% - Accent1 4" xfId="156" xr:uid="{00000000-0005-0000-0000-000097000000}"/>
    <cellStyle name="40% - Accent2 2" xfId="157" xr:uid="{00000000-0005-0000-0000-000098000000}"/>
    <cellStyle name="40% - Accent2 3" xfId="158" xr:uid="{00000000-0005-0000-0000-000099000000}"/>
    <cellStyle name="40% - Accent2 4" xfId="159" xr:uid="{00000000-0005-0000-0000-00009A000000}"/>
    <cellStyle name="40% - Accent3 2" xfId="160" xr:uid="{00000000-0005-0000-0000-00009B000000}"/>
    <cellStyle name="40% - Accent3 3" xfId="161" xr:uid="{00000000-0005-0000-0000-00009C000000}"/>
    <cellStyle name="40% - Accent3 4" xfId="162" xr:uid="{00000000-0005-0000-0000-00009D000000}"/>
    <cellStyle name="40% - Accent4 2" xfId="163" xr:uid="{00000000-0005-0000-0000-00009E000000}"/>
    <cellStyle name="40% - Accent4 3" xfId="164" xr:uid="{00000000-0005-0000-0000-00009F000000}"/>
    <cellStyle name="40% - Accent4 4" xfId="165" xr:uid="{00000000-0005-0000-0000-0000A0000000}"/>
    <cellStyle name="40% - Accent5 2" xfId="166" xr:uid="{00000000-0005-0000-0000-0000A1000000}"/>
    <cellStyle name="40% - Accent5 3" xfId="167" xr:uid="{00000000-0005-0000-0000-0000A2000000}"/>
    <cellStyle name="40% - Accent5 4" xfId="168" xr:uid="{00000000-0005-0000-0000-0000A3000000}"/>
    <cellStyle name="40% - Accent6 2" xfId="169" xr:uid="{00000000-0005-0000-0000-0000A4000000}"/>
    <cellStyle name="40% - Accent6 3" xfId="170" xr:uid="{00000000-0005-0000-0000-0000A5000000}"/>
    <cellStyle name="40% - Accent6 4" xfId="171" xr:uid="{00000000-0005-0000-0000-0000A6000000}"/>
    <cellStyle name="60% - Accent1 2" xfId="172" xr:uid="{00000000-0005-0000-0000-0000A7000000}"/>
    <cellStyle name="60% - Accent2 2" xfId="173" xr:uid="{00000000-0005-0000-0000-0000A8000000}"/>
    <cellStyle name="60% - Accent3 2" xfId="174" xr:uid="{00000000-0005-0000-0000-0000A9000000}"/>
    <cellStyle name="60% - Accent4 2" xfId="175" xr:uid="{00000000-0005-0000-0000-0000AA000000}"/>
    <cellStyle name="60% - Accent5 2" xfId="176" xr:uid="{00000000-0005-0000-0000-0000AB000000}"/>
    <cellStyle name="60% - Accent6 2" xfId="177" xr:uid="{00000000-0005-0000-0000-0000AC000000}"/>
    <cellStyle name="Accent1 2" xfId="178" xr:uid="{00000000-0005-0000-0000-0000AD000000}"/>
    <cellStyle name="Accent2 2" xfId="179" xr:uid="{00000000-0005-0000-0000-0000AE000000}"/>
    <cellStyle name="Accent3 2" xfId="180" xr:uid="{00000000-0005-0000-0000-0000AF000000}"/>
    <cellStyle name="Accent4 2" xfId="181" xr:uid="{00000000-0005-0000-0000-0000B0000000}"/>
    <cellStyle name="Accent5 2" xfId="182" xr:uid="{00000000-0005-0000-0000-0000B1000000}"/>
    <cellStyle name="Accent6 2" xfId="183" xr:uid="{00000000-0005-0000-0000-0000B2000000}"/>
    <cellStyle name="Bad 2" xfId="184" xr:uid="{00000000-0005-0000-0000-0000B3000000}"/>
    <cellStyle name="Calc Currency (0)" xfId="185" xr:uid="{00000000-0005-0000-0000-0000B4000000}"/>
    <cellStyle name="Calculation" xfId="4" builtinId="22"/>
    <cellStyle name="Calculation 2" xfId="186" xr:uid="{00000000-0005-0000-0000-0000B6000000}"/>
    <cellStyle name="Check Cell 2" xfId="187" xr:uid="{00000000-0005-0000-0000-0000B7000000}"/>
    <cellStyle name="CheckCell" xfId="188" xr:uid="{00000000-0005-0000-0000-0000B8000000}"/>
    <cellStyle name="Comma" xfId="1" builtinId="3"/>
    <cellStyle name="Comma 10" xfId="189" xr:uid="{00000000-0005-0000-0000-0000BA000000}"/>
    <cellStyle name="Comma 11" xfId="190" xr:uid="{00000000-0005-0000-0000-0000BB000000}"/>
    <cellStyle name="Comma 2" xfId="191" xr:uid="{00000000-0005-0000-0000-0000BC000000}"/>
    <cellStyle name="Comma 2 2" xfId="192" xr:uid="{00000000-0005-0000-0000-0000BD000000}"/>
    <cellStyle name="Comma 3" xfId="193" xr:uid="{00000000-0005-0000-0000-0000BE000000}"/>
    <cellStyle name="Comma 4" xfId="194" xr:uid="{00000000-0005-0000-0000-0000BF000000}"/>
    <cellStyle name="Comma 5" xfId="195" xr:uid="{00000000-0005-0000-0000-0000C0000000}"/>
    <cellStyle name="Comma 6" xfId="196" xr:uid="{00000000-0005-0000-0000-0000C1000000}"/>
    <cellStyle name="Comma 7" xfId="197" xr:uid="{00000000-0005-0000-0000-0000C2000000}"/>
    <cellStyle name="Comma 8" xfId="198" xr:uid="{00000000-0005-0000-0000-0000C3000000}"/>
    <cellStyle name="Comma 8 2" xfId="199" xr:uid="{00000000-0005-0000-0000-0000C4000000}"/>
    <cellStyle name="Comma 9" xfId="200" xr:uid="{00000000-0005-0000-0000-0000C5000000}"/>
    <cellStyle name="Comma0" xfId="201" xr:uid="{00000000-0005-0000-0000-0000C6000000}"/>
    <cellStyle name="Comma0 - Style2" xfId="202" xr:uid="{00000000-0005-0000-0000-0000C7000000}"/>
    <cellStyle name="Comma0 - Style4" xfId="203" xr:uid="{00000000-0005-0000-0000-0000C8000000}"/>
    <cellStyle name="Comma0 - Style5" xfId="204" xr:uid="{00000000-0005-0000-0000-0000C9000000}"/>
    <cellStyle name="Comma0 2" xfId="205" xr:uid="{00000000-0005-0000-0000-0000CA000000}"/>
    <cellStyle name="Comma0 3" xfId="206" xr:uid="{00000000-0005-0000-0000-0000CB000000}"/>
    <cellStyle name="Comma0 4" xfId="207" xr:uid="{00000000-0005-0000-0000-0000CC000000}"/>
    <cellStyle name="Comma0_00COS Ind Allocators" xfId="208" xr:uid="{00000000-0005-0000-0000-0000CD000000}"/>
    <cellStyle name="Comma1 - Style1" xfId="209" xr:uid="{00000000-0005-0000-0000-0000CE000000}"/>
    <cellStyle name="Copied" xfId="210" xr:uid="{00000000-0005-0000-0000-0000CF000000}"/>
    <cellStyle name="COST1" xfId="211" xr:uid="{00000000-0005-0000-0000-0000D0000000}"/>
    <cellStyle name="Curren - Style1" xfId="212" xr:uid="{00000000-0005-0000-0000-0000D1000000}"/>
    <cellStyle name="Curren - Style2" xfId="213" xr:uid="{00000000-0005-0000-0000-0000D2000000}"/>
    <cellStyle name="Curren - Style5" xfId="214" xr:uid="{00000000-0005-0000-0000-0000D3000000}"/>
    <cellStyle name="Curren - Style6" xfId="215" xr:uid="{00000000-0005-0000-0000-0000D4000000}"/>
    <cellStyle name="Currency" xfId="2" builtinId="4"/>
    <cellStyle name="Currency 10" xfId="216" xr:uid="{00000000-0005-0000-0000-0000D6000000}"/>
    <cellStyle name="Currency 2" xfId="217" xr:uid="{00000000-0005-0000-0000-0000D7000000}"/>
    <cellStyle name="Currency 3" xfId="218" xr:uid="{00000000-0005-0000-0000-0000D8000000}"/>
    <cellStyle name="Currency 3 2" xfId="219" xr:uid="{00000000-0005-0000-0000-0000D9000000}"/>
    <cellStyle name="Currency 4" xfId="220" xr:uid="{00000000-0005-0000-0000-0000DA000000}"/>
    <cellStyle name="Currency 5" xfId="221" xr:uid="{00000000-0005-0000-0000-0000DB000000}"/>
    <cellStyle name="Currency 6" xfId="222" xr:uid="{00000000-0005-0000-0000-0000DC000000}"/>
    <cellStyle name="Currency 7" xfId="223" xr:uid="{00000000-0005-0000-0000-0000DD000000}"/>
    <cellStyle name="Currency 8" xfId="224" xr:uid="{00000000-0005-0000-0000-0000DE000000}"/>
    <cellStyle name="Currency 9" xfId="225" xr:uid="{00000000-0005-0000-0000-0000DF000000}"/>
    <cellStyle name="Currency0" xfId="226" xr:uid="{00000000-0005-0000-0000-0000E0000000}"/>
    <cellStyle name="Date" xfId="227" xr:uid="{00000000-0005-0000-0000-0000E1000000}"/>
    <cellStyle name="Date 2" xfId="228" xr:uid="{00000000-0005-0000-0000-0000E2000000}"/>
    <cellStyle name="Date 3" xfId="229" xr:uid="{00000000-0005-0000-0000-0000E3000000}"/>
    <cellStyle name="Date 4" xfId="230" xr:uid="{00000000-0005-0000-0000-0000E4000000}"/>
    <cellStyle name="Entered" xfId="231" xr:uid="{00000000-0005-0000-0000-0000E5000000}"/>
    <cellStyle name="Explanatory Text 2" xfId="232" xr:uid="{00000000-0005-0000-0000-0000E6000000}"/>
    <cellStyle name="Fixed" xfId="233" xr:uid="{00000000-0005-0000-0000-0000E7000000}"/>
    <cellStyle name="Fixed3 - Style3" xfId="234" xr:uid="{00000000-0005-0000-0000-0000E8000000}"/>
    <cellStyle name="Good 2" xfId="235" xr:uid="{00000000-0005-0000-0000-0000E9000000}"/>
    <cellStyle name="Grey" xfId="236" xr:uid="{00000000-0005-0000-0000-0000EA000000}"/>
    <cellStyle name="Grey 2" xfId="237" xr:uid="{00000000-0005-0000-0000-0000EB000000}"/>
    <cellStyle name="Grey 3" xfId="238" xr:uid="{00000000-0005-0000-0000-0000EC000000}"/>
    <cellStyle name="Grey 4" xfId="239" xr:uid="{00000000-0005-0000-0000-0000ED000000}"/>
    <cellStyle name="Grey_ERB" xfId="240" xr:uid="{00000000-0005-0000-0000-0000EE000000}"/>
    <cellStyle name="Header1" xfId="241" xr:uid="{00000000-0005-0000-0000-0000EF000000}"/>
    <cellStyle name="Header2" xfId="242" xr:uid="{00000000-0005-0000-0000-0000F0000000}"/>
    <cellStyle name="Heading 1 2" xfId="243" xr:uid="{00000000-0005-0000-0000-0000F1000000}"/>
    <cellStyle name="Heading 2 2" xfId="244" xr:uid="{00000000-0005-0000-0000-0000F2000000}"/>
    <cellStyle name="Heading1" xfId="245" xr:uid="{00000000-0005-0000-0000-0000F3000000}"/>
    <cellStyle name="Heading2" xfId="246" xr:uid="{00000000-0005-0000-0000-0000F4000000}"/>
    <cellStyle name="Input [yellow]" xfId="247" xr:uid="{00000000-0005-0000-0000-0000F5000000}"/>
    <cellStyle name="Input [yellow] 2" xfId="248" xr:uid="{00000000-0005-0000-0000-0000F6000000}"/>
    <cellStyle name="Input [yellow] 3" xfId="249" xr:uid="{00000000-0005-0000-0000-0000F7000000}"/>
    <cellStyle name="Input [yellow] 4" xfId="250" xr:uid="{00000000-0005-0000-0000-0000F8000000}"/>
    <cellStyle name="Input [yellow]_ERB" xfId="251" xr:uid="{00000000-0005-0000-0000-0000F9000000}"/>
    <cellStyle name="Input 2" xfId="252" xr:uid="{00000000-0005-0000-0000-0000FA000000}"/>
    <cellStyle name="Input 3" xfId="253" xr:uid="{00000000-0005-0000-0000-0000FB000000}"/>
    <cellStyle name="Input 4" xfId="254" xr:uid="{00000000-0005-0000-0000-0000FC000000}"/>
    <cellStyle name="Input Cells" xfId="255" xr:uid="{00000000-0005-0000-0000-0000FD000000}"/>
    <cellStyle name="Input Cells Percent" xfId="256" xr:uid="{00000000-0005-0000-0000-0000FE000000}"/>
    <cellStyle name="Lines" xfId="257" xr:uid="{00000000-0005-0000-0000-0000FF000000}"/>
    <cellStyle name="LINKED" xfId="258" xr:uid="{00000000-0005-0000-0000-000000010000}"/>
    <cellStyle name="modified border" xfId="259" xr:uid="{00000000-0005-0000-0000-000001010000}"/>
    <cellStyle name="modified border 2" xfId="260" xr:uid="{00000000-0005-0000-0000-000002010000}"/>
    <cellStyle name="modified border 3" xfId="261" xr:uid="{00000000-0005-0000-0000-000003010000}"/>
    <cellStyle name="modified border 4" xfId="262" xr:uid="{00000000-0005-0000-0000-000004010000}"/>
    <cellStyle name="modified border1" xfId="263" xr:uid="{00000000-0005-0000-0000-000005010000}"/>
    <cellStyle name="modified border1 2" xfId="264" xr:uid="{00000000-0005-0000-0000-000006010000}"/>
    <cellStyle name="modified border1 3" xfId="265" xr:uid="{00000000-0005-0000-0000-000007010000}"/>
    <cellStyle name="modified border1 4" xfId="266" xr:uid="{00000000-0005-0000-0000-000008010000}"/>
    <cellStyle name="Neutral 2" xfId="267" xr:uid="{00000000-0005-0000-0000-000009010000}"/>
    <cellStyle name="no dec" xfId="268" xr:uid="{00000000-0005-0000-0000-00000A010000}"/>
    <cellStyle name="Normal" xfId="0" builtinId="0"/>
    <cellStyle name="Normal - Style1" xfId="269" xr:uid="{00000000-0005-0000-0000-00000C010000}"/>
    <cellStyle name="Normal - Style1 2" xfId="270" xr:uid="{00000000-0005-0000-0000-00000D010000}"/>
    <cellStyle name="Normal - Style1 3" xfId="271" xr:uid="{00000000-0005-0000-0000-00000E010000}"/>
    <cellStyle name="Normal - Style1 4" xfId="272" xr:uid="{00000000-0005-0000-0000-00000F010000}"/>
    <cellStyle name="Normal - Style1_Depreciation Exp" xfId="273" xr:uid="{00000000-0005-0000-0000-000010010000}"/>
    <cellStyle name="Normal 10" xfId="274" xr:uid="{00000000-0005-0000-0000-000011010000}"/>
    <cellStyle name="Normal 11" xfId="275" xr:uid="{00000000-0005-0000-0000-000012010000}"/>
    <cellStyle name="Normal 12" xfId="276" xr:uid="{00000000-0005-0000-0000-000013010000}"/>
    <cellStyle name="Normal 13" xfId="277" xr:uid="{00000000-0005-0000-0000-000014010000}"/>
    <cellStyle name="Normal 14" xfId="278" xr:uid="{00000000-0005-0000-0000-000015010000}"/>
    <cellStyle name="Normal 15" xfId="279" xr:uid="{00000000-0005-0000-0000-000016010000}"/>
    <cellStyle name="Normal 16" xfId="280" xr:uid="{00000000-0005-0000-0000-000017010000}"/>
    <cellStyle name="Normal 17" xfId="281" xr:uid="{00000000-0005-0000-0000-000018010000}"/>
    <cellStyle name="Normal 2" xfId="282" xr:uid="{00000000-0005-0000-0000-000019010000}"/>
    <cellStyle name="Normal 2 2" xfId="283" xr:uid="{00000000-0005-0000-0000-00001A010000}"/>
    <cellStyle name="Normal 2 2 2" xfId="284" xr:uid="{00000000-0005-0000-0000-00001B010000}"/>
    <cellStyle name="Normal 2 2 3" xfId="285" xr:uid="{00000000-0005-0000-0000-00001C010000}"/>
    <cellStyle name="Normal 2 2_4.14E Miscellaneous Operating Expense working file" xfId="286" xr:uid="{00000000-0005-0000-0000-00001D010000}"/>
    <cellStyle name="Normal 2 3" xfId="287" xr:uid="{00000000-0005-0000-0000-00001E010000}"/>
    <cellStyle name="Normal 2 4" xfId="288" xr:uid="{00000000-0005-0000-0000-00001F010000}"/>
    <cellStyle name="Normal 2 5" xfId="289" xr:uid="{00000000-0005-0000-0000-000020010000}"/>
    <cellStyle name="Normal 2 6" xfId="290" xr:uid="{00000000-0005-0000-0000-000021010000}"/>
    <cellStyle name="Normal 2 7" xfId="291" xr:uid="{00000000-0005-0000-0000-000022010000}"/>
    <cellStyle name="Normal 2 8" xfId="292" xr:uid="{00000000-0005-0000-0000-000023010000}"/>
    <cellStyle name="Normal 2 9" xfId="293" xr:uid="{00000000-0005-0000-0000-000024010000}"/>
    <cellStyle name="Normal 2_Allocation Method - Working File" xfId="294" xr:uid="{00000000-0005-0000-0000-000025010000}"/>
    <cellStyle name="Normal 3" xfId="295" xr:uid="{00000000-0005-0000-0000-000026010000}"/>
    <cellStyle name="Normal 3 2" xfId="296" xr:uid="{00000000-0005-0000-0000-000027010000}"/>
    <cellStyle name="Normal 3 3" xfId="297" xr:uid="{00000000-0005-0000-0000-000028010000}"/>
    <cellStyle name="Normal 3_4.14E Miscellaneous Operating Expense working file" xfId="298" xr:uid="{00000000-0005-0000-0000-000029010000}"/>
    <cellStyle name="Normal 4" xfId="299" xr:uid="{00000000-0005-0000-0000-00002A010000}"/>
    <cellStyle name="Normal 5" xfId="300" xr:uid="{00000000-0005-0000-0000-00002B010000}"/>
    <cellStyle name="Normal 6" xfId="301" xr:uid="{00000000-0005-0000-0000-00002C010000}"/>
    <cellStyle name="Normal 7" xfId="302" xr:uid="{00000000-0005-0000-0000-00002D010000}"/>
    <cellStyle name="Normal 8" xfId="303" xr:uid="{00000000-0005-0000-0000-00002E010000}"/>
    <cellStyle name="Normal 9" xfId="304" xr:uid="{00000000-0005-0000-0000-00002F010000}"/>
    <cellStyle name="Note 10" xfId="305" xr:uid="{00000000-0005-0000-0000-000030010000}"/>
    <cellStyle name="Note 11" xfId="306" xr:uid="{00000000-0005-0000-0000-000031010000}"/>
    <cellStyle name="Note 12" xfId="307" xr:uid="{00000000-0005-0000-0000-000032010000}"/>
    <cellStyle name="Note 2" xfId="308" xr:uid="{00000000-0005-0000-0000-000033010000}"/>
    <cellStyle name="Note 3" xfId="309" xr:uid="{00000000-0005-0000-0000-000034010000}"/>
    <cellStyle name="Note 4" xfId="310" xr:uid="{00000000-0005-0000-0000-000035010000}"/>
    <cellStyle name="Note 5" xfId="311" xr:uid="{00000000-0005-0000-0000-000036010000}"/>
    <cellStyle name="Note 6" xfId="312" xr:uid="{00000000-0005-0000-0000-000037010000}"/>
    <cellStyle name="Note 7" xfId="313" xr:uid="{00000000-0005-0000-0000-000038010000}"/>
    <cellStyle name="Note 8" xfId="314" xr:uid="{00000000-0005-0000-0000-000039010000}"/>
    <cellStyle name="Note 9" xfId="315" xr:uid="{00000000-0005-0000-0000-00003A010000}"/>
    <cellStyle name="Output 2" xfId="316" xr:uid="{00000000-0005-0000-0000-00003B010000}"/>
    <cellStyle name="Percen - Style1" xfId="317" xr:uid="{00000000-0005-0000-0000-00003C010000}"/>
    <cellStyle name="Percen - Style2" xfId="318" xr:uid="{00000000-0005-0000-0000-00003D010000}"/>
    <cellStyle name="Percen - Style3" xfId="319" xr:uid="{00000000-0005-0000-0000-00003E010000}"/>
    <cellStyle name="Percent" xfId="3" builtinId="5"/>
    <cellStyle name="Percent [2]" xfId="320" xr:uid="{00000000-0005-0000-0000-000040010000}"/>
    <cellStyle name="Percent 10" xfId="321" xr:uid="{00000000-0005-0000-0000-000041010000}"/>
    <cellStyle name="Percent 11" xfId="322" xr:uid="{00000000-0005-0000-0000-000042010000}"/>
    <cellStyle name="Percent 2" xfId="323" xr:uid="{00000000-0005-0000-0000-000043010000}"/>
    <cellStyle name="Percent 3" xfId="324" xr:uid="{00000000-0005-0000-0000-000044010000}"/>
    <cellStyle name="Percent 4" xfId="325" xr:uid="{00000000-0005-0000-0000-000045010000}"/>
    <cellStyle name="Percent 4 2" xfId="326" xr:uid="{00000000-0005-0000-0000-000046010000}"/>
    <cellStyle name="Percent 5" xfId="327" xr:uid="{00000000-0005-0000-0000-000047010000}"/>
    <cellStyle name="Percent 6" xfId="328" xr:uid="{00000000-0005-0000-0000-000048010000}"/>
    <cellStyle name="Percent 7" xfId="329" xr:uid="{00000000-0005-0000-0000-000049010000}"/>
    <cellStyle name="Percent 8" xfId="330" xr:uid="{00000000-0005-0000-0000-00004A010000}"/>
    <cellStyle name="Percent 9" xfId="331" xr:uid="{00000000-0005-0000-0000-00004B010000}"/>
    <cellStyle name="Processing" xfId="332" xr:uid="{00000000-0005-0000-0000-00004C010000}"/>
    <cellStyle name="PSChar" xfId="333" xr:uid="{00000000-0005-0000-0000-00004D010000}"/>
    <cellStyle name="PSDate" xfId="334" xr:uid="{00000000-0005-0000-0000-00004E010000}"/>
    <cellStyle name="PSDec" xfId="335" xr:uid="{00000000-0005-0000-0000-00004F010000}"/>
    <cellStyle name="PSHeading" xfId="336" xr:uid="{00000000-0005-0000-0000-000050010000}"/>
    <cellStyle name="PSInt" xfId="337" xr:uid="{00000000-0005-0000-0000-000051010000}"/>
    <cellStyle name="PSSpacer" xfId="338" xr:uid="{00000000-0005-0000-0000-000052010000}"/>
    <cellStyle name="purple - Style8" xfId="339" xr:uid="{00000000-0005-0000-0000-000053010000}"/>
    <cellStyle name="RED" xfId="340" xr:uid="{00000000-0005-0000-0000-000054010000}"/>
    <cellStyle name="Red - Style7" xfId="341" xr:uid="{00000000-0005-0000-0000-000055010000}"/>
    <cellStyle name="RED_04 07E Wild Horse Wind Expansion (C) (2)" xfId="342" xr:uid="{00000000-0005-0000-0000-000056010000}"/>
    <cellStyle name="Report" xfId="343" xr:uid="{00000000-0005-0000-0000-000057010000}"/>
    <cellStyle name="Report Bar" xfId="344" xr:uid="{00000000-0005-0000-0000-000058010000}"/>
    <cellStyle name="Report Heading" xfId="345" xr:uid="{00000000-0005-0000-0000-000059010000}"/>
    <cellStyle name="Report Percent" xfId="346" xr:uid="{00000000-0005-0000-0000-00005A010000}"/>
    <cellStyle name="Report Unit Cost" xfId="347" xr:uid="{00000000-0005-0000-0000-00005B010000}"/>
    <cellStyle name="Reports" xfId="348" xr:uid="{00000000-0005-0000-0000-00005C010000}"/>
    <cellStyle name="Reports Total" xfId="349" xr:uid="{00000000-0005-0000-0000-00005D010000}"/>
    <cellStyle name="Reports Unit Cost Total" xfId="350" xr:uid="{00000000-0005-0000-0000-00005E010000}"/>
    <cellStyle name="RevList" xfId="351" xr:uid="{00000000-0005-0000-0000-00005F010000}"/>
    <cellStyle name="round100" xfId="352" xr:uid="{00000000-0005-0000-0000-000060010000}"/>
    <cellStyle name="SAPBEXaggData" xfId="353" xr:uid="{00000000-0005-0000-0000-000061010000}"/>
    <cellStyle name="SAPBEXaggDataEmph" xfId="354" xr:uid="{00000000-0005-0000-0000-000062010000}"/>
    <cellStyle name="SAPBEXaggItem" xfId="355" xr:uid="{00000000-0005-0000-0000-000063010000}"/>
    <cellStyle name="SAPBEXaggItemX" xfId="356" xr:uid="{00000000-0005-0000-0000-000064010000}"/>
    <cellStyle name="SAPBEXchaText" xfId="357" xr:uid="{00000000-0005-0000-0000-000065010000}"/>
    <cellStyle name="SAPBEXexcBad7" xfId="358" xr:uid="{00000000-0005-0000-0000-000066010000}"/>
    <cellStyle name="SAPBEXexcBad8" xfId="359" xr:uid="{00000000-0005-0000-0000-000067010000}"/>
    <cellStyle name="SAPBEXexcBad9" xfId="360" xr:uid="{00000000-0005-0000-0000-000068010000}"/>
    <cellStyle name="SAPBEXexcCritical4" xfId="361" xr:uid="{00000000-0005-0000-0000-000069010000}"/>
    <cellStyle name="SAPBEXexcCritical5" xfId="362" xr:uid="{00000000-0005-0000-0000-00006A010000}"/>
    <cellStyle name="SAPBEXexcCritical6" xfId="363" xr:uid="{00000000-0005-0000-0000-00006B010000}"/>
    <cellStyle name="SAPBEXexcGood1" xfId="364" xr:uid="{00000000-0005-0000-0000-00006C010000}"/>
    <cellStyle name="SAPBEXexcGood2" xfId="365" xr:uid="{00000000-0005-0000-0000-00006D010000}"/>
    <cellStyle name="SAPBEXexcGood3" xfId="366" xr:uid="{00000000-0005-0000-0000-00006E010000}"/>
    <cellStyle name="SAPBEXfilterDrill" xfId="367" xr:uid="{00000000-0005-0000-0000-00006F010000}"/>
    <cellStyle name="SAPBEXfilterItem" xfId="368" xr:uid="{00000000-0005-0000-0000-000070010000}"/>
    <cellStyle name="SAPBEXfilterText" xfId="369" xr:uid="{00000000-0005-0000-0000-000071010000}"/>
    <cellStyle name="SAPBEXformats" xfId="370" xr:uid="{00000000-0005-0000-0000-000072010000}"/>
    <cellStyle name="SAPBEXheaderItem" xfId="371" xr:uid="{00000000-0005-0000-0000-000073010000}"/>
    <cellStyle name="SAPBEXheaderText" xfId="372" xr:uid="{00000000-0005-0000-0000-000074010000}"/>
    <cellStyle name="SAPBEXHLevel0" xfId="373" xr:uid="{00000000-0005-0000-0000-000075010000}"/>
    <cellStyle name="SAPBEXHLevel0X" xfId="374" xr:uid="{00000000-0005-0000-0000-000076010000}"/>
    <cellStyle name="SAPBEXHLevel1" xfId="375" xr:uid="{00000000-0005-0000-0000-000077010000}"/>
    <cellStyle name="SAPBEXHLevel1X" xfId="376" xr:uid="{00000000-0005-0000-0000-000078010000}"/>
    <cellStyle name="SAPBEXHLevel2" xfId="377" xr:uid="{00000000-0005-0000-0000-000079010000}"/>
    <cellStyle name="SAPBEXHLevel2X" xfId="378" xr:uid="{00000000-0005-0000-0000-00007A010000}"/>
    <cellStyle name="SAPBEXHLevel3" xfId="379" xr:uid="{00000000-0005-0000-0000-00007B010000}"/>
    <cellStyle name="SAPBEXHLevel3X" xfId="380" xr:uid="{00000000-0005-0000-0000-00007C010000}"/>
    <cellStyle name="SAPBEXresData" xfId="381" xr:uid="{00000000-0005-0000-0000-00007D010000}"/>
    <cellStyle name="SAPBEXresDataEmph" xfId="382" xr:uid="{00000000-0005-0000-0000-00007E010000}"/>
    <cellStyle name="SAPBEXresItem" xfId="383" xr:uid="{00000000-0005-0000-0000-00007F010000}"/>
    <cellStyle name="SAPBEXresItemX" xfId="384" xr:uid="{00000000-0005-0000-0000-000080010000}"/>
    <cellStyle name="SAPBEXstdData" xfId="385" xr:uid="{00000000-0005-0000-0000-000081010000}"/>
    <cellStyle name="SAPBEXstdDataEmph" xfId="386" xr:uid="{00000000-0005-0000-0000-000082010000}"/>
    <cellStyle name="SAPBEXstdItem" xfId="387" xr:uid="{00000000-0005-0000-0000-000083010000}"/>
    <cellStyle name="SAPBEXstdItemX" xfId="388" xr:uid="{00000000-0005-0000-0000-000084010000}"/>
    <cellStyle name="SAPBEXtitle" xfId="389" xr:uid="{00000000-0005-0000-0000-000085010000}"/>
    <cellStyle name="SAPBEXundefined" xfId="390" xr:uid="{00000000-0005-0000-0000-000086010000}"/>
    <cellStyle name="shade" xfId="391" xr:uid="{00000000-0005-0000-0000-000087010000}"/>
    <cellStyle name="StmtTtl1" xfId="392" xr:uid="{00000000-0005-0000-0000-000088010000}"/>
    <cellStyle name="StmtTtl1 2" xfId="393" xr:uid="{00000000-0005-0000-0000-000089010000}"/>
    <cellStyle name="StmtTtl1 3" xfId="394" xr:uid="{00000000-0005-0000-0000-00008A010000}"/>
    <cellStyle name="StmtTtl1 4" xfId="395" xr:uid="{00000000-0005-0000-0000-00008B010000}"/>
    <cellStyle name="StmtTtl1_ERB" xfId="396" xr:uid="{00000000-0005-0000-0000-00008C010000}"/>
    <cellStyle name="StmtTtl2" xfId="397" xr:uid="{00000000-0005-0000-0000-00008D010000}"/>
    <cellStyle name="STYL1 - Style1" xfId="398" xr:uid="{00000000-0005-0000-0000-00008E010000}"/>
    <cellStyle name="Style 1" xfId="399" xr:uid="{00000000-0005-0000-0000-00008F010000}"/>
    <cellStyle name="Style 1 2" xfId="400" xr:uid="{00000000-0005-0000-0000-000090010000}"/>
    <cellStyle name="Style 1 3" xfId="401" xr:uid="{00000000-0005-0000-0000-000091010000}"/>
    <cellStyle name="Style 1 4" xfId="402" xr:uid="{00000000-0005-0000-0000-000092010000}"/>
    <cellStyle name="Style 1_4.14E Miscellaneous Operating Expense working file" xfId="403" xr:uid="{00000000-0005-0000-0000-000093010000}"/>
    <cellStyle name="Subtotal" xfId="404" xr:uid="{00000000-0005-0000-0000-000094010000}"/>
    <cellStyle name="Sub-total" xfId="405" xr:uid="{00000000-0005-0000-0000-000095010000}"/>
    <cellStyle name="Title: Major" xfId="406" xr:uid="{00000000-0005-0000-0000-000096010000}"/>
    <cellStyle name="Title: Minor" xfId="407" xr:uid="{00000000-0005-0000-0000-000097010000}"/>
    <cellStyle name="Title: Worksheet" xfId="408" xr:uid="{00000000-0005-0000-0000-000098010000}"/>
    <cellStyle name="Total 2" xfId="409" xr:uid="{00000000-0005-0000-0000-000099010000}"/>
    <cellStyle name="Total4 - Style4" xfId="410" xr:uid="{00000000-0005-0000-0000-00009A010000}"/>
    <cellStyle name="Warning Text 2" xfId="411" xr:uid="{00000000-0005-0000-0000-00009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roeder/2019%20-%2019XXXX,%2019XXXX%202019%20GRC/01%20Initial%20Filing%202019-06-14)/Workpapers/RevReq-COS-Attrition%20WP/NEW-PSE-WP-BDJ04-ELECTRIC-COS-MODEL-19GRC-06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 refreshError="1"/>
      <sheetData sheetId="1">
        <row r="11">
          <cell r="C11">
            <v>2</v>
          </cell>
        </row>
        <row r="29">
          <cell r="F29">
            <v>7.6200000000000004E-2</v>
          </cell>
        </row>
        <row r="30">
          <cell r="F30">
            <v>2.87E-2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0.75138099999999997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P395"/>
  <sheetViews>
    <sheetView showGridLines="0" topLeftCell="A69" zoomScale="80" zoomScaleNormal="80" workbookViewId="0">
      <selection activeCell="I69" sqref="I69"/>
    </sheetView>
  </sheetViews>
  <sheetFormatPr defaultColWidth="8.85546875" defaultRowHeight="12.75" x14ac:dyDescent="0.2"/>
  <cols>
    <col min="1" max="1" width="6" style="14" bestFit="1" customWidth="1"/>
    <col min="2" max="2" width="2.28515625" style="14" bestFit="1" customWidth="1"/>
    <col min="3" max="3" width="59.7109375" style="14" bestFit="1" customWidth="1"/>
    <col min="4" max="4" width="1.7109375" style="14" customWidth="1"/>
    <col min="5" max="5" width="16.85546875" style="14" bestFit="1" customWidth="1"/>
    <col min="6" max="6" width="6.28515625" style="14" bestFit="1" customWidth="1"/>
    <col min="7" max="7" width="16.85546875" style="14" bestFit="1" customWidth="1"/>
    <col min="8" max="8" width="16.140625" style="14" bestFit="1" customWidth="1"/>
    <col min="9" max="9" width="17.140625" style="14" bestFit="1" customWidth="1"/>
    <col min="10" max="11" width="15.28515625" style="14" bestFit="1" customWidth="1"/>
    <col min="12" max="13" width="14.5703125" style="14" bestFit="1" customWidth="1"/>
    <col min="14" max="14" width="15.7109375" style="14" bestFit="1" customWidth="1"/>
    <col min="15" max="15" width="14" style="14" bestFit="1" customWidth="1"/>
    <col min="16" max="16" width="15" style="14" customWidth="1"/>
    <col min="17" max="16384" width="8.85546875" style="14"/>
  </cols>
  <sheetData>
    <row r="1" spans="1:16" s="13" customForma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s="13" customFormat="1" x14ac:dyDescent="0.2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s="13" customFormat="1" x14ac:dyDescent="0.2">
      <c r="A3" s="104" t="s">
        <v>612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6" spans="1:16" s="20" customFormat="1" ht="42" customHeight="1" x14ac:dyDescent="0.2">
      <c r="A6" s="18" t="s">
        <v>2</v>
      </c>
      <c r="B6" s="18"/>
      <c r="C6" s="18" t="s">
        <v>3</v>
      </c>
      <c r="D6" s="18"/>
      <c r="E6" s="18" t="s">
        <v>4</v>
      </c>
      <c r="F6" s="18"/>
      <c r="G6" s="18" t="s">
        <v>5</v>
      </c>
      <c r="H6" s="18" t="s">
        <v>6</v>
      </c>
      <c r="I6" s="18" t="s">
        <v>7</v>
      </c>
      <c r="J6" s="18" t="s">
        <v>8</v>
      </c>
      <c r="K6" s="18" t="s">
        <v>9</v>
      </c>
      <c r="L6" s="18" t="s">
        <v>10</v>
      </c>
      <c r="M6" s="18" t="s">
        <v>11</v>
      </c>
      <c r="N6" s="18" t="s">
        <v>12</v>
      </c>
      <c r="O6" s="18" t="s">
        <v>13</v>
      </c>
      <c r="P6" s="19" t="s">
        <v>14</v>
      </c>
    </row>
    <row r="7" spans="1:16" s="20" customFormat="1" x14ac:dyDescent="0.2">
      <c r="C7" s="20" t="s">
        <v>15</v>
      </c>
      <c r="E7" s="20" t="s">
        <v>16</v>
      </c>
      <c r="G7" s="20" t="s">
        <v>17</v>
      </c>
      <c r="H7" s="20" t="s">
        <v>18</v>
      </c>
      <c r="I7" s="20" t="s">
        <v>19</v>
      </c>
      <c r="J7" s="20" t="s">
        <v>20</v>
      </c>
      <c r="K7" s="20" t="s">
        <v>21</v>
      </c>
      <c r="L7" s="20" t="s">
        <v>22</v>
      </c>
      <c r="M7" s="20" t="s">
        <v>23</v>
      </c>
      <c r="N7" s="20" t="s">
        <v>24</v>
      </c>
      <c r="O7" s="20" t="s">
        <v>25</v>
      </c>
      <c r="P7" s="20" t="s">
        <v>26</v>
      </c>
    </row>
    <row r="9" spans="1:16" x14ac:dyDescent="0.2">
      <c r="A9" s="14">
        <v>1</v>
      </c>
      <c r="C9" s="13" t="s">
        <v>27</v>
      </c>
    </row>
    <row r="10" spans="1:16" x14ac:dyDescent="0.2">
      <c r="A10" s="14">
        <f>+A9+1</f>
        <v>2</v>
      </c>
      <c r="C10" s="14" t="s">
        <v>28</v>
      </c>
      <c r="E10" s="72">
        <f>SUM(G10:P10)</f>
        <v>10754417110.815203</v>
      </c>
      <c r="F10" s="72"/>
      <c r="G10" s="72">
        <v>6245684259.173522</v>
      </c>
      <c r="H10" s="72">
        <v>1341382223.4004421</v>
      </c>
      <c r="I10" s="72">
        <v>1311277805.7556999</v>
      </c>
      <c r="J10" s="72">
        <v>742981160.49841261</v>
      </c>
      <c r="K10" s="72">
        <v>623895980.76630425</v>
      </c>
      <c r="L10" s="72">
        <v>72317352.818607792</v>
      </c>
      <c r="M10" s="72">
        <v>187221782.67197728</v>
      </c>
      <c r="N10" s="72">
        <v>115664428.03656584</v>
      </c>
      <c r="O10" s="72">
        <v>110555105.84794155</v>
      </c>
      <c r="P10" s="72">
        <v>3437011.8457281594</v>
      </c>
    </row>
    <row r="11" spans="1:16" x14ac:dyDescent="0.2">
      <c r="A11" s="14">
        <f t="shared" ref="A11:A44" si="0">+A10+1</f>
        <v>3</v>
      </c>
      <c r="C11" s="14" t="s">
        <v>29</v>
      </c>
      <c r="E11" s="72">
        <f>SUM(G11:P11)</f>
        <v>-4292153131.7526531</v>
      </c>
      <c r="F11" s="72"/>
      <c r="G11" s="72">
        <v>-2506631969.0397072</v>
      </c>
      <c r="H11" s="72">
        <v>-531209681.6655882</v>
      </c>
      <c r="I11" s="72">
        <v>-524533301.70383263</v>
      </c>
      <c r="J11" s="72">
        <v>-301198742.73174959</v>
      </c>
      <c r="K11" s="72">
        <v>-245787284.38862738</v>
      </c>
      <c r="L11" s="72">
        <v>-25882347.128794711</v>
      </c>
      <c r="M11" s="72">
        <v>-77996376.070563555</v>
      </c>
      <c r="N11" s="72">
        <v>-35587123.83787296</v>
      </c>
      <c r="O11" s="72">
        <v>-41982646.810771801</v>
      </c>
      <c r="P11" s="72">
        <v>-1343658.3751444723</v>
      </c>
    </row>
    <row r="12" spans="1:16" x14ac:dyDescent="0.2">
      <c r="A12" s="14">
        <f t="shared" si="0"/>
        <v>4</v>
      </c>
      <c r="C12" s="14" t="s">
        <v>30</v>
      </c>
      <c r="E12" s="72">
        <f>SUM(G12:P12)</f>
        <v>-1033675899.3934091</v>
      </c>
      <c r="F12" s="72"/>
      <c r="G12" s="72">
        <v>-606558203.61233878</v>
      </c>
      <c r="H12" s="72">
        <v>-158355944.16738087</v>
      </c>
      <c r="I12" s="72">
        <v>-111888542.06017473</v>
      </c>
      <c r="J12" s="72">
        <v>-59078432.380624063</v>
      </c>
      <c r="K12" s="72">
        <v>-51493817.214001559</v>
      </c>
      <c r="L12" s="72">
        <v>-8264591.7488235347</v>
      </c>
      <c r="M12" s="72">
        <v>-13628641.329844154</v>
      </c>
      <c r="N12" s="72">
        <v>-13194916.874850664</v>
      </c>
      <c r="O12" s="72">
        <v>-10915788.048602004</v>
      </c>
      <c r="P12" s="72">
        <v>-297021.95676899527</v>
      </c>
    </row>
    <row r="13" spans="1:16" ht="13.5" thickBot="1" x14ac:dyDescent="0.25">
      <c r="A13" s="21">
        <f t="shared" si="0"/>
        <v>5</v>
      </c>
      <c r="B13" s="21"/>
      <c r="C13" s="21" t="s">
        <v>31</v>
      </c>
      <c r="D13" s="21"/>
      <c r="E13" s="22">
        <f>SUM(E10:E12)</f>
        <v>5428588079.6691408</v>
      </c>
      <c r="F13" s="22"/>
      <c r="G13" s="22">
        <f t="shared" ref="G13:M13" si="1">SUM(G10:G12)</f>
        <v>3132494086.5214758</v>
      </c>
      <c r="H13" s="22">
        <f t="shared" si="1"/>
        <v>651816597.56747317</v>
      </c>
      <c r="I13" s="22">
        <f t="shared" si="1"/>
        <v>674855961.99169254</v>
      </c>
      <c r="J13" s="22">
        <f t="shared" si="1"/>
        <v>382703985.38603896</v>
      </c>
      <c r="K13" s="22">
        <f t="shared" si="1"/>
        <v>326614879.16367531</v>
      </c>
      <c r="L13" s="22">
        <f t="shared" si="1"/>
        <v>38170413.940989539</v>
      </c>
      <c r="M13" s="22">
        <f t="shared" si="1"/>
        <v>95596765.27156958</v>
      </c>
      <c r="N13" s="22">
        <f>SUM(N10:N12)</f>
        <v>66882387.323842227</v>
      </c>
      <c r="O13" s="22">
        <f>SUM(O10:O12)</f>
        <v>57656670.988567755</v>
      </c>
      <c r="P13" s="22">
        <f>SUM(P10:P12)</f>
        <v>1796331.5138146919</v>
      </c>
    </row>
    <row r="14" spans="1:16" ht="13.5" thickTop="1" x14ac:dyDescent="0.2">
      <c r="A14" s="14">
        <f t="shared" si="0"/>
        <v>6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x14ac:dyDescent="0.2">
      <c r="A15" s="14">
        <f t="shared" si="0"/>
        <v>7</v>
      </c>
      <c r="C15" s="13" t="s">
        <v>208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</row>
    <row r="16" spans="1:16" x14ac:dyDescent="0.2">
      <c r="A16" s="14">
        <f t="shared" si="0"/>
        <v>8</v>
      </c>
      <c r="C16" s="14" t="s">
        <v>32</v>
      </c>
      <c r="E16" s="72">
        <f>SUM(G16:P16)</f>
        <v>1997002383.9412317</v>
      </c>
      <c r="F16" s="72"/>
      <c r="G16" s="72">
        <v>1105896513.2900393</v>
      </c>
      <c r="H16" s="72">
        <v>263390391.2140398</v>
      </c>
      <c r="I16" s="72">
        <v>270703257.2199825</v>
      </c>
      <c r="J16" s="72">
        <v>160280839.13024956</v>
      </c>
      <c r="K16" s="72">
        <v>124210379.10093749</v>
      </c>
      <c r="L16" s="72">
        <v>5493553</v>
      </c>
      <c r="M16" s="72">
        <v>40128244.032609545</v>
      </c>
      <c r="N16" s="72">
        <v>10114352.780000001</v>
      </c>
      <c r="O16" s="72">
        <v>16457494.013373908</v>
      </c>
      <c r="P16" s="72">
        <v>327360.16000000003</v>
      </c>
    </row>
    <row r="17" spans="1:16" x14ac:dyDescent="0.2">
      <c r="A17" s="14">
        <f t="shared" si="0"/>
        <v>9</v>
      </c>
      <c r="C17" s="14" t="s">
        <v>33</v>
      </c>
      <c r="E17" s="72">
        <f>SUM(G17:P17)</f>
        <v>5469488.0226492006</v>
      </c>
      <c r="F17" s="72"/>
      <c r="G17" s="72">
        <v>2882952.4314700766</v>
      </c>
      <c r="H17" s="72">
        <v>724358.04342279385</v>
      </c>
      <c r="I17" s="72">
        <v>802202.61397954705</v>
      </c>
      <c r="J17" s="72">
        <v>507443.61591371102</v>
      </c>
      <c r="K17" s="72">
        <v>382587.73488735699</v>
      </c>
      <c r="L17" s="72">
        <v>0</v>
      </c>
      <c r="M17" s="72">
        <v>150061.00554546661</v>
      </c>
      <c r="N17" s="72">
        <v>0</v>
      </c>
      <c r="O17" s="72">
        <v>18019.763521166911</v>
      </c>
      <c r="P17" s="72">
        <v>1862.8139090817253</v>
      </c>
    </row>
    <row r="18" spans="1:16" x14ac:dyDescent="0.2">
      <c r="A18" s="14">
        <f t="shared" si="0"/>
        <v>10</v>
      </c>
      <c r="C18" s="14" t="s">
        <v>34</v>
      </c>
      <c r="E18" s="72">
        <f>SUM(G18:P18)</f>
        <v>76831178.983163431</v>
      </c>
      <c r="F18" s="72"/>
      <c r="G18" s="72">
        <v>41891450.713883169</v>
      </c>
      <c r="H18" s="72">
        <v>10912996.116569305</v>
      </c>
      <c r="I18" s="72">
        <v>8170551.574569691</v>
      </c>
      <c r="J18" s="72">
        <v>4815673.0985493921</v>
      </c>
      <c r="K18" s="72">
        <v>4247015.4452773603</v>
      </c>
      <c r="L18" s="72">
        <v>1110812.9075238416</v>
      </c>
      <c r="M18" s="72">
        <v>4311843.9752027253</v>
      </c>
      <c r="N18" s="72">
        <v>1077072.9172933849</v>
      </c>
      <c r="O18" s="72">
        <v>268394.74314632459</v>
      </c>
      <c r="P18" s="72">
        <v>25367.491148233286</v>
      </c>
    </row>
    <row r="19" spans="1:16" ht="13.5" thickBot="1" x14ac:dyDescent="0.25">
      <c r="A19" s="21">
        <f t="shared" si="0"/>
        <v>11</v>
      </c>
      <c r="B19" s="21"/>
      <c r="C19" s="21" t="s">
        <v>209</v>
      </c>
      <c r="D19" s="21"/>
      <c r="E19" s="22">
        <f>SUM(E16:E18)</f>
        <v>2079303050.9470444</v>
      </c>
      <c r="F19" s="22"/>
      <c r="G19" s="22">
        <f t="shared" ref="G19:M19" si="2">SUM(G16:G18)</f>
        <v>1150670916.4353926</v>
      </c>
      <c r="H19" s="22">
        <f t="shared" si="2"/>
        <v>275027745.3740319</v>
      </c>
      <c r="I19" s="22">
        <f t="shared" si="2"/>
        <v>279676011.40853173</v>
      </c>
      <c r="J19" s="22">
        <f t="shared" si="2"/>
        <v>165603955.84471267</v>
      </c>
      <c r="K19" s="22">
        <f t="shared" si="2"/>
        <v>128839982.28110221</v>
      </c>
      <c r="L19" s="22">
        <f t="shared" si="2"/>
        <v>6604365.9075238416</v>
      </c>
      <c r="M19" s="22">
        <f t="shared" si="2"/>
        <v>44590149.013357736</v>
      </c>
      <c r="N19" s="22">
        <f>SUM(N16:N18)</f>
        <v>11191425.697293386</v>
      </c>
      <c r="O19" s="22">
        <f>SUM(O16:O18)</f>
        <v>16743908.520041399</v>
      </c>
      <c r="P19" s="22">
        <f>SUM(P16:P18)</f>
        <v>354590.46505731507</v>
      </c>
    </row>
    <row r="20" spans="1:16" ht="13.5" thickTop="1" x14ac:dyDescent="0.2">
      <c r="A20" s="14">
        <f t="shared" si="0"/>
        <v>12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</row>
    <row r="21" spans="1:16" x14ac:dyDescent="0.2">
      <c r="A21" s="14">
        <f t="shared" si="0"/>
        <v>13</v>
      </c>
      <c r="C21" s="13" t="s">
        <v>35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</row>
    <row r="22" spans="1:16" x14ac:dyDescent="0.2">
      <c r="A22" s="14">
        <f t="shared" si="0"/>
        <v>14</v>
      </c>
      <c r="C22" s="14" t="s">
        <v>36</v>
      </c>
      <c r="E22" s="72">
        <f>SUM(G22:P22)</f>
        <v>1143200425.1744153</v>
      </c>
      <c r="F22" s="72"/>
      <c r="G22" s="72">
        <v>642196612.42459345</v>
      </c>
      <c r="H22" s="72">
        <v>147205464.47887158</v>
      </c>
      <c r="I22" s="72">
        <v>150312452.15806487</v>
      </c>
      <c r="J22" s="72">
        <v>92554424.153809175</v>
      </c>
      <c r="K22" s="72">
        <v>73004120.942692384</v>
      </c>
      <c r="L22" s="72">
        <v>1455316.4888275054</v>
      </c>
      <c r="M22" s="72">
        <v>26282217.920475874</v>
      </c>
      <c r="N22" s="72">
        <v>2856003.8413771414</v>
      </c>
      <c r="O22" s="72">
        <v>6961404.3794189142</v>
      </c>
      <c r="P22" s="72">
        <v>372408.38628434297</v>
      </c>
    </row>
    <row r="23" spans="1:16" x14ac:dyDescent="0.2">
      <c r="A23" s="14">
        <f t="shared" si="0"/>
        <v>15</v>
      </c>
      <c r="C23" s="14" t="s">
        <v>37</v>
      </c>
      <c r="E23" s="72">
        <f>SUM(G23:P23)</f>
        <v>501066983.85999954</v>
      </c>
      <c r="F23" s="72"/>
      <c r="G23" s="72">
        <v>294883486.15866089</v>
      </c>
      <c r="H23" s="72">
        <v>62968029.207263418</v>
      </c>
      <c r="I23" s="72">
        <v>59552523.54733894</v>
      </c>
      <c r="J23" s="72">
        <v>33666477.106337197</v>
      </c>
      <c r="K23" s="72">
        <v>28908967.905114207</v>
      </c>
      <c r="L23" s="72">
        <v>2064073.1890460306</v>
      </c>
      <c r="M23" s="72">
        <v>8375581.3404160691</v>
      </c>
      <c r="N23" s="72">
        <v>4214379.1175944181</v>
      </c>
      <c r="O23" s="72">
        <v>6276704.38452294</v>
      </c>
      <c r="P23" s="72">
        <v>156761.90370541246</v>
      </c>
    </row>
    <row r="24" spans="1:16" x14ac:dyDescent="0.2">
      <c r="A24" s="14">
        <f t="shared" si="0"/>
        <v>16</v>
      </c>
      <c r="C24" s="14" t="s">
        <v>38</v>
      </c>
      <c r="E24" s="72">
        <f>SUM(G24:P24)</f>
        <v>86495562.504948348</v>
      </c>
      <c r="F24" s="72"/>
      <c r="G24" s="72">
        <v>49664321.496754892</v>
      </c>
      <c r="H24" s="72">
        <v>10886014.365790982</v>
      </c>
      <c r="I24" s="72">
        <v>10867640.194147136</v>
      </c>
      <c r="J24" s="72">
        <v>6448008.5496346857</v>
      </c>
      <c r="K24" s="72">
        <v>5271084.1207814049</v>
      </c>
      <c r="L24" s="72">
        <v>289183.53141939751</v>
      </c>
      <c r="M24" s="72">
        <v>1733853.1993075709</v>
      </c>
      <c r="N24" s="72">
        <v>531667.39239015011</v>
      </c>
      <c r="O24" s="72">
        <v>776070.56951058796</v>
      </c>
      <c r="P24" s="72">
        <v>27719.085211528694</v>
      </c>
    </row>
    <row r="25" spans="1:16" x14ac:dyDescent="0.2">
      <c r="A25" s="14">
        <f t="shared" si="0"/>
        <v>17</v>
      </c>
      <c r="C25" s="14" t="s">
        <v>39</v>
      </c>
      <c r="E25" s="72">
        <f>SUM(G25:P25)</f>
        <v>13402959.66548593</v>
      </c>
      <c r="F25" s="72"/>
      <c r="G25" s="72">
        <v>7733998.4684524834</v>
      </c>
      <c r="H25" s="72">
        <v>1609308.2470577823</v>
      </c>
      <c r="I25" s="72">
        <v>1666191.485860286</v>
      </c>
      <c r="J25" s="72">
        <v>944880.3270154217</v>
      </c>
      <c r="K25" s="72">
        <v>806398.64129184512</v>
      </c>
      <c r="L25" s="72">
        <v>94241.1748612847</v>
      </c>
      <c r="M25" s="72">
        <v>236024.463503568</v>
      </c>
      <c r="N25" s="72">
        <v>165129.8507967655</v>
      </c>
      <c r="O25" s="72">
        <v>142351.93836130307</v>
      </c>
      <c r="P25" s="72">
        <v>4435.0682851897245</v>
      </c>
    </row>
    <row r="26" spans="1:16" ht="13.5" thickBot="1" x14ac:dyDescent="0.25">
      <c r="A26" s="21">
        <f t="shared" si="0"/>
        <v>18</v>
      </c>
      <c r="B26" s="21"/>
      <c r="C26" s="21" t="s">
        <v>210</v>
      </c>
      <c r="D26" s="21"/>
      <c r="E26" s="22">
        <f>SUM(E22:E25)</f>
        <v>1744165931.204849</v>
      </c>
      <c r="F26" s="22"/>
      <c r="G26" s="22">
        <f t="shared" ref="G26:M26" si="3">SUM(G22:G25)</f>
        <v>994478418.54846168</v>
      </c>
      <c r="H26" s="22">
        <f t="shared" si="3"/>
        <v>222668816.29898378</v>
      </c>
      <c r="I26" s="22">
        <f t="shared" si="3"/>
        <v>222398807.38541123</v>
      </c>
      <c r="J26" s="22">
        <f t="shared" si="3"/>
        <v>133613790.13679647</v>
      </c>
      <c r="K26" s="22">
        <f t="shared" si="3"/>
        <v>107990571.60987984</v>
      </c>
      <c r="L26" s="22">
        <f t="shared" si="3"/>
        <v>3902814.3841542182</v>
      </c>
      <c r="M26" s="22">
        <f t="shared" si="3"/>
        <v>36627676.923703082</v>
      </c>
      <c r="N26" s="22">
        <f>SUM(N22:N25)</f>
        <v>7767180.2021584762</v>
      </c>
      <c r="O26" s="22">
        <f>SUM(O22:O25)</f>
        <v>14156531.271813747</v>
      </c>
      <c r="P26" s="22">
        <f>SUM(P22:P25)</f>
        <v>561324.44348647387</v>
      </c>
    </row>
    <row r="27" spans="1:16" ht="13.5" thickTop="1" x14ac:dyDescent="0.2">
      <c r="A27" s="14">
        <f t="shared" si="0"/>
        <v>19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</row>
    <row r="28" spans="1:16" x14ac:dyDescent="0.2">
      <c r="A28" s="14">
        <f t="shared" si="0"/>
        <v>20</v>
      </c>
      <c r="C28" s="14" t="s">
        <v>211</v>
      </c>
      <c r="E28" s="72">
        <f>SUM(G28:P28)</f>
        <v>335137119.74219579</v>
      </c>
      <c r="F28" s="72"/>
      <c r="G28" s="72">
        <f t="shared" ref="G28:M28" si="4">G19-G26</f>
        <v>156192497.88693094</v>
      </c>
      <c r="H28" s="72">
        <f t="shared" si="4"/>
        <v>52358929.075048119</v>
      </c>
      <c r="I28" s="72">
        <f t="shared" si="4"/>
        <v>57277204.023120493</v>
      </c>
      <c r="J28" s="72">
        <f t="shared" si="4"/>
        <v>31990165.7079162</v>
      </c>
      <c r="K28" s="72">
        <f t="shared" si="4"/>
        <v>20849410.671222374</v>
      </c>
      <c r="L28" s="72">
        <f>L19-L26</f>
        <v>2701551.5233696233</v>
      </c>
      <c r="M28" s="72">
        <f t="shared" si="4"/>
        <v>7962472.0896546543</v>
      </c>
      <c r="N28" s="72">
        <f>N19-N26</f>
        <v>3424245.4951349096</v>
      </c>
      <c r="O28" s="72">
        <f>O19-O26</f>
        <v>2587377.2482276522</v>
      </c>
      <c r="P28" s="72">
        <f>P19-P26</f>
        <v>-206733.9784291588</v>
      </c>
    </row>
    <row r="29" spans="1:16" s="13" customFormat="1" ht="13.5" thickBot="1" x14ac:dyDescent="0.25">
      <c r="A29" s="21">
        <f t="shared" si="0"/>
        <v>21</v>
      </c>
      <c r="B29" s="21"/>
      <c r="C29" s="21" t="s">
        <v>212</v>
      </c>
      <c r="D29" s="21"/>
      <c r="E29" s="23">
        <f>IF(E13=0, 0, E28/E13)</f>
        <v>6.1735595853613115E-2</v>
      </c>
      <c r="F29" s="23"/>
      <c r="G29" s="23">
        <f t="shared" ref="G29:P29" si="5">IF(G13=0, 0, G28/G13)</f>
        <v>4.986202481881688E-2</v>
      </c>
      <c r="H29" s="23">
        <f t="shared" si="5"/>
        <v>8.0327701489111211E-2</v>
      </c>
      <c r="I29" s="23">
        <f t="shared" si="5"/>
        <v>8.4873228139052251E-2</v>
      </c>
      <c r="J29" s="23">
        <f t="shared" si="5"/>
        <v>8.3589842095966843E-2</v>
      </c>
      <c r="K29" s="23">
        <f t="shared" si="5"/>
        <v>6.3834846485282704E-2</v>
      </c>
      <c r="L29" s="23">
        <f t="shared" si="5"/>
        <v>7.0776060420674275E-2</v>
      </c>
      <c r="M29" s="23">
        <f t="shared" si="5"/>
        <v>8.3292275288133502E-2</v>
      </c>
      <c r="N29" s="23">
        <f>IF(N13=0, 0, N28/N13)</f>
        <v>5.1198015384152334E-2</v>
      </c>
      <c r="O29" s="23">
        <f t="shared" si="5"/>
        <v>4.487559208440392E-2</v>
      </c>
      <c r="P29" s="23">
        <f t="shared" si="5"/>
        <v>-0.11508676257097904</v>
      </c>
    </row>
    <row r="30" spans="1:16" ht="13.5" thickTop="1" x14ac:dyDescent="0.2">
      <c r="A30" s="14">
        <f t="shared" si="0"/>
        <v>22</v>
      </c>
    </row>
    <row r="31" spans="1:16" x14ac:dyDescent="0.2">
      <c r="A31" s="14">
        <f t="shared" si="0"/>
        <v>23</v>
      </c>
      <c r="C31" s="105" t="s">
        <v>606</v>
      </c>
      <c r="D31" s="106"/>
      <c r="E31" s="106"/>
      <c r="F31" s="106"/>
      <c r="G31" s="106"/>
      <c r="H31" s="106"/>
    </row>
    <row r="32" spans="1:16" s="24" customFormat="1" x14ac:dyDescent="0.2">
      <c r="A32" s="24">
        <f t="shared" si="0"/>
        <v>24</v>
      </c>
      <c r="C32" s="24" t="s">
        <v>40</v>
      </c>
      <c r="E32" s="25">
        <v>7.6200000000000004E-2</v>
      </c>
      <c r="F32" s="25"/>
      <c r="G32" s="25">
        <v>7.6200000000000004E-2</v>
      </c>
      <c r="H32" s="25">
        <v>7.6200000000000004E-2</v>
      </c>
      <c r="I32" s="25">
        <v>7.6200000000000004E-2</v>
      </c>
      <c r="J32" s="25">
        <v>7.6200000000000004E-2</v>
      </c>
      <c r="K32" s="25">
        <v>7.6200000000000004E-2</v>
      </c>
      <c r="L32" s="25">
        <v>7.6200000000000004E-2</v>
      </c>
      <c r="M32" s="25">
        <v>7.6200000000000004E-2</v>
      </c>
      <c r="N32" s="25">
        <v>7.6200000000000004E-2</v>
      </c>
      <c r="O32" s="25">
        <v>7.6200000000000004E-2</v>
      </c>
      <c r="P32" s="25">
        <v>7.6200000000000004E-2</v>
      </c>
    </row>
    <row r="33" spans="1:16" x14ac:dyDescent="0.2">
      <c r="A33" s="14">
        <f t="shared" si="0"/>
        <v>25</v>
      </c>
      <c r="C33" s="14" t="s">
        <v>41</v>
      </c>
      <c r="E33" s="72">
        <f>SUM(G33:P33)</f>
        <v>413658411.67078847</v>
      </c>
      <c r="F33" s="72"/>
      <c r="G33" s="72">
        <f>G32*G13</f>
        <v>238696049.39293647</v>
      </c>
      <c r="H33" s="72">
        <f t="shared" ref="H33:P33" si="6">H32*H13</f>
        <v>49668424.734641455</v>
      </c>
      <c r="I33" s="72">
        <f t="shared" si="6"/>
        <v>51424024.303766973</v>
      </c>
      <c r="J33" s="72">
        <f t="shared" si="6"/>
        <v>29162043.686416171</v>
      </c>
      <c r="K33" s="72">
        <f t="shared" si="6"/>
        <v>24888053.792272061</v>
      </c>
      <c r="L33" s="72">
        <f t="shared" si="6"/>
        <v>2908585.5423034029</v>
      </c>
      <c r="M33" s="72">
        <f t="shared" si="6"/>
        <v>7284473.5136936028</v>
      </c>
      <c r="N33" s="72">
        <f t="shared" si="6"/>
        <v>5096437.9140767781</v>
      </c>
      <c r="O33" s="72">
        <f t="shared" si="6"/>
        <v>4393438.329328863</v>
      </c>
      <c r="P33" s="72">
        <f t="shared" si="6"/>
        <v>136880.46135267953</v>
      </c>
    </row>
    <row r="34" spans="1:16" x14ac:dyDescent="0.2">
      <c r="A34" s="14">
        <f t="shared" si="0"/>
        <v>26</v>
      </c>
      <c r="C34" s="14" t="s">
        <v>42</v>
      </c>
      <c r="E34" s="72">
        <f>SUM(G34:P34)</f>
        <v>78521291.928592652</v>
      </c>
      <c r="F34" s="72"/>
      <c r="G34" s="72">
        <f>G33-G28</f>
        <v>82503551.506005526</v>
      </c>
      <c r="H34" s="72">
        <f t="shared" ref="H34:P34" si="7">H33-H28</f>
        <v>-2690504.3404066637</v>
      </c>
      <c r="I34" s="72">
        <f t="shared" si="7"/>
        <v>-5853179.7193535194</v>
      </c>
      <c r="J34" s="72">
        <f t="shared" si="7"/>
        <v>-2828122.0215000287</v>
      </c>
      <c r="K34" s="72">
        <f t="shared" si="7"/>
        <v>4038643.1210496873</v>
      </c>
      <c r="L34" s="72">
        <f t="shared" si="7"/>
        <v>207034.01893377956</v>
      </c>
      <c r="M34" s="72">
        <f t="shared" si="7"/>
        <v>-677998.57596105151</v>
      </c>
      <c r="N34" s="72">
        <f t="shared" si="7"/>
        <v>1672192.4189418685</v>
      </c>
      <c r="O34" s="72">
        <f t="shared" si="7"/>
        <v>1806061.0811012108</v>
      </c>
      <c r="P34" s="72">
        <f t="shared" si="7"/>
        <v>343614.43978183833</v>
      </c>
    </row>
    <row r="35" spans="1:16" x14ac:dyDescent="0.2">
      <c r="A35" s="14">
        <f t="shared" si="0"/>
        <v>27</v>
      </c>
      <c r="C35" s="14" t="s">
        <v>43</v>
      </c>
      <c r="E35" s="15">
        <f>+E34/E36</f>
        <v>0.75138099950943749</v>
      </c>
    </row>
    <row r="36" spans="1:16" ht="13.5" thickBot="1" x14ac:dyDescent="0.25">
      <c r="A36" s="21">
        <f t="shared" si="0"/>
        <v>28</v>
      </c>
      <c r="B36" s="21"/>
      <c r="C36" s="21" t="s">
        <v>605</v>
      </c>
      <c r="D36" s="21"/>
      <c r="E36" s="22">
        <f>SUM(G36:P36)</f>
        <v>104502631.79380065</v>
      </c>
      <c r="F36" s="22"/>
      <c r="G36" s="22">
        <f t="shared" ref="G36:P36" si="8">SUM(G34,G390:G393)</f>
        <v>97737665.108427182</v>
      </c>
      <c r="H36" s="22">
        <f t="shared" si="8"/>
        <v>406451.78496752912</v>
      </c>
      <c r="I36" s="22">
        <f t="shared" si="8"/>
        <v>-2710044.055595425</v>
      </c>
      <c r="J36" s="22">
        <f t="shared" si="8"/>
        <v>-1021026.9863337849</v>
      </c>
      <c r="K36" s="22">
        <f t="shared" si="8"/>
        <v>5575555.5837970227</v>
      </c>
      <c r="L36" s="22">
        <f t="shared" si="8"/>
        <v>366513.05660144269</v>
      </c>
      <c r="M36" s="22">
        <f t="shared" si="8"/>
        <v>-223365.65001565684</v>
      </c>
      <c r="N36" s="22">
        <f t="shared" si="8"/>
        <v>1953449.1199608278</v>
      </c>
      <c r="O36" s="22">
        <f t="shared" si="8"/>
        <v>2065540.7225598248</v>
      </c>
      <c r="P36" s="22">
        <f t="shared" si="8"/>
        <v>351893.10943168454</v>
      </c>
    </row>
    <row r="37" spans="1:16" ht="13.5" thickTop="1" x14ac:dyDescent="0.2">
      <c r="A37" s="14">
        <f t="shared" si="0"/>
        <v>29</v>
      </c>
    </row>
    <row r="38" spans="1:16" x14ac:dyDescent="0.2">
      <c r="A38" s="14">
        <f t="shared" si="0"/>
        <v>30</v>
      </c>
      <c r="C38" s="73" t="s">
        <v>607</v>
      </c>
      <c r="E38" s="72">
        <f>SUM(G38:P38)</f>
        <v>2183805682.7408457</v>
      </c>
      <c r="F38" s="72"/>
      <c r="G38" s="72">
        <f>G36+G19</f>
        <v>1248408581.5438199</v>
      </c>
      <c r="H38" s="72">
        <f t="shared" ref="H38:P38" si="9">H36+H19</f>
        <v>275434197.15899944</v>
      </c>
      <c r="I38" s="72">
        <f t="shared" si="9"/>
        <v>276965967.35293633</v>
      </c>
      <c r="J38" s="72">
        <f t="shared" si="9"/>
        <v>164582928.85837889</v>
      </c>
      <c r="K38" s="72">
        <f t="shared" si="9"/>
        <v>134415537.86489922</v>
      </c>
      <c r="L38" s="72">
        <f t="shared" si="9"/>
        <v>6970878.964125284</v>
      </c>
      <c r="M38" s="72">
        <f t="shared" si="9"/>
        <v>44366783.363342077</v>
      </c>
      <c r="N38" s="72">
        <f t="shared" si="9"/>
        <v>13144874.817254214</v>
      </c>
      <c r="O38" s="72">
        <f t="shared" si="9"/>
        <v>18809449.242601223</v>
      </c>
      <c r="P38" s="72">
        <f t="shared" si="9"/>
        <v>706483.57448899955</v>
      </c>
    </row>
    <row r="39" spans="1:16" x14ac:dyDescent="0.2">
      <c r="A39" s="14">
        <f t="shared" si="0"/>
        <v>31</v>
      </c>
      <c r="C39" s="14" t="s">
        <v>44</v>
      </c>
      <c r="E39" s="72">
        <f>SUM(G39:P39)</f>
        <v>82300667.005812615</v>
      </c>
      <c r="F39" s="72"/>
      <c r="G39" s="72">
        <f>SUM(G17:G18)</f>
        <v>44774403.145353243</v>
      </c>
      <c r="H39" s="72">
        <f t="shared" ref="H39:P39" si="10">SUM(H17:H18)</f>
        <v>11637354.159992099</v>
      </c>
      <c r="I39" s="72">
        <f t="shared" si="10"/>
        <v>8972754.1885492373</v>
      </c>
      <c r="J39" s="72">
        <f t="shared" si="10"/>
        <v>5323116.7144631036</v>
      </c>
      <c r="K39" s="72">
        <f t="shared" si="10"/>
        <v>4629603.1801647171</v>
      </c>
      <c r="L39" s="72">
        <f t="shared" si="10"/>
        <v>1110812.9075238416</v>
      </c>
      <c r="M39" s="72">
        <f t="shared" si="10"/>
        <v>4461904.9807481915</v>
      </c>
      <c r="N39" s="72">
        <f>SUM(N17:N18)</f>
        <v>1077072.9172933849</v>
      </c>
      <c r="O39" s="72">
        <f t="shared" si="10"/>
        <v>286414.50666749151</v>
      </c>
      <c r="P39" s="72">
        <f t="shared" si="10"/>
        <v>27230.30505731501</v>
      </c>
    </row>
    <row r="40" spans="1:16" s="13" customFormat="1" x14ac:dyDescent="0.2">
      <c r="A40" s="26">
        <f t="shared" si="0"/>
        <v>32</v>
      </c>
      <c r="B40" s="26"/>
      <c r="C40" s="27" t="s">
        <v>608</v>
      </c>
      <c r="D40" s="26"/>
      <c r="E40" s="28">
        <f>SUM(G40:P40)</f>
        <v>2101505015.7350328</v>
      </c>
      <c r="F40" s="28"/>
      <c r="G40" s="28">
        <f>G38-G39</f>
        <v>1203634178.3984666</v>
      </c>
      <c r="H40" s="28">
        <f t="shared" ref="H40:P40" si="11">H38-H39</f>
        <v>263796842.99900734</v>
      </c>
      <c r="I40" s="28">
        <f t="shared" si="11"/>
        <v>267993213.16438708</v>
      </c>
      <c r="J40" s="28">
        <f t="shared" si="11"/>
        <v>159259812.14391577</v>
      </c>
      <c r="K40" s="28">
        <f t="shared" si="11"/>
        <v>129785934.68473449</v>
      </c>
      <c r="L40" s="28">
        <f t="shared" si="11"/>
        <v>5860066.0566014424</v>
      </c>
      <c r="M40" s="28">
        <f t="shared" si="11"/>
        <v>39904878.382593885</v>
      </c>
      <c r="N40" s="28">
        <f>N38-N39</f>
        <v>12067801.899960829</v>
      </c>
      <c r="O40" s="28">
        <f t="shared" si="11"/>
        <v>18523034.735933732</v>
      </c>
      <c r="P40" s="28">
        <f t="shared" si="11"/>
        <v>679253.26943168452</v>
      </c>
    </row>
    <row r="41" spans="1:16" s="24" customFormat="1" x14ac:dyDescent="0.2">
      <c r="A41" s="24">
        <f t="shared" si="0"/>
        <v>33</v>
      </c>
      <c r="C41" s="29" t="s">
        <v>609</v>
      </c>
      <c r="E41" s="25">
        <f>IF(E16=0,0,(E40/E16)-1)</f>
        <v>5.2329748143593813E-2</v>
      </c>
      <c r="F41" s="25"/>
      <c r="G41" s="25">
        <f t="shared" ref="G41:P41" si="12">IF(G16=0,0,(G40/G16)-1)</f>
        <v>8.8378671904532968E-2</v>
      </c>
      <c r="H41" s="25">
        <f t="shared" si="12"/>
        <v>1.5431534274812364E-3</v>
      </c>
      <c r="I41" s="25">
        <f t="shared" si="12"/>
        <v>-1.0011124666273075E-2</v>
      </c>
      <c r="J41" s="25">
        <f t="shared" si="12"/>
        <v>-6.3702373401230972E-3</v>
      </c>
      <c r="K41" s="25">
        <f t="shared" si="12"/>
        <v>4.4888000698122932E-2</v>
      </c>
      <c r="L41" s="25">
        <f t="shared" si="12"/>
        <v>6.6716941950217379E-2</v>
      </c>
      <c r="M41" s="25">
        <f t="shared" si="12"/>
        <v>-5.5662951469829247E-3</v>
      </c>
      <c r="N41" s="25">
        <f t="shared" si="12"/>
        <v>0.19313634420815884</v>
      </c>
      <c r="O41" s="25">
        <f t="shared" si="12"/>
        <v>0.12550760892765922</v>
      </c>
      <c r="P41" s="25">
        <f t="shared" si="12"/>
        <v>1.0749417688202634</v>
      </c>
    </row>
    <row r="42" spans="1:16" x14ac:dyDescent="0.2">
      <c r="A42" s="14">
        <f>+A41+1</f>
        <v>34</v>
      </c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</row>
    <row r="43" spans="1:16" s="13" customFormat="1" x14ac:dyDescent="0.2">
      <c r="A43" s="26">
        <f t="shared" si="0"/>
        <v>35</v>
      </c>
      <c r="B43" s="26"/>
      <c r="C43" s="27" t="s">
        <v>45</v>
      </c>
      <c r="D43" s="26"/>
      <c r="E43" s="30">
        <f>+E16/E40</f>
        <v>0.95027248043124479</v>
      </c>
      <c r="F43" s="30"/>
      <c r="G43" s="30">
        <f t="shared" ref="G43:P43" si="13">+G16/G40</f>
        <v>0.91879786494724236</v>
      </c>
      <c r="H43" s="30">
        <f t="shared" si="13"/>
        <v>0.99845922422593558</v>
      </c>
      <c r="I43" s="30">
        <f t="shared" si="13"/>
        <v>1.0101123607706179</v>
      </c>
      <c r="J43" s="30">
        <f t="shared" si="13"/>
        <v>1.0064110774249257</v>
      </c>
      <c r="K43" s="30">
        <f t="shared" si="13"/>
        <v>0.95704037115161444</v>
      </c>
      <c r="L43" s="30">
        <f t="shared" si="13"/>
        <v>0.9374558148216503</v>
      </c>
      <c r="M43" s="30">
        <f t="shared" si="13"/>
        <v>1.0055974522180999</v>
      </c>
      <c r="N43" s="30">
        <f t="shared" si="13"/>
        <v>0.8381271803966911</v>
      </c>
      <c r="O43" s="30">
        <f t="shared" si="13"/>
        <v>0.88848799605429762</v>
      </c>
      <c r="P43" s="30">
        <f t="shared" si="13"/>
        <v>0.48194123566588748</v>
      </c>
    </row>
    <row r="44" spans="1:16" s="13" customFormat="1" x14ac:dyDescent="0.2">
      <c r="A44" s="26">
        <f t="shared" si="0"/>
        <v>36</v>
      </c>
      <c r="B44" s="26"/>
      <c r="C44" s="26" t="s">
        <v>46</v>
      </c>
      <c r="D44" s="26"/>
      <c r="E44" s="30">
        <f>+E43/$E$43</f>
        <v>1</v>
      </c>
      <c r="F44" s="30"/>
      <c r="G44" s="30">
        <f>ROUND(+G43/$E$43,2)</f>
        <v>0.97</v>
      </c>
      <c r="H44" s="30">
        <f t="shared" ref="H44:P44" si="14">ROUND(+H43/$E$43,2)</f>
        <v>1.05</v>
      </c>
      <c r="I44" s="30">
        <f t="shared" si="14"/>
        <v>1.06</v>
      </c>
      <c r="J44" s="30">
        <f t="shared" si="14"/>
        <v>1.06</v>
      </c>
      <c r="K44" s="30">
        <f>ROUND(+K43/$E$43,2)</f>
        <v>1.01</v>
      </c>
      <c r="L44" s="30">
        <f t="shared" si="14"/>
        <v>0.99</v>
      </c>
      <c r="M44" s="30">
        <f t="shared" si="14"/>
        <v>1.06</v>
      </c>
      <c r="N44" s="30">
        <f t="shared" si="14"/>
        <v>0.88</v>
      </c>
      <c r="O44" s="30">
        <f t="shared" si="14"/>
        <v>0.93</v>
      </c>
      <c r="P44" s="30">
        <f t="shared" si="14"/>
        <v>0.51</v>
      </c>
    </row>
    <row r="46" spans="1:16" x14ac:dyDescent="0.2">
      <c r="A46" s="103" t="str">
        <f>A1</f>
        <v>Puget Sound Energy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</row>
    <row r="47" spans="1:16" x14ac:dyDescent="0.2">
      <c r="A47" s="103" t="str">
        <f>A2</f>
        <v>ELECTRIC COST OF SERVICE SUMMARY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</row>
    <row r="48" spans="1:16" x14ac:dyDescent="0.2">
      <c r="A48" s="104" t="str">
        <f>+$A$3</f>
        <v>Adjusted Test Year Twelve Months ended December 2018 @ Revenue Requirement Before Attrition and Riders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</row>
    <row r="49" spans="1:16" x14ac:dyDescent="0.2">
      <c r="A49" s="103" t="s">
        <v>47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</row>
    <row r="51" spans="1:16" s="20" customFormat="1" ht="49.5" customHeight="1" x14ac:dyDescent="0.2">
      <c r="A51" s="18"/>
      <c r="B51" s="18"/>
      <c r="C51" s="18"/>
      <c r="D51" s="18"/>
      <c r="E51" s="18" t="s">
        <v>48</v>
      </c>
      <c r="F51" s="18"/>
      <c r="G51" s="18" t="str">
        <f t="shared" ref="G51:P51" si="15">+G6</f>
        <v>Residential
Sch 7</v>
      </c>
      <c r="H51" s="18" t="str">
        <f t="shared" si="15"/>
        <v>Sec Volt
Sch 24
(kW&lt; 50)</v>
      </c>
      <c r="I51" s="18" t="str">
        <f t="shared" si="15"/>
        <v>Sec Volt
Sch 25
(kW &gt; 50 &amp; &lt; 350)</v>
      </c>
      <c r="J51" s="18" t="str">
        <f t="shared" si="15"/>
        <v>Sec Volt
Sch 26
(kW &gt; 350)</v>
      </c>
      <c r="K51" s="18" t="str">
        <f t="shared" si="15"/>
        <v>Pri Volt
Sch 31/35/43</v>
      </c>
      <c r="L51" s="18" t="str">
        <f t="shared" si="15"/>
        <v>Special Contract</v>
      </c>
      <c r="M51" s="18" t="str">
        <f t="shared" si="15"/>
        <v>High Volt
Sch 46/49</v>
      </c>
      <c r="N51" s="18" t="str">
        <f t="shared" si="15"/>
        <v>Choice /
Retail Wheeling
Sch 448/449</v>
      </c>
      <c r="O51" s="18" t="str">
        <f t="shared" si="15"/>
        <v>Lighting
Sch 50-59</v>
      </c>
      <c r="P51" s="19" t="str">
        <f t="shared" si="15"/>
        <v>Firm Resale</v>
      </c>
    </row>
    <row r="52" spans="1:16" s="20" customFormat="1" x14ac:dyDescent="0.2">
      <c r="C52" s="20" t="s">
        <v>15</v>
      </c>
      <c r="E52" s="20" t="s">
        <v>16</v>
      </c>
      <c r="G52" s="20" t="s">
        <v>17</v>
      </c>
      <c r="H52" s="20" t="s">
        <v>18</v>
      </c>
      <c r="I52" s="20" t="s">
        <v>19</v>
      </c>
      <c r="J52" s="20" t="s">
        <v>20</v>
      </c>
      <c r="K52" s="20" t="s">
        <v>21</v>
      </c>
      <c r="L52" s="20" t="s">
        <v>22</v>
      </c>
      <c r="M52" s="20" t="s">
        <v>23</v>
      </c>
      <c r="N52" s="20" t="s">
        <v>24</v>
      </c>
      <c r="O52" s="20" t="s">
        <v>25</v>
      </c>
      <c r="P52" s="20" t="s">
        <v>26</v>
      </c>
    </row>
    <row r="54" spans="1:16" x14ac:dyDescent="0.2">
      <c r="A54" s="74">
        <v>1</v>
      </c>
      <c r="C54" s="13" t="s">
        <v>202</v>
      </c>
    </row>
    <row r="55" spans="1:16" x14ac:dyDescent="0.2">
      <c r="A55" s="74">
        <f t="shared" ref="A55:A79" si="16">+A54+1</f>
        <v>2</v>
      </c>
      <c r="B55" s="14" t="str">
        <f>IF(OR((C54="~"),(C55="~")),"~","")</f>
        <v/>
      </c>
      <c r="C55" s="14" t="s">
        <v>189</v>
      </c>
      <c r="E55" s="72">
        <f t="shared" ref="E55:E60" si="17">SUM(G55:P55)</f>
        <v>242873801.14655104</v>
      </c>
      <c r="F55" s="72"/>
      <c r="G55" s="72">
        <v>140071435.77249286</v>
      </c>
      <c r="H55" s="72">
        <v>32293888.677441996</v>
      </c>
      <c r="I55" s="72">
        <v>34565376.484509699</v>
      </c>
      <c r="J55" s="72">
        <v>18161265.88594598</v>
      </c>
      <c r="K55" s="72">
        <v>12829967.572942583</v>
      </c>
      <c r="L55" s="72">
        <v>0</v>
      </c>
      <c r="M55" s="72">
        <v>4357648.4998569191</v>
      </c>
      <c r="N55" s="72">
        <v>0</v>
      </c>
      <c r="O55" s="72">
        <v>504756.00895996689</v>
      </c>
      <c r="P55" s="72">
        <v>89462.244401043368</v>
      </c>
    </row>
    <row r="56" spans="1:16" x14ac:dyDescent="0.2">
      <c r="A56" s="74">
        <f t="shared" si="16"/>
        <v>3</v>
      </c>
      <c r="B56" s="14" t="str">
        <f>IF(OR((C54="~"),(C56="~")),"~","")</f>
        <v/>
      </c>
      <c r="C56" s="14" t="s">
        <v>203</v>
      </c>
      <c r="E56" s="72">
        <f t="shared" si="17"/>
        <v>1965069845.6402762</v>
      </c>
      <c r="F56" s="72"/>
      <c r="G56" s="72">
        <v>1023729724.170417</v>
      </c>
      <c r="H56" s="72">
        <v>260117710.60779378</v>
      </c>
      <c r="I56" s="72">
        <v>289270813.96646041</v>
      </c>
      <c r="J56" s="72">
        <v>186685495.49639875</v>
      </c>
      <c r="K56" s="72">
        <v>141614498.72537625</v>
      </c>
      <c r="L56" s="72">
        <v>0</v>
      </c>
      <c r="M56" s="72">
        <v>56219546.742646746</v>
      </c>
      <c r="N56" s="72">
        <v>0</v>
      </c>
      <c r="O56" s="72">
        <v>6769530.3992750896</v>
      </c>
      <c r="P56" s="72">
        <v>662525.53190840431</v>
      </c>
    </row>
    <row r="57" spans="1:16" x14ac:dyDescent="0.2">
      <c r="A57" s="74">
        <f t="shared" si="16"/>
        <v>4</v>
      </c>
      <c r="B57" s="14" t="str">
        <f>IF(OR((C54="~"),(C57="~")),"~","")</f>
        <v/>
      </c>
      <c r="C57" s="14" t="s">
        <v>204</v>
      </c>
      <c r="E57" s="72">
        <f t="shared" si="17"/>
        <v>0</v>
      </c>
      <c r="F57" s="72"/>
      <c r="G57" s="72">
        <v>0</v>
      </c>
      <c r="H57" s="72">
        <v>0</v>
      </c>
      <c r="I57" s="72">
        <v>0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P57" s="72">
        <v>0</v>
      </c>
    </row>
    <row r="58" spans="1:16" x14ac:dyDescent="0.2">
      <c r="A58" s="74">
        <f t="shared" si="16"/>
        <v>5</v>
      </c>
      <c r="B58" s="14" t="str">
        <f>IF(OR((C54="~"),(C58="~")),"~","")</f>
        <v>~</v>
      </c>
      <c r="C58" s="14" t="s">
        <v>205</v>
      </c>
      <c r="E58" s="72">
        <f t="shared" si="17"/>
        <v>0</v>
      </c>
      <c r="F58" s="72"/>
      <c r="G58" s="72">
        <v>0</v>
      </c>
      <c r="H58" s="72">
        <v>0</v>
      </c>
      <c r="I58" s="72">
        <v>0</v>
      </c>
      <c r="J58" s="72">
        <v>0</v>
      </c>
      <c r="K58" s="72">
        <v>0</v>
      </c>
      <c r="L58" s="72">
        <v>0</v>
      </c>
      <c r="M58" s="72">
        <v>0</v>
      </c>
      <c r="N58" s="72">
        <v>0</v>
      </c>
      <c r="O58" s="72">
        <v>0</v>
      </c>
      <c r="P58" s="72">
        <v>0</v>
      </c>
    </row>
    <row r="59" spans="1:16" x14ac:dyDescent="0.2">
      <c r="A59" s="74">
        <f t="shared" si="16"/>
        <v>6</v>
      </c>
      <c r="B59" s="14" t="str">
        <f>IF(OR((C54="~"),(C59="~")),"~","")</f>
        <v>~</v>
      </c>
      <c r="C59" s="14" t="s">
        <v>205</v>
      </c>
      <c r="E59" s="72">
        <f t="shared" si="17"/>
        <v>0</v>
      </c>
      <c r="F59" s="72"/>
      <c r="G59" s="72">
        <v>0</v>
      </c>
      <c r="H59" s="72">
        <v>0</v>
      </c>
      <c r="I59" s="72">
        <v>0</v>
      </c>
      <c r="J59" s="72">
        <v>0</v>
      </c>
      <c r="K59" s="72">
        <v>0</v>
      </c>
      <c r="L59" s="72">
        <v>0</v>
      </c>
      <c r="M59" s="72">
        <v>0</v>
      </c>
      <c r="N59" s="72">
        <v>0</v>
      </c>
      <c r="O59" s="72">
        <v>0</v>
      </c>
      <c r="P59" s="72">
        <v>0</v>
      </c>
    </row>
    <row r="60" spans="1:16" x14ac:dyDescent="0.2">
      <c r="A60" s="74">
        <f t="shared" si="16"/>
        <v>7</v>
      </c>
      <c r="B60" s="14" t="str">
        <f>IF(OR((C54="~"),(C60="~")),"~","")</f>
        <v>~</v>
      </c>
      <c r="C60" s="14" t="s">
        <v>205</v>
      </c>
      <c r="E60" s="72">
        <f t="shared" si="17"/>
        <v>0</v>
      </c>
      <c r="F60" s="72"/>
      <c r="G60" s="72">
        <v>0</v>
      </c>
      <c r="H60" s="72">
        <v>0</v>
      </c>
      <c r="I60" s="72">
        <v>0</v>
      </c>
      <c r="J60" s="72">
        <v>0</v>
      </c>
      <c r="K60" s="72">
        <v>0</v>
      </c>
      <c r="L60" s="72">
        <v>0</v>
      </c>
      <c r="M60" s="72">
        <v>0</v>
      </c>
      <c r="N60" s="72">
        <v>0</v>
      </c>
      <c r="O60" s="72">
        <v>0</v>
      </c>
      <c r="P60" s="72">
        <v>0</v>
      </c>
    </row>
    <row r="61" spans="1:16" x14ac:dyDescent="0.2">
      <c r="A61" s="31">
        <f t="shared" si="16"/>
        <v>8</v>
      </c>
      <c r="B61" s="26" t="str">
        <f>IF(OR((C54="~"),(C61="~")),"~","")</f>
        <v/>
      </c>
      <c r="C61" s="26" t="str">
        <f>IF(C54="~","~","Sub-total")</f>
        <v>Sub-total</v>
      </c>
      <c r="D61" s="26"/>
      <c r="E61" s="28">
        <f>SUM(E55:E60)</f>
        <v>2207943646.7868271</v>
      </c>
      <c r="F61" s="28"/>
      <c r="G61" s="28">
        <f t="shared" ref="G61:M61" si="18">SUM(G55:G60)</f>
        <v>1163801159.9429097</v>
      </c>
      <c r="H61" s="28">
        <f t="shared" si="18"/>
        <v>292411599.28523576</v>
      </c>
      <c r="I61" s="28">
        <f t="shared" si="18"/>
        <v>323836190.45097011</v>
      </c>
      <c r="J61" s="28">
        <f t="shared" si="18"/>
        <v>204846761.38234472</v>
      </c>
      <c r="K61" s="28">
        <f t="shared" si="18"/>
        <v>154444466.29831883</v>
      </c>
      <c r="L61" s="28">
        <f t="shared" si="18"/>
        <v>0</v>
      </c>
      <c r="M61" s="28">
        <f t="shared" si="18"/>
        <v>60577195.242503665</v>
      </c>
      <c r="N61" s="28">
        <f>SUM(N55:N60)</f>
        <v>0</v>
      </c>
      <c r="O61" s="28">
        <f>SUM(O55:O60)</f>
        <v>7274286.4082350563</v>
      </c>
      <c r="P61" s="28">
        <f>SUM(P55:P60)</f>
        <v>751987.77630944771</v>
      </c>
    </row>
    <row r="62" spans="1:16" x14ac:dyDescent="0.2">
      <c r="A62" s="74">
        <f t="shared" si="16"/>
        <v>9</v>
      </c>
      <c r="B62" s="14" t="str">
        <f>IF(OR((C54="~"),(C62="~")),"~","")</f>
        <v/>
      </c>
    </row>
    <row r="63" spans="1:16" x14ac:dyDescent="0.2">
      <c r="A63" s="74">
        <f t="shared" si="16"/>
        <v>10</v>
      </c>
      <c r="C63" s="13" t="s">
        <v>206</v>
      </c>
    </row>
    <row r="64" spans="1:16" x14ac:dyDescent="0.2">
      <c r="A64" s="74">
        <f t="shared" si="16"/>
        <v>11</v>
      </c>
      <c r="B64" s="14" t="str">
        <f>IF(OR((C63="~"),(C64="~")),"~","")</f>
        <v/>
      </c>
      <c r="C64" s="14" t="s">
        <v>189</v>
      </c>
      <c r="E64" s="72">
        <f t="shared" ref="E64:E69" si="19">SUM(G64:P64)</f>
        <v>104743551.21740137</v>
      </c>
      <c r="F64" s="72"/>
      <c r="G64" s="72">
        <v>56732927.74030105</v>
      </c>
      <c r="H64" s="72">
        <v>13079946.262323065</v>
      </c>
      <c r="I64" s="72">
        <v>13999963.629965797</v>
      </c>
      <c r="J64" s="72">
        <v>7355830.8265881706</v>
      </c>
      <c r="K64" s="72">
        <v>5196502.907333646</v>
      </c>
      <c r="L64" s="72">
        <v>1090099.314128001</v>
      </c>
      <c r="M64" s="72">
        <v>1764971.9666010817</v>
      </c>
      <c r="N64" s="72">
        <v>5282633.2244415842</v>
      </c>
      <c r="O64" s="72">
        <v>204440.5843695373</v>
      </c>
      <c r="P64" s="72">
        <v>36234.761349438959</v>
      </c>
    </row>
    <row r="65" spans="1:16" x14ac:dyDescent="0.2">
      <c r="A65" s="74">
        <f t="shared" si="16"/>
        <v>12</v>
      </c>
      <c r="B65" s="14" t="str">
        <f>IF(OR((C63="~"),(C65="~")),"~","")</f>
        <v/>
      </c>
      <c r="C65" s="14" t="s">
        <v>203</v>
      </c>
      <c r="E65" s="72">
        <f t="shared" si="19"/>
        <v>846800513.81015563</v>
      </c>
      <c r="F65" s="72"/>
      <c r="G65" s="72">
        <v>405172585.37127614</v>
      </c>
      <c r="H65" s="72">
        <v>102949599.7034007</v>
      </c>
      <c r="I65" s="72">
        <v>114487838.73323733</v>
      </c>
      <c r="J65" s="72">
        <v>73886537.70201762</v>
      </c>
      <c r="K65" s="72">
        <v>56048301.831926107</v>
      </c>
      <c r="L65" s="72">
        <v>10006431.888608154</v>
      </c>
      <c r="M65" s="72">
        <v>22250618.072634578</v>
      </c>
      <c r="N65" s="72">
        <v>59057135.347682245</v>
      </c>
      <c r="O65" s="72">
        <v>2679250.2638783846</v>
      </c>
      <c r="P65" s="72">
        <v>262214.89549435244</v>
      </c>
    </row>
    <row r="66" spans="1:16" x14ac:dyDescent="0.2">
      <c r="A66" s="74">
        <f t="shared" si="16"/>
        <v>13</v>
      </c>
      <c r="B66" s="14" t="str">
        <f>IF(OR((C63="~"),(C66="~")),"~","")</f>
        <v/>
      </c>
      <c r="C66" s="14" t="s">
        <v>204</v>
      </c>
      <c r="E66" s="72">
        <f t="shared" si="19"/>
        <v>0</v>
      </c>
      <c r="F66" s="72"/>
      <c r="G66" s="72">
        <v>0</v>
      </c>
      <c r="H66" s="72">
        <v>0</v>
      </c>
      <c r="I66" s="72">
        <v>0</v>
      </c>
      <c r="J66" s="72">
        <v>0</v>
      </c>
      <c r="K66" s="72">
        <v>0</v>
      </c>
      <c r="L66" s="72">
        <v>0</v>
      </c>
      <c r="M66" s="72">
        <v>0</v>
      </c>
      <c r="N66" s="72">
        <v>0</v>
      </c>
      <c r="O66" s="72">
        <v>0</v>
      </c>
      <c r="P66" s="72">
        <v>0</v>
      </c>
    </row>
    <row r="67" spans="1:16" x14ac:dyDescent="0.2">
      <c r="A67" s="74">
        <f t="shared" si="16"/>
        <v>14</v>
      </c>
      <c r="B67" s="14" t="str">
        <f>IF(OR((C63="~"),(C67="~")),"~","")</f>
        <v>~</v>
      </c>
      <c r="C67" s="14" t="s">
        <v>205</v>
      </c>
      <c r="E67" s="72">
        <f t="shared" si="19"/>
        <v>0</v>
      </c>
      <c r="F67" s="72"/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P67" s="72">
        <v>0</v>
      </c>
    </row>
    <row r="68" spans="1:16" x14ac:dyDescent="0.2">
      <c r="A68" s="74">
        <f t="shared" si="16"/>
        <v>15</v>
      </c>
      <c r="B68" s="14" t="str">
        <f>IF(OR((C63="~"),(C68="~")),"~","")</f>
        <v>~</v>
      </c>
      <c r="C68" s="14" t="s">
        <v>205</v>
      </c>
      <c r="E68" s="72">
        <f t="shared" si="19"/>
        <v>0</v>
      </c>
      <c r="F68" s="72"/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>
        <v>0</v>
      </c>
      <c r="O68" s="72">
        <v>0</v>
      </c>
      <c r="P68" s="72">
        <v>0</v>
      </c>
    </row>
    <row r="69" spans="1:16" x14ac:dyDescent="0.2">
      <c r="A69" s="74">
        <f t="shared" si="16"/>
        <v>16</v>
      </c>
      <c r="B69" s="14" t="str">
        <f>IF(OR((C63="~"),(C69="~")),"~","")</f>
        <v>~</v>
      </c>
      <c r="C69" s="14" t="s">
        <v>205</v>
      </c>
      <c r="E69" s="72">
        <f t="shared" si="19"/>
        <v>0</v>
      </c>
      <c r="F69" s="72"/>
      <c r="G69" s="72">
        <v>0</v>
      </c>
      <c r="H69" s="72">
        <v>0</v>
      </c>
      <c r="I69" s="72">
        <v>0</v>
      </c>
      <c r="J69" s="72">
        <v>0</v>
      </c>
      <c r="K69" s="72">
        <v>0</v>
      </c>
      <c r="L69" s="72">
        <v>0</v>
      </c>
      <c r="M69" s="72">
        <v>0</v>
      </c>
      <c r="N69" s="72">
        <v>0</v>
      </c>
      <c r="O69" s="72">
        <v>0</v>
      </c>
      <c r="P69" s="72">
        <v>0</v>
      </c>
    </row>
    <row r="70" spans="1:16" x14ac:dyDescent="0.2">
      <c r="A70" s="31">
        <f t="shared" si="16"/>
        <v>17</v>
      </c>
      <c r="B70" s="26" t="str">
        <f>IF(OR((C63="~"),(C70="~")),"~","")</f>
        <v/>
      </c>
      <c r="C70" s="26" t="str">
        <f>IF(C63="~","~","Sub-total")</f>
        <v>Sub-total</v>
      </c>
      <c r="D70" s="26"/>
      <c r="E70" s="28">
        <f>SUM(E64:E69)</f>
        <v>951544065.02755702</v>
      </c>
      <c r="F70" s="28"/>
      <c r="G70" s="28">
        <f t="shared" ref="G70:M70" si="20">SUM(G64:G69)</f>
        <v>461905513.11157721</v>
      </c>
      <c r="H70" s="28">
        <f t="shared" si="20"/>
        <v>116029545.96572377</v>
      </c>
      <c r="I70" s="28">
        <f t="shared" si="20"/>
        <v>128487802.36320312</v>
      </c>
      <c r="J70" s="28">
        <f t="shared" si="20"/>
        <v>81242368.528605789</v>
      </c>
      <c r="K70" s="28">
        <f t="shared" si="20"/>
        <v>61244804.73925975</v>
      </c>
      <c r="L70" s="28">
        <f t="shared" si="20"/>
        <v>11096531.202736154</v>
      </c>
      <c r="M70" s="28">
        <f t="shared" si="20"/>
        <v>24015590.039235659</v>
      </c>
      <c r="N70" s="28">
        <f>SUM(N64:N69)</f>
        <v>64339768.572123826</v>
      </c>
      <c r="O70" s="28">
        <f>SUM(O64:O69)</f>
        <v>2883690.848247922</v>
      </c>
      <c r="P70" s="28">
        <f>SUM(P64:P69)</f>
        <v>298449.65684379142</v>
      </c>
    </row>
    <row r="71" spans="1:16" x14ac:dyDescent="0.2">
      <c r="A71" s="74">
        <f t="shared" si="16"/>
        <v>18</v>
      </c>
      <c r="B71" s="14" t="str">
        <f>IF(OR((C63="~"),(C71="~")),"~","")</f>
        <v/>
      </c>
    </row>
    <row r="72" spans="1:16" x14ac:dyDescent="0.2">
      <c r="A72" s="74">
        <f t="shared" si="16"/>
        <v>19</v>
      </c>
      <c r="C72" s="13" t="s">
        <v>207</v>
      </c>
    </row>
    <row r="73" spans="1:16" x14ac:dyDescent="0.2">
      <c r="A73" s="74">
        <f t="shared" si="16"/>
        <v>20</v>
      </c>
      <c r="B73" s="14" t="str">
        <f>IF(OR((C72="~"),(C73="~")),"~","")</f>
        <v/>
      </c>
      <c r="C73" s="14" t="s">
        <v>189</v>
      </c>
      <c r="E73" s="72">
        <f t="shared" ref="E73:E78" si="21">SUM(G73:P73)</f>
        <v>2073465863.9769144</v>
      </c>
      <c r="F73" s="72"/>
      <c r="G73" s="72">
        <v>1361348883.8086338</v>
      </c>
      <c r="H73" s="72">
        <v>253096942.94498232</v>
      </c>
      <c r="I73" s="72">
        <v>217194898.8560698</v>
      </c>
      <c r="J73" s="72">
        <v>95602259.03363955</v>
      </c>
      <c r="K73" s="72">
        <v>95700003.073200449</v>
      </c>
      <c r="L73" s="72">
        <v>26283338.264277868</v>
      </c>
      <c r="M73" s="72">
        <v>10448111.05634308</v>
      </c>
      <c r="N73" s="72">
        <v>1629094.3867148042</v>
      </c>
      <c r="O73" s="72">
        <v>11424653.508196278</v>
      </c>
      <c r="P73" s="72">
        <v>737679.0448566284</v>
      </c>
    </row>
    <row r="74" spans="1:16" x14ac:dyDescent="0.2">
      <c r="A74" s="74">
        <f t="shared" si="16"/>
        <v>21</v>
      </c>
      <c r="B74" s="14" t="str">
        <f>IF(OR((C72="~"),(C74="~")),"~","")</f>
        <v/>
      </c>
      <c r="C74" s="14" t="s">
        <v>203</v>
      </c>
      <c r="E74" s="72">
        <f t="shared" si="21"/>
        <v>0</v>
      </c>
      <c r="F74" s="72"/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  <c r="N74" s="72">
        <v>0</v>
      </c>
      <c r="O74" s="72">
        <v>0</v>
      </c>
      <c r="P74" s="72">
        <v>0</v>
      </c>
    </row>
    <row r="75" spans="1:16" x14ac:dyDescent="0.2">
      <c r="A75" s="74">
        <f t="shared" si="16"/>
        <v>22</v>
      </c>
      <c r="B75" s="14" t="str">
        <f>IF(OR((C72="~"),(C75="~")),"~","")</f>
        <v/>
      </c>
      <c r="C75" s="14" t="s">
        <v>204</v>
      </c>
      <c r="E75" s="72">
        <f t="shared" si="21"/>
        <v>195634503.87784091</v>
      </c>
      <c r="F75" s="72"/>
      <c r="G75" s="72">
        <v>145438529.65835547</v>
      </c>
      <c r="H75" s="72">
        <v>-9721490.628468819</v>
      </c>
      <c r="I75" s="72">
        <v>5337070.3214494819</v>
      </c>
      <c r="J75" s="72">
        <v>1012596.4414488765</v>
      </c>
      <c r="K75" s="72">
        <v>15225605.05289628</v>
      </c>
      <c r="L75" s="72">
        <v>790544.47397552687</v>
      </c>
      <c r="M75" s="72">
        <v>555868.93348716432</v>
      </c>
      <c r="N75" s="72">
        <v>913524.3650035914</v>
      </c>
      <c r="O75" s="72">
        <v>36074040.223888464</v>
      </c>
      <c r="P75" s="72">
        <v>8215.0358048241706</v>
      </c>
    </row>
    <row r="76" spans="1:16" x14ac:dyDescent="0.2">
      <c r="A76" s="74">
        <f t="shared" si="16"/>
        <v>23</v>
      </c>
      <c r="B76" s="14" t="str">
        <f>IF(OR((C72="~"),(C76="~")),"~","")</f>
        <v>~</v>
      </c>
      <c r="C76" s="14" t="s">
        <v>205</v>
      </c>
      <c r="E76" s="72">
        <f t="shared" si="21"/>
        <v>0</v>
      </c>
      <c r="F76" s="72"/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0</v>
      </c>
      <c r="M76" s="72">
        <v>0</v>
      </c>
      <c r="N76" s="72">
        <v>0</v>
      </c>
      <c r="O76" s="72">
        <v>0</v>
      </c>
      <c r="P76" s="72">
        <v>0</v>
      </c>
    </row>
    <row r="77" spans="1:16" x14ac:dyDescent="0.2">
      <c r="A77" s="74">
        <f t="shared" si="16"/>
        <v>24</v>
      </c>
      <c r="B77" s="14" t="str">
        <f>IF(OR((C72="~"),(C77="~")),"~","")</f>
        <v>~</v>
      </c>
      <c r="C77" s="14" t="s">
        <v>205</v>
      </c>
      <c r="E77" s="72">
        <f t="shared" si="21"/>
        <v>0</v>
      </c>
      <c r="F77" s="72"/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72">
        <v>0</v>
      </c>
      <c r="O77" s="72">
        <v>0</v>
      </c>
      <c r="P77" s="72">
        <v>0</v>
      </c>
    </row>
    <row r="78" spans="1:16" x14ac:dyDescent="0.2">
      <c r="A78" s="74">
        <f t="shared" si="16"/>
        <v>25</v>
      </c>
      <c r="B78" s="14" t="str">
        <f>IF(OR((C72="~"),(C78="~")),"~","")</f>
        <v>~</v>
      </c>
      <c r="C78" s="14" t="s">
        <v>205</v>
      </c>
      <c r="E78" s="72">
        <f t="shared" si="21"/>
        <v>0</v>
      </c>
      <c r="F78" s="72"/>
      <c r="G78" s="72">
        <v>0</v>
      </c>
      <c r="H78" s="72">
        <v>0</v>
      </c>
      <c r="I78" s="72">
        <v>0</v>
      </c>
      <c r="J78" s="72">
        <v>0</v>
      </c>
      <c r="K78" s="72">
        <v>0</v>
      </c>
      <c r="L78" s="72">
        <v>0</v>
      </c>
      <c r="M78" s="72">
        <v>0</v>
      </c>
      <c r="N78" s="72">
        <v>0</v>
      </c>
      <c r="O78" s="72">
        <v>0</v>
      </c>
      <c r="P78" s="72">
        <v>0</v>
      </c>
    </row>
    <row r="79" spans="1:16" x14ac:dyDescent="0.2">
      <c r="A79" s="31">
        <f t="shared" si="16"/>
        <v>26</v>
      </c>
      <c r="B79" s="26" t="str">
        <f>IF(OR((C72="~"),(C79="~")),"~","")</f>
        <v/>
      </c>
      <c r="C79" s="26" t="str">
        <f>IF(C72="~","~","Sub-total")</f>
        <v>Sub-total</v>
      </c>
      <c r="D79" s="26"/>
      <c r="E79" s="28">
        <f>SUM(E73:E78)</f>
        <v>2269100367.8547554</v>
      </c>
      <c r="F79" s="28"/>
      <c r="G79" s="28">
        <f t="shared" ref="G79:M79" si="22">SUM(G73:G78)</f>
        <v>1506787413.4669893</v>
      </c>
      <c r="H79" s="28">
        <f t="shared" si="22"/>
        <v>243375452.31651351</v>
      </c>
      <c r="I79" s="28">
        <f t="shared" si="22"/>
        <v>222531969.17751929</v>
      </c>
      <c r="J79" s="28">
        <f t="shared" si="22"/>
        <v>96614855.475088432</v>
      </c>
      <c r="K79" s="28">
        <f t="shared" si="22"/>
        <v>110925608.12609673</v>
      </c>
      <c r="L79" s="28">
        <f t="shared" si="22"/>
        <v>27073882.738253396</v>
      </c>
      <c r="M79" s="28">
        <f t="shared" si="22"/>
        <v>11003979.989830244</v>
      </c>
      <c r="N79" s="28">
        <f>SUM(N73:N78)</f>
        <v>2542618.7517183954</v>
      </c>
      <c r="O79" s="28">
        <f>SUM(O73:O78)</f>
        <v>47498693.732084744</v>
      </c>
      <c r="P79" s="28">
        <f>SUM(P73:P78)</f>
        <v>745894.08066145261</v>
      </c>
    </row>
    <row r="80" spans="1:16" x14ac:dyDescent="0.2">
      <c r="A80" s="74"/>
      <c r="B80" s="14" t="str">
        <f>IF(OR((C72="~"),(C80="~")),"~","")</f>
        <v/>
      </c>
    </row>
    <row r="81" spans="1:16" hidden="1" x14ac:dyDescent="0.2">
      <c r="A81" s="74"/>
      <c r="B81" s="14" t="s">
        <v>205</v>
      </c>
      <c r="C81" s="13"/>
    </row>
    <row r="82" spans="1:16" hidden="1" x14ac:dyDescent="0.2">
      <c r="A82" s="74"/>
      <c r="B82" s="14" t="str">
        <f>IF(OR((B81="~"),(C82="~")),"~","")</f>
        <v>~</v>
      </c>
      <c r="C82" s="14" t="s">
        <v>205</v>
      </c>
      <c r="E82" s="72">
        <f t="shared" ref="E82:E87" si="23">SUM(G82:P82)</f>
        <v>0</v>
      </c>
      <c r="F82" s="72"/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0</v>
      </c>
      <c r="M82" s="72">
        <v>0</v>
      </c>
      <c r="N82" s="72">
        <v>0</v>
      </c>
      <c r="O82" s="72">
        <v>0</v>
      </c>
      <c r="P82" s="72">
        <v>0</v>
      </c>
    </row>
    <row r="83" spans="1:16" hidden="1" x14ac:dyDescent="0.2">
      <c r="A83" s="74"/>
      <c r="B83" s="14" t="str">
        <f>IF(OR((B81="~"),(C83="~")),"~","")</f>
        <v>~</v>
      </c>
      <c r="C83" s="14" t="s">
        <v>205</v>
      </c>
      <c r="E83" s="72">
        <f t="shared" si="23"/>
        <v>0</v>
      </c>
      <c r="F83" s="72"/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72">
        <v>0</v>
      </c>
      <c r="M83" s="72">
        <v>0</v>
      </c>
      <c r="N83" s="72">
        <v>0</v>
      </c>
      <c r="O83" s="72">
        <v>0</v>
      </c>
      <c r="P83" s="72">
        <v>0</v>
      </c>
    </row>
    <row r="84" spans="1:16" hidden="1" x14ac:dyDescent="0.2">
      <c r="A84" s="74"/>
      <c r="B84" s="14" t="str">
        <f>IF(OR((B81="~"),(C84="~")),"~","")</f>
        <v>~</v>
      </c>
      <c r="C84" s="14" t="s">
        <v>205</v>
      </c>
      <c r="E84" s="72">
        <f t="shared" si="23"/>
        <v>0</v>
      </c>
      <c r="F84" s="72"/>
      <c r="G84" s="72">
        <v>0</v>
      </c>
      <c r="H84" s="72">
        <v>0</v>
      </c>
      <c r="I84" s="72">
        <v>0</v>
      </c>
      <c r="J84" s="72">
        <v>0</v>
      </c>
      <c r="K84" s="72">
        <v>0</v>
      </c>
      <c r="L84" s="72">
        <v>0</v>
      </c>
      <c r="M84" s="72">
        <v>0</v>
      </c>
      <c r="N84" s="72">
        <v>0</v>
      </c>
      <c r="O84" s="72">
        <v>0</v>
      </c>
      <c r="P84" s="72">
        <v>0</v>
      </c>
    </row>
    <row r="85" spans="1:16" hidden="1" x14ac:dyDescent="0.2">
      <c r="A85" s="74"/>
      <c r="B85" s="14" t="str">
        <f>IF(OR((B81="~"),(C85="~")),"~","")</f>
        <v>~</v>
      </c>
      <c r="C85" s="14" t="s">
        <v>205</v>
      </c>
      <c r="E85" s="72">
        <f t="shared" si="23"/>
        <v>0</v>
      </c>
      <c r="F85" s="72"/>
      <c r="G85" s="72">
        <v>0</v>
      </c>
      <c r="H85" s="72">
        <v>0</v>
      </c>
      <c r="I85" s="72">
        <v>0</v>
      </c>
      <c r="J85" s="72">
        <v>0</v>
      </c>
      <c r="K85" s="72">
        <v>0</v>
      </c>
      <c r="L85" s="72">
        <v>0</v>
      </c>
      <c r="M85" s="72">
        <v>0</v>
      </c>
      <c r="N85" s="72">
        <v>0</v>
      </c>
      <c r="O85" s="72">
        <v>0</v>
      </c>
      <c r="P85" s="72">
        <v>0</v>
      </c>
    </row>
    <row r="86" spans="1:16" hidden="1" x14ac:dyDescent="0.2">
      <c r="A86" s="74"/>
      <c r="B86" s="14" t="str">
        <f>IF(OR((B81="~"),(C86="~")),"~","")</f>
        <v>~</v>
      </c>
      <c r="C86" s="14" t="s">
        <v>205</v>
      </c>
      <c r="E86" s="72">
        <f t="shared" si="23"/>
        <v>0</v>
      </c>
      <c r="F86" s="72"/>
      <c r="G86" s="72">
        <v>0</v>
      </c>
      <c r="H86" s="72">
        <v>0</v>
      </c>
      <c r="I86" s="72">
        <v>0</v>
      </c>
      <c r="J86" s="72">
        <v>0</v>
      </c>
      <c r="K86" s="72">
        <v>0</v>
      </c>
      <c r="L86" s="72">
        <v>0</v>
      </c>
      <c r="M86" s="72">
        <v>0</v>
      </c>
      <c r="N86" s="72">
        <v>0</v>
      </c>
      <c r="O86" s="72">
        <v>0</v>
      </c>
      <c r="P86" s="72">
        <v>0</v>
      </c>
    </row>
    <row r="87" spans="1:16" hidden="1" x14ac:dyDescent="0.2">
      <c r="A87" s="74"/>
      <c r="B87" s="14" t="str">
        <f>IF(OR((B81="~"),(C87="~")),"~","")</f>
        <v>~</v>
      </c>
      <c r="C87" s="14" t="s">
        <v>205</v>
      </c>
      <c r="E87" s="72">
        <f t="shared" si="23"/>
        <v>0</v>
      </c>
      <c r="F87" s="72"/>
      <c r="G87" s="72">
        <v>0</v>
      </c>
      <c r="H87" s="72">
        <v>0</v>
      </c>
      <c r="I87" s="72">
        <v>0</v>
      </c>
      <c r="J87" s="72">
        <v>0</v>
      </c>
      <c r="K87" s="72">
        <v>0</v>
      </c>
      <c r="L87" s="72">
        <v>0</v>
      </c>
      <c r="M87" s="72">
        <v>0</v>
      </c>
      <c r="N87" s="72">
        <v>0</v>
      </c>
      <c r="O87" s="72">
        <v>0</v>
      </c>
      <c r="P87" s="72">
        <v>0</v>
      </c>
    </row>
    <row r="88" spans="1:16" hidden="1" x14ac:dyDescent="0.2">
      <c r="A88" s="31"/>
      <c r="B88" s="26" t="str">
        <f>IF(OR((B81="~"),(C88="~")),"~","")</f>
        <v>~</v>
      </c>
      <c r="C88" s="26" t="str">
        <f>IF(B81="~","~","Sub-total")</f>
        <v>~</v>
      </c>
      <c r="D88" s="26"/>
      <c r="E88" s="28">
        <f>SUM(E82:E87)</f>
        <v>0</v>
      </c>
      <c r="F88" s="28"/>
      <c r="G88" s="28">
        <f t="shared" ref="G88:M88" si="24">SUM(G82:G87)</f>
        <v>0</v>
      </c>
      <c r="H88" s="28">
        <f t="shared" si="24"/>
        <v>0</v>
      </c>
      <c r="I88" s="28">
        <f t="shared" si="24"/>
        <v>0</v>
      </c>
      <c r="J88" s="28">
        <f t="shared" si="24"/>
        <v>0</v>
      </c>
      <c r="K88" s="28">
        <f t="shared" si="24"/>
        <v>0</v>
      </c>
      <c r="L88" s="28">
        <f t="shared" si="24"/>
        <v>0</v>
      </c>
      <c r="M88" s="28">
        <f t="shared" si="24"/>
        <v>0</v>
      </c>
      <c r="N88" s="28">
        <f>SUM(N82:N87)</f>
        <v>0</v>
      </c>
      <c r="O88" s="28">
        <f>SUM(O82:O87)</f>
        <v>0</v>
      </c>
      <c r="P88" s="28">
        <f>SUM(P82:P87)</f>
        <v>0</v>
      </c>
    </row>
    <row r="89" spans="1:16" hidden="1" x14ac:dyDescent="0.2">
      <c r="A89" s="74"/>
      <c r="B89" s="14" t="str">
        <f>IF(OR((B81="~"),(C89="~")),"~","")</f>
        <v>~</v>
      </c>
      <c r="C89" s="13"/>
    </row>
    <row r="90" spans="1:16" hidden="1" x14ac:dyDescent="0.2">
      <c r="A90" s="74"/>
      <c r="B90" s="14" t="s">
        <v>205</v>
      </c>
      <c r="C90" s="13"/>
    </row>
    <row r="91" spans="1:16" hidden="1" x14ac:dyDescent="0.2">
      <c r="A91" s="74"/>
      <c r="B91" s="14" t="str">
        <f>IF(OR((B90="~"),(C91="~")),"~","")</f>
        <v>~</v>
      </c>
      <c r="C91" s="14" t="s">
        <v>205</v>
      </c>
      <c r="E91" s="72">
        <f t="shared" ref="E91:E96" si="25">SUM(G91:P91)</f>
        <v>0</v>
      </c>
      <c r="F91" s="72"/>
      <c r="G91" s="72">
        <v>0</v>
      </c>
      <c r="H91" s="72">
        <v>0</v>
      </c>
      <c r="I91" s="72">
        <v>0</v>
      </c>
      <c r="J91" s="72">
        <v>0</v>
      </c>
      <c r="K91" s="72">
        <v>0</v>
      </c>
      <c r="L91" s="72">
        <v>0</v>
      </c>
      <c r="M91" s="72">
        <v>0</v>
      </c>
      <c r="N91" s="72">
        <v>0</v>
      </c>
      <c r="O91" s="72">
        <v>0</v>
      </c>
      <c r="P91" s="72">
        <v>0</v>
      </c>
    </row>
    <row r="92" spans="1:16" hidden="1" x14ac:dyDescent="0.2">
      <c r="A92" s="74"/>
      <c r="B92" s="14" t="str">
        <f>IF(OR((B90="~"),(C92="~")),"~","")</f>
        <v>~</v>
      </c>
      <c r="C92" s="14" t="s">
        <v>205</v>
      </c>
      <c r="E92" s="72">
        <f t="shared" si="25"/>
        <v>0</v>
      </c>
      <c r="F92" s="72"/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72">
        <v>0</v>
      </c>
      <c r="N92" s="72">
        <v>0</v>
      </c>
      <c r="O92" s="72">
        <v>0</v>
      </c>
      <c r="P92" s="72">
        <v>0</v>
      </c>
    </row>
    <row r="93" spans="1:16" hidden="1" x14ac:dyDescent="0.2">
      <c r="A93" s="74"/>
      <c r="B93" s="14" t="str">
        <f>IF(OR((B90="~"),(C93="~")),"~","")</f>
        <v>~</v>
      </c>
      <c r="C93" s="14" t="s">
        <v>205</v>
      </c>
      <c r="E93" s="72">
        <f t="shared" si="25"/>
        <v>0</v>
      </c>
      <c r="F93" s="72"/>
      <c r="G93" s="72">
        <v>0</v>
      </c>
      <c r="H93" s="72">
        <v>0</v>
      </c>
      <c r="I93" s="72">
        <v>0</v>
      </c>
      <c r="J93" s="72">
        <v>0</v>
      </c>
      <c r="K93" s="72">
        <v>0</v>
      </c>
      <c r="L93" s="72">
        <v>0</v>
      </c>
      <c r="M93" s="72">
        <v>0</v>
      </c>
      <c r="N93" s="72">
        <v>0</v>
      </c>
      <c r="O93" s="72">
        <v>0</v>
      </c>
      <c r="P93" s="72">
        <v>0</v>
      </c>
    </row>
    <row r="94" spans="1:16" hidden="1" x14ac:dyDescent="0.2">
      <c r="A94" s="74"/>
      <c r="B94" s="14" t="str">
        <f>IF(OR((B90="~"),(C94="~")),"~","")</f>
        <v>~</v>
      </c>
      <c r="C94" s="14" t="s">
        <v>205</v>
      </c>
      <c r="E94" s="72">
        <f t="shared" si="25"/>
        <v>0</v>
      </c>
      <c r="F94" s="72"/>
      <c r="G94" s="72">
        <v>0</v>
      </c>
      <c r="H94" s="72">
        <v>0</v>
      </c>
      <c r="I94" s="72">
        <v>0</v>
      </c>
      <c r="J94" s="72">
        <v>0</v>
      </c>
      <c r="K94" s="72">
        <v>0</v>
      </c>
      <c r="L94" s="72">
        <v>0</v>
      </c>
      <c r="M94" s="72">
        <v>0</v>
      </c>
      <c r="N94" s="72">
        <v>0</v>
      </c>
      <c r="O94" s="72">
        <v>0</v>
      </c>
      <c r="P94" s="72">
        <v>0</v>
      </c>
    </row>
    <row r="95" spans="1:16" hidden="1" x14ac:dyDescent="0.2">
      <c r="A95" s="74"/>
      <c r="B95" s="14" t="str">
        <f>IF(OR((B90="~"),(C95="~")),"~","")</f>
        <v>~</v>
      </c>
      <c r="C95" s="14" t="s">
        <v>205</v>
      </c>
      <c r="E95" s="72">
        <f t="shared" si="25"/>
        <v>0</v>
      </c>
      <c r="F95" s="72"/>
      <c r="G95" s="72">
        <v>0</v>
      </c>
      <c r="H95" s="72">
        <v>0</v>
      </c>
      <c r="I95" s="72">
        <v>0</v>
      </c>
      <c r="J95" s="72">
        <v>0</v>
      </c>
      <c r="K95" s="72">
        <v>0</v>
      </c>
      <c r="L95" s="72">
        <v>0</v>
      </c>
      <c r="M95" s="72">
        <v>0</v>
      </c>
      <c r="N95" s="72">
        <v>0</v>
      </c>
      <c r="O95" s="72">
        <v>0</v>
      </c>
      <c r="P95" s="72">
        <v>0</v>
      </c>
    </row>
    <row r="96" spans="1:16" hidden="1" x14ac:dyDescent="0.2">
      <c r="A96" s="74"/>
      <c r="B96" s="14" t="str">
        <f>IF(OR((B90="~"),(C96="~")),"~","")</f>
        <v>~</v>
      </c>
      <c r="C96" s="14" t="s">
        <v>205</v>
      </c>
      <c r="E96" s="72">
        <f t="shared" si="25"/>
        <v>0</v>
      </c>
      <c r="F96" s="72"/>
      <c r="G96" s="72">
        <v>0</v>
      </c>
      <c r="H96" s="72">
        <v>0</v>
      </c>
      <c r="I96" s="72">
        <v>0</v>
      </c>
      <c r="J96" s="72">
        <v>0</v>
      </c>
      <c r="K96" s="72">
        <v>0</v>
      </c>
      <c r="L96" s="72">
        <v>0</v>
      </c>
      <c r="M96" s="72">
        <v>0</v>
      </c>
      <c r="N96" s="72">
        <v>0</v>
      </c>
      <c r="O96" s="72">
        <v>0</v>
      </c>
      <c r="P96" s="72">
        <v>0</v>
      </c>
    </row>
    <row r="97" spans="1:16" hidden="1" x14ac:dyDescent="0.2">
      <c r="A97" s="31"/>
      <c r="B97" s="26" t="str">
        <f>IF(OR((B90="~"),(C97="~")),"~","")</f>
        <v>~</v>
      </c>
      <c r="C97" s="26" t="str">
        <f>IF(B90="~","~","Sub-total")</f>
        <v>~</v>
      </c>
      <c r="D97" s="26"/>
      <c r="E97" s="28">
        <f>SUM(E91:E96)</f>
        <v>0</v>
      </c>
      <c r="F97" s="28"/>
      <c r="G97" s="28">
        <f t="shared" ref="G97:M97" si="26">SUM(G91:G96)</f>
        <v>0</v>
      </c>
      <c r="H97" s="28">
        <f t="shared" si="26"/>
        <v>0</v>
      </c>
      <c r="I97" s="28">
        <f t="shared" si="26"/>
        <v>0</v>
      </c>
      <c r="J97" s="28">
        <f t="shared" si="26"/>
        <v>0</v>
      </c>
      <c r="K97" s="28">
        <f t="shared" si="26"/>
        <v>0</v>
      </c>
      <c r="L97" s="28">
        <f t="shared" si="26"/>
        <v>0</v>
      </c>
      <c r="M97" s="28">
        <f t="shared" si="26"/>
        <v>0</v>
      </c>
      <c r="N97" s="28">
        <f>SUM(N91:N96)</f>
        <v>0</v>
      </c>
      <c r="O97" s="28">
        <f>SUM(O91:O96)</f>
        <v>0</v>
      </c>
      <c r="P97" s="28">
        <f>SUM(P91:P96)</f>
        <v>0</v>
      </c>
    </row>
    <row r="98" spans="1:16" hidden="1" x14ac:dyDescent="0.2">
      <c r="A98" s="74"/>
      <c r="B98" s="14" t="str">
        <f>IF(OR((B90="~"),(C98="~")),"~","")</f>
        <v>~</v>
      </c>
      <c r="C98" s="13"/>
    </row>
    <row r="99" spans="1:16" hidden="1" x14ac:dyDescent="0.2">
      <c r="A99" s="74"/>
      <c r="B99" s="14" t="s">
        <v>205</v>
      </c>
      <c r="C99" s="13"/>
    </row>
    <row r="100" spans="1:16" hidden="1" x14ac:dyDescent="0.2">
      <c r="A100" s="74"/>
      <c r="B100" s="14" t="str">
        <f>IF(OR((B99="~"),(C100="~")),"~","")</f>
        <v>~</v>
      </c>
      <c r="C100" s="14" t="s">
        <v>205</v>
      </c>
      <c r="E100" s="72">
        <f t="shared" ref="E100:E105" si="27">SUM(G100:P100)</f>
        <v>0</v>
      </c>
      <c r="F100" s="72"/>
      <c r="G100" s="72">
        <v>0</v>
      </c>
      <c r="H100" s="72">
        <v>0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  <c r="N100" s="72">
        <v>0</v>
      </c>
      <c r="O100" s="72">
        <v>0</v>
      </c>
      <c r="P100" s="72">
        <v>0</v>
      </c>
    </row>
    <row r="101" spans="1:16" hidden="1" x14ac:dyDescent="0.2">
      <c r="A101" s="74"/>
      <c r="B101" s="14" t="str">
        <f>IF(OR((B99="~"),(C101="~")),"~","")</f>
        <v>~</v>
      </c>
      <c r="C101" s="14" t="s">
        <v>205</v>
      </c>
      <c r="E101" s="72">
        <f t="shared" si="27"/>
        <v>0</v>
      </c>
      <c r="F101" s="72"/>
      <c r="G101" s="72">
        <v>0</v>
      </c>
      <c r="H101" s="72">
        <v>0</v>
      </c>
      <c r="I101" s="72">
        <v>0</v>
      </c>
      <c r="J101" s="72">
        <v>0</v>
      </c>
      <c r="K101" s="72">
        <v>0</v>
      </c>
      <c r="L101" s="72">
        <v>0</v>
      </c>
      <c r="M101" s="72">
        <v>0</v>
      </c>
      <c r="N101" s="72">
        <v>0</v>
      </c>
      <c r="O101" s="72">
        <v>0</v>
      </c>
      <c r="P101" s="72">
        <v>0</v>
      </c>
    </row>
    <row r="102" spans="1:16" hidden="1" x14ac:dyDescent="0.2">
      <c r="A102" s="74"/>
      <c r="B102" s="14" t="str">
        <f>IF(OR((B99="~"),(C102="~")),"~","")</f>
        <v>~</v>
      </c>
      <c r="C102" s="14" t="s">
        <v>205</v>
      </c>
      <c r="E102" s="72">
        <f t="shared" si="27"/>
        <v>0</v>
      </c>
      <c r="F102" s="72"/>
      <c r="G102" s="72">
        <v>0</v>
      </c>
      <c r="H102" s="72">
        <v>0</v>
      </c>
      <c r="I102" s="72">
        <v>0</v>
      </c>
      <c r="J102" s="72">
        <v>0</v>
      </c>
      <c r="K102" s="72">
        <v>0</v>
      </c>
      <c r="L102" s="72">
        <v>0</v>
      </c>
      <c r="M102" s="72">
        <v>0</v>
      </c>
      <c r="N102" s="72">
        <v>0</v>
      </c>
      <c r="O102" s="72">
        <v>0</v>
      </c>
      <c r="P102" s="72">
        <v>0</v>
      </c>
    </row>
    <row r="103" spans="1:16" hidden="1" x14ac:dyDescent="0.2">
      <c r="A103" s="74"/>
      <c r="B103" s="14" t="str">
        <f>IF(OR((B99="~"),(C103="~")),"~","")</f>
        <v>~</v>
      </c>
      <c r="C103" s="14" t="s">
        <v>205</v>
      </c>
      <c r="E103" s="72">
        <f t="shared" si="27"/>
        <v>0</v>
      </c>
      <c r="F103" s="72"/>
      <c r="G103" s="72">
        <v>0</v>
      </c>
      <c r="H103" s="72">
        <v>0</v>
      </c>
      <c r="I103" s="72">
        <v>0</v>
      </c>
      <c r="J103" s="72">
        <v>0</v>
      </c>
      <c r="K103" s="72">
        <v>0</v>
      </c>
      <c r="L103" s="72">
        <v>0</v>
      </c>
      <c r="M103" s="72">
        <v>0</v>
      </c>
      <c r="N103" s="72">
        <v>0</v>
      </c>
      <c r="O103" s="72">
        <v>0</v>
      </c>
      <c r="P103" s="72">
        <v>0</v>
      </c>
    </row>
    <row r="104" spans="1:16" hidden="1" x14ac:dyDescent="0.2">
      <c r="A104" s="74"/>
      <c r="B104" s="14" t="str">
        <f>IF(OR((B99="~"),(C104="~")),"~","")</f>
        <v>~</v>
      </c>
      <c r="C104" s="14" t="s">
        <v>205</v>
      </c>
      <c r="E104" s="72">
        <f t="shared" si="27"/>
        <v>0</v>
      </c>
      <c r="F104" s="72"/>
      <c r="G104" s="72">
        <v>0</v>
      </c>
      <c r="H104" s="72">
        <v>0</v>
      </c>
      <c r="I104" s="72">
        <v>0</v>
      </c>
      <c r="J104" s="72">
        <v>0</v>
      </c>
      <c r="K104" s="72">
        <v>0</v>
      </c>
      <c r="L104" s="72">
        <v>0</v>
      </c>
      <c r="M104" s="72">
        <v>0</v>
      </c>
      <c r="N104" s="72">
        <v>0</v>
      </c>
      <c r="O104" s="72">
        <v>0</v>
      </c>
      <c r="P104" s="72">
        <v>0</v>
      </c>
    </row>
    <row r="105" spans="1:16" hidden="1" x14ac:dyDescent="0.2">
      <c r="A105" s="74"/>
      <c r="B105" s="14" t="str">
        <f>IF(OR((B99="~"),(C105="~")),"~","")</f>
        <v>~</v>
      </c>
      <c r="C105" s="14" t="s">
        <v>205</v>
      </c>
      <c r="E105" s="72">
        <f t="shared" si="27"/>
        <v>0</v>
      </c>
      <c r="F105" s="72"/>
      <c r="G105" s="72">
        <v>0</v>
      </c>
      <c r="H105" s="72">
        <v>0</v>
      </c>
      <c r="I105" s="72">
        <v>0</v>
      </c>
      <c r="J105" s="72">
        <v>0</v>
      </c>
      <c r="K105" s="72">
        <v>0</v>
      </c>
      <c r="L105" s="72">
        <v>0</v>
      </c>
      <c r="M105" s="72">
        <v>0</v>
      </c>
      <c r="N105" s="72">
        <v>0</v>
      </c>
      <c r="O105" s="72">
        <v>0</v>
      </c>
      <c r="P105" s="72">
        <v>0</v>
      </c>
    </row>
    <row r="106" spans="1:16" hidden="1" x14ac:dyDescent="0.2">
      <c r="A106" s="31"/>
      <c r="B106" s="26" t="str">
        <f>IF(OR((B99="~"),(C106="~")),"~","")</f>
        <v>~</v>
      </c>
      <c r="C106" s="26" t="str">
        <f>IF(B99="~","~","Sub-total")</f>
        <v>~</v>
      </c>
      <c r="D106" s="26"/>
      <c r="E106" s="28">
        <f>SUM(E100:E105)</f>
        <v>0</v>
      </c>
      <c r="F106" s="28"/>
      <c r="G106" s="28">
        <f t="shared" ref="G106:M106" si="28">SUM(G100:G105)</f>
        <v>0</v>
      </c>
      <c r="H106" s="28">
        <f t="shared" si="28"/>
        <v>0</v>
      </c>
      <c r="I106" s="28">
        <f t="shared" si="28"/>
        <v>0</v>
      </c>
      <c r="J106" s="28">
        <f t="shared" si="28"/>
        <v>0</v>
      </c>
      <c r="K106" s="28">
        <f t="shared" si="28"/>
        <v>0</v>
      </c>
      <c r="L106" s="28">
        <f t="shared" si="28"/>
        <v>0</v>
      </c>
      <c r="M106" s="28">
        <f t="shared" si="28"/>
        <v>0</v>
      </c>
      <c r="N106" s="28">
        <f>SUM(N100:N105)</f>
        <v>0</v>
      </c>
      <c r="O106" s="28">
        <f>SUM(O100:O105)</f>
        <v>0</v>
      </c>
      <c r="P106" s="28">
        <f>SUM(P100:P105)</f>
        <v>0</v>
      </c>
    </row>
    <row r="107" spans="1:16" hidden="1" x14ac:dyDescent="0.2">
      <c r="A107" s="74"/>
      <c r="B107" s="14" t="str">
        <f>IF(OR((B99="~"),(C107="~")),"~","")</f>
        <v>~</v>
      </c>
      <c r="C107" s="13"/>
    </row>
    <row r="108" spans="1:16" hidden="1" x14ac:dyDescent="0.2">
      <c r="A108" s="74"/>
      <c r="B108" s="14" t="s">
        <v>205</v>
      </c>
      <c r="C108" s="13"/>
    </row>
    <row r="109" spans="1:16" hidden="1" x14ac:dyDescent="0.2">
      <c r="A109" s="74"/>
      <c r="B109" s="14" t="str">
        <f>IF(OR((B108="~"),(C109="~")),"~","")</f>
        <v>~</v>
      </c>
      <c r="C109" s="14" t="s">
        <v>205</v>
      </c>
      <c r="E109" s="72">
        <f t="shared" ref="E109:E114" si="29">SUM(G109:P109)</f>
        <v>0</v>
      </c>
      <c r="F109" s="72"/>
      <c r="G109" s="72">
        <v>0</v>
      </c>
      <c r="H109" s="72">
        <v>0</v>
      </c>
      <c r="I109" s="72">
        <v>0</v>
      </c>
      <c r="J109" s="72">
        <v>0</v>
      </c>
      <c r="K109" s="72">
        <v>0</v>
      </c>
      <c r="L109" s="72">
        <v>0</v>
      </c>
      <c r="M109" s="72">
        <v>0</v>
      </c>
      <c r="N109" s="72">
        <v>0</v>
      </c>
      <c r="O109" s="72">
        <v>0</v>
      </c>
      <c r="P109" s="72">
        <v>0</v>
      </c>
    </row>
    <row r="110" spans="1:16" hidden="1" x14ac:dyDescent="0.2">
      <c r="A110" s="74"/>
      <c r="B110" s="14" t="str">
        <f>IF(OR((B108="~"),(C110="~")),"~","")</f>
        <v>~</v>
      </c>
      <c r="C110" s="14" t="s">
        <v>205</v>
      </c>
      <c r="E110" s="72">
        <f t="shared" si="29"/>
        <v>0</v>
      </c>
      <c r="F110" s="72"/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  <c r="O110" s="72">
        <v>0</v>
      </c>
      <c r="P110" s="72">
        <v>0</v>
      </c>
    </row>
    <row r="111" spans="1:16" hidden="1" x14ac:dyDescent="0.2">
      <c r="A111" s="74"/>
      <c r="B111" s="14" t="str">
        <f>IF(OR((B108="~"),(C111="~")),"~","")</f>
        <v>~</v>
      </c>
      <c r="C111" s="14" t="s">
        <v>205</v>
      </c>
      <c r="E111" s="72">
        <f t="shared" si="29"/>
        <v>0</v>
      </c>
      <c r="F111" s="72"/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0</v>
      </c>
      <c r="N111" s="72">
        <v>0</v>
      </c>
      <c r="O111" s="72">
        <v>0</v>
      </c>
      <c r="P111" s="72">
        <v>0</v>
      </c>
    </row>
    <row r="112" spans="1:16" hidden="1" x14ac:dyDescent="0.2">
      <c r="A112" s="74"/>
      <c r="B112" s="14" t="str">
        <f>IF(OR((B108="~"),(C112="~")),"~","")</f>
        <v>~</v>
      </c>
      <c r="C112" s="14" t="s">
        <v>205</v>
      </c>
      <c r="E112" s="72">
        <f t="shared" si="29"/>
        <v>0</v>
      </c>
      <c r="F112" s="72"/>
      <c r="G112" s="72">
        <v>0</v>
      </c>
      <c r="H112" s="72">
        <v>0</v>
      </c>
      <c r="I112" s="72">
        <v>0</v>
      </c>
      <c r="J112" s="72">
        <v>0</v>
      </c>
      <c r="K112" s="72">
        <v>0</v>
      </c>
      <c r="L112" s="72">
        <v>0</v>
      </c>
      <c r="M112" s="72">
        <v>0</v>
      </c>
      <c r="N112" s="72">
        <v>0</v>
      </c>
      <c r="O112" s="72">
        <v>0</v>
      </c>
      <c r="P112" s="72">
        <v>0</v>
      </c>
    </row>
    <row r="113" spans="1:16" hidden="1" x14ac:dyDescent="0.2">
      <c r="A113" s="74"/>
      <c r="B113" s="14" t="str">
        <f>IF(OR((B108="~"),(C113="~")),"~","")</f>
        <v>~</v>
      </c>
      <c r="C113" s="14" t="s">
        <v>205</v>
      </c>
      <c r="E113" s="72">
        <f t="shared" si="29"/>
        <v>0</v>
      </c>
      <c r="F113" s="72"/>
      <c r="G113" s="72">
        <v>0</v>
      </c>
      <c r="H113" s="72">
        <v>0</v>
      </c>
      <c r="I113" s="72">
        <v>0</v>
      </c>
      <c r="J113" s="72">
        <v>0</v>
      </c>
      <c r="K113" s="72">
        <v>0</v>
      </c>
      <c r="L113" s="72">
        <v>0</v>
      </c>
      <c r="M113" s="72">
        <v>0</v>
      </c>
      <c r="N113" s="72">
        <v>0</v>
      </c>
      <c r="O113" s="72">
        <v>0</v>
      </c>
      <c r="P113" s="72">
        <v>0</v>
      </c>
    </row>
    <row r="114" spans="1:16" hidden="1" x14ac:dyDescent="0.2">
      <c r="A114" s="74"/>
      <c r="B114" s="14" t="str">
        <f>IF(OR((B108="~"),(C114="~")),"~","")</f>
        <v>~</v>
      </c>
      <c r="C114" s="14" t="s">
        <v>205</v>
      </c>
      <c r="E114" s="72">
        <f t="shared" si="29"/>
        <v>0</v>
      </c>
      <c r="F114" s="72"/>
      <c r="G114" s="72">
        <v>0</v>
      </c>
      <c r="H114" s="72">
        <v>0</v>
      </c>
      <c r="I114" s="72">
        <v>0</v>
      </c>
      <c r="J114" s="72">
        <v>0</v>
      </c>
      <c r="K114" s="72">
        <v>0</v>
      </c>
      <c r="L114" s="72">
        <v>0</v>
      </c>
      <c r="M114" s="72">
        <v>0</v>
      </c>
      <c r="N114" s="72">
        <v>0</v>
      </c>
      <c r="O114" s="72">
        <v>0</v>
      </c>
      <c r="P114" s="72">
        <v>0</v>
      </c>
    </row>
    <row r="115" spans="1:16" hidden="1" x14ac:dyDescent="0.2">
      <c r="A115" s="31"/>
      <c r="B115" s="26" t="str">
        <f>IF(OR((B108="~"),(C115="~")),"~","")</f>
        <v>~</v>
      </c>
      <c r="C115" s="26" t="str">
        <f>IF(B108="~","~","Sub-total")</f>
        <v>~</v>
      </c>
      <c r="D115" s="26"/>
      <c r="E115" s="28">
        <f>SUM(E109:E114)</f>
        <v>0</v>
      </c>
      <c r="F115" s="28"/>
      <c r="G115" s="28">
        <f t="shared" ref="G115:M115" si="30">SUM(G109:G114)</f>
        <v>0</v>
      </c>
      <c r="H115" s="28">
        <f t="shared" si="30"/>
        <v>0</v>
      </c>
      <c r="I115" s="28">
        <f t="shared" si="30"/>
        <v>0</v>
      </c>
      <c r="J115" s="28">
        <f t="shared" si="30"/>
        <v>0</v>
      </c>
      <c r="K115" s="28">
        <f t="shared" si="30"/>
        <v>0</v>
      </c>
      <c r="L115" s="28">
        <f t="shared" si="30"/>
        <v>0</v>
      </c>
      <c r="M115" s="28">
        <f t="shared" si="30"/>
        <v>0</v>
      </c>
      <c r="N115" s="28">
        <f>SUM(N109:N114)</f>
        <v>0</v>
      </c>
      <c r="O115" s="28">
        <f>SUM(O109:O114)</f>
        <v>0</v>
      </c>
      <c r="P115" s="28">
        <f>SUM(P109:P114)</f>
        <v>0</v>
      </c>
    </row>
    <row r="116" spans="1:16" hidden="1" x14ac:dyDescent="0.2">
      <c r="A116" s="74"/>
      <c r="B116" s="14" t="str">
        <f>IF(OR((B108="~"),(C116="~")),"~","")</f>
        <v>~</v>
      </c>
      <c r="C116" s="13"/>
    </row>
    <row r="117" spans="1:16" hidden="1" x14ac:dyDescent="0.2">
      <c r="A117" s="74"/>
      <c r="B117" s="14" t="s">
        <v>205</v>
      </c>
      <c r="C117" s="13"/>
    </row>
    <row r="118" spans="1:16" hidden="1" x14ac:dyDescent="0.2">
      <c r="A118" s="74"/>
      <c r="B118" s="14" t="str">
        <f>IF(OR((B117="~"),(C118="~")),"~","")</f>
        <v>~</v>
      </c>
      <c r="C118" s="14" t="s">
        <v>205</v>
      </c>
      <c r="E118" s="72">
        <f t="shared" ref="E118:E123" si="31">SUM(G118:P118)</f>
        <v>0</v>
      </c>
      <c r="F118" s="72"/>
      <c r="G118" s="72">
        <v>0</v>
      </c>
      <c r="H118" s="72">
        <v>0</v>
      </c>
      <c r="I118" s="72">
        <v>0</v>
      </c>
      <c r="J118" s="72">
        <v>0</v>
      </c>
      <c r="K118" s="72">
        <v>0</v>
      </c>
      <c r="L118" s="72">
        <v>0</v>
      </c>
      <c r="M118" s="72">
        <v>0</v>
      </c>
      <c r="N118" s="72">
        <v>0</v>
      </c>
      <c r="O118" s="72">
        <v>0</v>
      </c>
      <c r="P118" s="72">
        <v>0</v>
      </c>
    </row>
    <row r="119" spans="1:16" hidden="1" x14ac:dyDescent="0.2">
      <c r="A119" s="74"/>
      <c r="B119" s="14" t="str">
        <f>IF(OR((B117="~"),(C119="~")),"~","")</f>
        <v>~</v>
      </c>
      <c r="C119" s="14" t="s">
        <v>205</v>
      </c>
      <c r="E119" s="72">
        <f t="shared" si="31"/>
        <v>0</v>
      </c>
      <c r="F119" s="72"/>
      <c r="G119" s="72">
        <v>0</v>
      </c>
      <c r="H119" s="72">
        <v>0</v>
      </c>
      <c r="I119" s="72">
        <v>0</v>
      </c>
      <c r="J119" s="72">
        <v>0</v>
      </c>
      <c r="K119" s="72">
        <v>0</v>
      </c>
      <c r="L119" s="72">
        <v>0</v>
      </c>
      <c r="M119" s="72">
        <v>0</v>
      </c>
      <c r="N119" s="72">
        <v>0</v>
      </c>
      <c r="O119" s="72">
        <v>0</v>
      </c>
      <c r="P119" s="72">
        <v>0</v>
      </c>
    </row>
    <row r="120" spans="1:16" hidden="1" x14ac:dyDescent="0.2">
      <c r="A120" s="74"/>
      <c r="B120" s="14" t="str">
        <f>IF(OR((B117="~"),(C120="~")),"~","")</f>
        <v>~</v>
      </c>
      <c r="C120" s="14" t="s">
        <v>205</v>
      </c>
      <c r="E120" s="72">
        <f t="shared" si="31"/>
        <v>0</v>
      </c>
      <c r="F120" s="72"/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72">
        <v>0</v>
      </c>
      <c r="M120" s="72">
        <v>0</v>
      </c>
      <c r="N120" s="72">
        <v>0</v>
      </c>
      <c r="O120" s="72">
        <v>0</v>
      </c>
      <c r="P120" s="72">
        <v>0</v>
      </c>
    </row>
    <row r="121" spans="1:16" hidden="1" x14ac:dyDescent="0.2">
      <c r="A121" s="74"/>
      <c r="B121" s="14" t="str">
        <f>IF(OR((B117="~"),(C121="~")),"~","")</f>
        <v>~</v>
      </c>
      <c r="C121" s="14" t="s">
        <v>205</v>
      </c>
      <c r="E121" s="72">
        <f t="shared" si="31"/>
        <v>0</v>
      </c>
      <c r="F121" s="72"/>
      <c r="G121" s="72">
        <v>0</v>
      </c>
      <c r="H121" s="72">
        <v>0</v>
      </c>
      <c r="I121" s="72">
        <v>0</v>
      </c>
      <c r="J121" s="72">
        <v>0</v>
      </c>
      <c r="K121" s="72">
        <v>0</v>
      </c>
      <c r="L121" s="72">
        <v>0</v>
      </c>
      <c r="M121" s="72">
        <v>0</v>
      </c>
      <c r="N121" s="72">
        <v>0</v>
      </c>
      <c r="O121" s="72">
        <v>0</v>
      </c>
      <c r="P121" s="72">
        <v>0</v>
      </c>
    </row>
    <row r="122" spans="1:16" hidden="1" x14ac:dyDescent="0.2">
      <c r="A122" s="74"/>
      <c r="B122" s="14" t="str">
        <f>IF(OR((B117="~"),(C122="~")),"~","")</f>
        <v>~</v>
      </c>
      <c r="C122" s="14" t="s">
        <v>205</v>
      </c>
      <c r="E122" s="72">
        <f t="shared" si="31"/>
        <v>0</v>
      </c>
      <c r="F122" s="72"/>
      <c r="G122" s="72">
        <v>0</v>
      </c>
      <c r="H122" s="72">
        <v>0</v>
      </c>
      <c r="I122" s="72">
        <v>0</v>
      </c>
      <c r="J122" s="72">
        <v>0</v>
      </c>
      <c r="K122" s="72">
        <v>0</v>
      </c>
      <c r="L122" s="72">
        <v>0</v>
      </c>
      <c r="M122" s="72">
        <v>0</v>
      </c>
      <c r="N122" s="72">
        <v>0</v>
      </c>
      <c r="O122" s="72">
        <v>0</v>
      </c>
      <c r="P122" s="72">
        <v>0</v>
      </c>
    </row>
    <row r="123" spans="1:16" hidden="1" x14ac:dyDescent="0.2">
      <c r="A123" s="74"/>
      <c r="B123" s="14" t="str">
        <f>IF(OR((B117="~"),(C123="~")),"~","")</f>
        <v>~</v>
      </c>
      <c r="C123" s="14" t="s">
        <v>205</v>
      </c>
      <c r="E123" s="72">
        <f t="shared" si="31"/>
        <v>0</v>
      </c>
      <c r="F123" s="72"/>
      <c r="G123" s="72">
        <v>0</v>
      </c>
      <c r="H123" s="72">
        <v>0</v>
      </c>
      <c r="I123" s="72">
        <v>0</v>
      </c>
      <c r="J123" s="72">
        <v>0</v>
      </c>
      <c r="K123" s="72">
        <v>0</v>
      </c>
      <c r="L123" s="72">
        <v>0</v>
      </c>
      <c r="M123" s="72">
        <v>0</v>
      </c>
      <c r="N123" s="72">
        <v>0</v>
      </c>
      <c r="O123" s="72">
        <v>0</v>
      </c>
      <c r="P123" s="72">
        <v>0</v>
      </c>
    </row>
    <row r="124" spans="1:16" hidden="1" x14ac:dyDescent="0.2">
      <c r="A124" s="31"/>
      <c r="B124" s="26" t="str">
        <f>IF(OR((B117="~"),(C124="~")),"~","")</f>
        <v>~</v>
      </c>
      <c r="C124" s="26" t="str">
        <f>IF(B117="~","~","Sub-total")</f>
        <v>~</v>
      </c>
      <c r="D124" s="26"/>
      <c r="E124" s="28">
        <f>SUM(E118:E123)</f>
        <v>0</v>
      </c>
      <c r="F124" s="28"/>
      <c r="G124" s="28">
        <f t="shared" ref="G124:M124" si="32">SUM(G118:G123)</f>
        <v>0</v>
      </c>
      <c r="H124" s="28">
        <f t="shared" si="32"/>
        <v>0</v>
      </c>
      <c r="I124" s="28">
        <f t="shared" si="32"/>
        <v>0</v>
      </c>
      <c r="J124" s="28">
        <f t="shared" si="32"/>
        <v>0</v>
      </c>
      <c r="K124" s="28">
        <f t="shared" si="32"/>
        <v>0</v>
      </c>
      <c r="L124" s="28">
        <f t="shared" si="32"/>
        <v>0</v>
      </c>
      <c r="M124" s="28">
        <f t="shared" si="32"/>
        <v>0</v>
      </c>
      <c r="N124" s="28">
        <f>SUM(N118:N123)</f>
        <v>0</v>
      </c>
      <c r="O124" s="28">
        <f>SUM(O118:O123)</f>
        <v>0</v>
      </c>
      <c r="P124" s="28">
        <f>SUM(P118:P123)</f>
        <v>0</v>
      </c>
    </row>
    <row r="125" spans="1:16" hidden="1" x14ac:dyDescent="0.2">
      <c r="A125" s="74"/>
      <c r="B125" s="14" t="str">
        <f>IF(OR((B117="~"),(C125="~")),"~","")</f>
        <v>~</v>
      </c>
      <c r="C125" s="13"/>
    </row>
    <row r="126" spans="1:16" hidden="1" x14ac:dyDescent="0.2">
      <c r="A126" s="74"/>
      <c r="B126" s="14" t="s">
        <v>205</v>
      </c>
      <c r="C126" s="13"/>
    </row>
    <row r="127" spans="1:16" hidden="1" x14ac:dyDescent="0.2">
      <c r="A127" s="74"/>
      <c r="B127" s="14" t="str">
        <f>IF(OR((B126="~"),(C127="~")),"~","")</f>
        <v>~</v>
      </c>
      <c r="C127" s="14" t="s">
        <v>205</v>
      </c>
      <c r="E127" s="72">
        <f t="shared" ref="E127:E132" si="33">SUM(G127:P127)</f>
        <v>0</v>
      </c>
      <c r="F127" s="72"/>
      <c r="G127" s="72">
        <v>0</v>
      </c>
      <c r="H127" s="72">
        <v>0</v>
      </c>
      <c r="I127" s="72">
        <v>0</v>
      </c>
      <c r="J127" s="72">
        <v>0</v>
      </c>
      <c r="K127" s="72">
        <v>0</v>
      </c>
      <c r="L127" s="72">
        <v>0</v>
      </c>
      <c r="M127" s="72">
        <v>0</v>
      </c>
      <c r="N127" s="72">
        <v>0</v>
      </c>
      <c r="O127" s="72">
        <v>0</v>
      </c>
      <c r="P127" s="72">
        <v>0</v>
      </c>
    </row>
    <row r="128" spans="1:16" hidden="1" x14ac:dyDescent="0.2">
      <c r="A128" s="74"/>
      <c r="B128" s="14" t="str">
        <f>IF(OR((B126="~"),(C128="~")),"~","")</f>
        <v>~</v>
      </c>
      <c r="C128" s="14" t="s">
        <v>205</v>
      </c>
      <c r="E128" s="72">
        <f t="shared" si="33"/>
        <v>0</v>
      </c>
      <c r="F128" s="72"/>
      <c r="G128" s="72">
        <v>0</v>
      </c>
      <c r="H128" s="72">
        <v>0</v>
      </c>
      <c r="I128" s="72">
        <v>0</v>
      </c>
      <c r="J128" s="72">
        <v>0</v>
      </c>
      <c r="K128" s="72">
        <v>0</v>
      </c>
      <c r="L128" s="72">
        <v>0</v>
      </c>
      <c r="M128" s="72">
        <v>0</v>
      </c>
      <c r="N128" s="72">
        <v>0</v>
      </c>
      <c r="O128" s="72">
        <v>0</v>
      </c>
      <c r="P128" s="72">
        <v>0</v>
      </c>
    </row>
    <row r="129" spans="1:16" hidden="1" x14ac:dyDescent="0.2">
      <c r="A129" s="74"/>
      <c r="B129" s="14" t="str">
        <f>IF(OR((B126="~"),(C129="~")),"~","")</f>
        <v>~</v>
      </c>
      <c r="C129" s="14" t="s">
        <v>205</v>
      </c>
      <c r="E129" s="72">
        <f t="shared" si="33"/>
        <v>0</v>
      </c>
      <c r="F129" s="72"/>
      <c r="G129" s="72">
        <v>0</v>
      </c>
      <c r="H129" s="72">
        <v>0</v>
      </c>
      <c r="I129" s="72">
        <v>0</v>
      </c>
      <c r="J129" s="72">
        <v>0</v>
      </c>
      <c r="K129" s="72">
        <v>0</v>
      </c>
      <c r="L129" s="72">
        <v>0</v>
      </c>
      <c r="M129" s="72">
        <v>0</v>
      </c>
      <c r="N129" s="72">
        <v>0</v>
      </c>
      <c r="O129" s="72">
        <v>0</v>
      </c>
      <c r="P129" s="72">
        <v>0</v>
      </c>
    </row>
    <row r="130" spans="1:16" hidden="1" x14ac:dyDescent="0.2">
      <c r="A130" s="74"/>
      <c r="B130" s="14" t="str">
        <f>IF(OR((B126="~"),(C130="~")),"~","")</f>
        <v>~</v>
      </c>
      <c r="C130" s="14" t="s">
        <v>205</v>
      </c>
      <c r="E130" s="72">
        <f t="shared" si="33"/>
        <v>0</v>
      </c>
      <c r="F130" s="72"/>
      <c r="G130" s="72">
        <v>0</v>
      </c>
      <c r="H130" s="72">
        <v>0</v>
      </c>
      <c r="I130" s="72">
        <v>0</v>
      </c>
      <c r="J130" s="72">
        <v>0</v>
      </c>
      <c r="K130" s="72">
        <v>0</v>
      </c>
      <c r="L130" s="72">
        <v>0</v>
      </c>
      <c r="M130" s="72">
        <v>0</v>
      </c>
      <c r="N130" s="72">
        <v>0</v>
      </c>
      <c r="O130" s="72">
        <v>0</v>
      </c>
      <c r="P130" s="72">
        <v>0</v>
      </c>
    </row>
    <row r="131" spans="1:16" hidden="1" x14ac:dyDescent="0.2">
      <c r="A131" s="74"/>
      <c r="B131" s="14" t="str">
        <f>IF(OR((B126="~"),(C131="~")),"~","")</f>
        <v>~</v>
      </c>
      <c r="C131" s="14" t="s">
        <v>205</v>
      </c>
      <c r="E131" s="72">
        <f t="shared" si="33"/>
        <v>0</v>
      </c>
      <c r="F131" s="72"/>
      <c r="G131" s="72">
        <v>0</v>
      </c>
      <c r="H131" s="72">
        <v>0</v>
      </c>
      <c r="I131" s="72">
        <v>0</v>
      </c>
      <c r="J131" s="72">
        <v>0</v>
      </c>
      <c r="K131" s="72">
        <v>0</v>
      </c>
      <c r="L131" s="72">
        <v>0</v>
      </c>
      <c r="M131" s="72">
        <v>0</v>
      </c>
      <c r="N131" s="72">
        <v>0</v>
      </c>
      <c r="O131" s="72">
        <v>0</v>
      </c>
      <c r="P131" s="72">
        <v>0</v>
      </c>
    </row>
    <row r="132" spans="1:16" hidden="1" x14ac:dyDescent="0.2">
      <c r="A132" s="74"/>
      <c r="B132" s="14" t="str">
        <f>IF(OR((B126="~"),(C132="~")),"~","")</f>
        <v>~</v>
      </c>
      <c r="C132" s="14" t="s">
        <v>205</v>
      </c>
      <c r="E132" s="72">
        <f t="shared" si="33"/>
        <v>0</v>
      </c>
      <c r="F132" s="72"/>
      <c r="G132" s="72">
        <v>0</v>
      </c>
      <c r="H132" s="72">
        <v>0</v>
      </c>
      <c r="I132" s="72">
        <v>0</v>
      </c>
      <c r="J132" s="72">
        <v>0</v>
      </c>
      <c r="K132" s="72">
        <v>0</v>
      </c>
      <c r="L132" s="72">
        <v>0</v>
      </c>
      <c r="M132" s="72">
        <v>0</v>
      </c>
      <c r="N132" s="72">
        <v>0</v>
      </c>
      <c r="O132" s="72">
        <v>0</v>
      </c>
      <c r="P132" s="72">
        <v>0</v>
      </c>
    </row>
    <row r="133" spans="1:16" hidden="1" x14ac:dyDescent="0.2">
      <c r="A133" s="31"/>
      <c r="B133" s="26" t="str">
        <f>IF(OR((B126="~"),(C133="~")),"~","")</f>
        <v>~</v>
      </c>
      <c r="C133" s="26" t="str">
        <f>IF(B126="~","~","Sub-total")</f>
        <v>~</v>
      </c>
      <c r="D133" s="26"/>
      <c r="E133" s="28">
        <f>SUM(E127:E132)</f>
        <v>0</v>
      </c>
      <c r="F133" s="28"/>
      <c r="G133" s="28">
        <f t="shared" ref="G133:M133" si="34">SUM(G127:G132)</f>
        <v>0</v>
      </c>
      <c r="H133" s="28">
        <f t="shared" si="34"/>
        <v>0</v>
      </c>
      <c r="I133" s="28">
        <f t="shared" si="34"/>
        <v>0</v>
      </c>
      <c r="J133" s="28">
        <f t="shared" si="34"/>
        <v>0</v>
      </c>
      <c r="K133" s="28">
        <f t="shared" si="34"/>
        <v>0</v>
      </c>
      <c r="L133" s="28">
        <f t="shared" si="34"/>
        <v>0</v>
      </c>
      <c r="M133" s="28">
        <f t="shared" si="34"/>
        <v>0</v>
      </c>
      <c r="N133" s="28">
        <f>SUM(N127:N132)</f>
        <v>0</v>
      </c>
      <c r="O133" s="28">
        <f>SUM(O127:O132)</f>
        <v>0</v>
      </c>
      <c r="P133" s="28">
        <f>SUM(P127:P132)</f>
        <v>0</v>
      </c>
    </row>
    <row r="134" spans="1:16" hidden="1" x14ac:dyDescent="0.2">
      <c r="A134" s="74"/>
      <c r="B134" s="14" t="str">
        <f>IF(OR((B126="~"),(C134="~")),"~","")</f>
        <v>~</v>
      </c>
      <c r="C134" s="13"/>
    </row>
    <row r="135" spans="1:16" hidden="1" x14ac:dyDescent="0.2">
      <c r="A135" s="74"/>
      <c r="B135" s="14" t="s">
        <v>205</v>
      </c>
      <c r="C135" s="13"/>
    </row>
    <row r="136" spans="1:16" hidden="1" x14ac:dyDescent="0.2">
      <c r="A136" s="74"/>
      <c r="B136" s="14" t="str">
        <f>IF(OR((B135="~"),(C136="~")),"~","")</f>
        <v>~</v>
      </c>
      <c r="C136" s="14" t="s">
        <v>205</v>
      </c>
      <c r="E136" s="72">
        <f t="shared" ref="E136:E141" si="35">SUM(G136:P136)</f>
        <v>0</v>
      </c>
      <c r="F136" s="72"/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0</v>
      </c>
      <c r="N136" s="72">
        <v>0</v>
      </c>
      <c r="O136" s="72">
        <v>0</v>
      </c>
      <c r="P136" s="72">
        <v>0</v>
      </c>
    </row>
    <row r="137" spans="1:16" hidden="1" x14ac:dyDescent="0.2">
      <c r="A137" s="74"/>
      <c r="B137" s="14" t="str">
        <f>IF(OR((B135="~"),(C137="~")),"~","")</f>
        <v>~</v>
      </c>
      <c r="C137" s="14" t="s">
        <v>205</v>
      </c>
      <c r="E137" s="72">
        <f t="shared" si="35"/>
        <v>0</v>
      </c>
      <c r="F137" s="72"/>
      <c r="G137" s="72">
        <v>0</v>
      </c>
      <c r="H137" s="72">
        <v>0</v>
      </c>
      <c r="I137" s="72">
        <v>0</v>
      </c>
      <c r="J137" s="72">
        <v>0</v>
      </c>
      <c r="K137" s="72">
        <v>0</v>
      </c>
      <c r="L137" s="72">
        <v>0</v>
      </c>
      <c r="M137" s="72">
        <v>0</v>
      </c>
      <c r="N137" s="72">
        <v>0</v>
      </c>
      <c r="O137" s="72">
        <v>0</v>
      </c>
      <c r="P137" s="72">
        <v>0</v>
      </c>
    </row>
    <row r="138" spans="1:16" hidden="1" x14ac:dyDescent="0.2">
      <c r="A138" s="74"/>
      <c r="B138" s="14" t="str">
        <f>IF(OR((B135="~"),(C138="~")),"~","")</f>
        <v>~</v>
      </c>
      <c r="C138" s="14" t="s">
        <v>205</v>
      </c>
      <c r="E138" s="72">
        <f t="shared" si="35"/>
        <v>0</v>
      </c>
      <c r="F138" s="72"/>
      <c r="G138" s="72">
        <v>0</v>
      </c>
      <c r="H138" s="72">
        <v>0</v>
      </c>
      <c r="I138" s="72">
        <v>0</v>
      </c>
      <c r="J138" s="72">
        <v>0</v>
      </c>
      <c r="K138" s="72">
        <v>0</v>
      </c>
      <c r="L138" s="72">
        <v>0</v>
      </c>
      <c r="M138" s="72">
        <v>0</v>
      </c>
      <c r="N138" s="72">
        <v>0</v>
      </c>
      <c r="O138" s="72">
        <v>0</v>
      </c>
      <c r="P138" s="72">
        <v>0</v>
      </c>
    </row>
    <row r="139" spans="1:16" hidden="1" x14ac:dyDescent="0.2">
      <c r="A139" s="74"/>
      <c r="B139" s="14" t="str">
        <f>IF(OR((B135="~"),(C139="~")),"~","")</f>
        <v>~</v>
      </c>
      <c r="C139" s="14" t="s">
        <v>205</v>
      </c>
      <c r="E139" s="72">
        <f t="shared" si="35"/>
        <v>0</v>
      </c>
      <c r="F139" s="72"/>
      <c r="G139" s="72">
        <v>0</v>
      </c>
      <c r="H139" s="72">
        <v>0</v>
      </c>
      <c r="I139" s="72">
        <v>0</v>
      </c>
      <c r="J139" s="72">
        <v>0</v>
      </c>
      <c r="K139" s="72">
        <v>0</v>
      </c>
      <c r="L139" s="72">
        <v>0</v>
      </c>
      <c r="M139" s="72">
        <v>0</v>
      </c>
      <c r="N139" s="72">
        <v>0</v>
      </c>
      <c r="O139" s="72">
        <v>0</v>
      </c>
      <c r="P139" s="72">
        <v>0</v>
      </c>
    </row>
    <row r="140" spans="1:16" hidden="1" x14ac:dyDescent="0.2">
      <c r="A140" s="74"/>
      <c r="B140" s="14" t="str">
        <f>IF(OR((B135="~"),(C140="~")),"~","")</f>
        <v>~</v>
      </c>
      <c r="C140" s="14" t="s">
        <v>205</v>
      </c>
      <c r="E140" s="72">
        <f t="shared" si="35"/>
        <v>0</v>
      </c>
      <c r="F140" s="72"/>
      <c r="G140" s="72">
        <v>0</v>
      </c>
      <c r="H140" s="72">
        <v>0</v>
      </c>
      <c r="I140" s="72">
        <v>0</v>
      </c>
      <c r="J140" s="72">
        <v>0</v>
      </c>
      <c r="K140" s="72">
        <v>0</v>
      </c>
      <c r="L140" s="72">
        <v>0</v>
      </c>
      <c r="M140" s="72">
        <v>0</v>
      </c>
      <c r="N140" s="72">
        <v>0</v>
      </c>
      <c r="O140" s="72">
        <v>0</v>
      </c>
      <c r="P140" s="72">
        <v>0</v>
      </c>
    </row>
    <row r="141" spans="1:16" hidden="1" x14ac:dyDescent="0.2">
      <c r="A141" s="74"/>
      <c r="B141" s="14" t="str">
        <f>IF(OR((B135="~"),(C141="~")),"~","")</f>
        <v>~</v>
      </c>
      <c r="C141" s="14" t="s">
        <v>205</v>
      </c>
      <c r="E141" s="72">
        <f t="shared" si="35"/>
        <v>0</v>
      </c>
      <c r="F141" s="72"/>
      <c r="G141" s="72">
        <v>0</v>
      </c>
      <c r="H141" s="72">
        <v>0</v>
      </c>
      <c r="I141" s="72">
        <v>0</v>
      </c>
      <c r="J141" s="72">
        <v>0</v>
      </c>
      <c r="K141" s="72">
        <v>0</v>
      </c>
      <c r="L141" s="72">
        <v>0</v>
      </c>
      <c r="M141" s="72">
        <v>0</v>
      </c>
      <c r="N141" s="72">
        <v>0</v>
      </c>
      <c r="O141" s="72">
        <v>0</v>
      </c>
      <c r="P141" s="72">
        <v>0</v>
      </c>
    </row>
    <row r="142" spans="1:16" hidden="1" x14ac:dyDescent="0.2">
      <c r="A142" s="31"/>
      <c r="B142" s="26" t="str">
        <f>IF(OR((B135="~"),(C142="~")),"~","")</f>
        <v>~</v>
      </c>
      <c r="C142" s="26" t="str">
        <f>IF(B135="~","~","Sub-total")</f>
        <v>~</v>
      </c>
      <c r="D142" s="26"/>
      <c r="E142" s="28">
        <f>SUM(E136:E141)</f>
        <v>0</v>
      </c>
      <c r="F142" s="28"/>
      <c r="G142" s="28">
        <f t="shared" ref="G142:M142" si="36">SUM(G136:G141)</f>
        <v>0</v>
      </c>
      <c r="H142" s="28">
        <f t="shared" si="36"/>
        <v>0</v>
      </c>
      <c r="I142" s="28">
        <f t="shared" si="36"/>
        <v>0</v>
      </c>
      <c r="J142" s="28">
        <f t="shared" si="36"/>
        <v>0</v>
      </c>
      <c r="K142" s="28">
        <f t="shared" si="36"/>
        <v>0</v>
      </c>
      <c r="L142" s="28">
        <f t="shared" si="36"/>
        <v>0</v>
      </c>
      <c r="M142" s="28">
        <f t="shared" si="36"/>
        <v>0</v>
      </c>
      <c r="N142" s="28">
        <f>SUM(N136:N141)</f>
        <v>0</v>
      </c>
      <c r="O142" s="28">
        <f>SUM(O136:O141)</f>
        <v>0</v>
      </c>
      <c r="P142" s="28">
        <f>SUM(P136:P141)</f>
        <v>0</v>
      </c>
    </row>
    <row r="143" spans="1:16" hidden="1" x14ac:dyDescent="0.2">
      <c r="A143" s="74"/>
      <c r="B143" s="14" t="str">
        <f>IF(OR((B135="~"),(C143="~")),"~","")</f>
        <v>~</v>
      </c>
      <c r="C143" s="13"/>
    </row>
    <row r="144" spans="1:16" x14ac:dyDescent="0.2">
      <c r="A144" s="74">
        <f>+A79+1</f>
        <v>27</v>
      </c>
    </row>
    <row r="145" spans="1:16" x14ac:dyDescent="0.2">
      <c r="A145" s="74">
        <f>+A144+1</f>
        <v>28</v>
      </c>
      <c r="C145" s="13" t="s">
        <v>49</v>
      </c>
    </row>
    <row r="146" spans="1:16" x14ac:dyDescent="0.2">
      <c r="A146" s="74">
        <f>+A145+1</f>
        <v>29</v>
      </c>
      <c r="B146" s="14" t="str">
        <f>IF(OR((C145="~"),(C146="~")),"~","")</f>
        <v/>
      </c>
      <c r="C146" s="14" t="s">
        <v>189</v>
      </c>
      <c r="E146" s="72">
        <f t="shared" ref="E146:E151" si="37">SUM(G146:P146)</f>
        <v>2421083216.3408675</v>
      </c>
      <c r="F146" s="72"/>
      <c r="G146" s="72">
        <f>SUM(G55,G64,G73)</f>
        <v>1558153247.3214278</v>
      </c>
      <c r="H146" s="72">
        <f t="shared" ref="H146:P146" si="38">SUM(H55,H64,H73)</f>
        <v>298470777.88474739</v>
      </c>
      <c r="I146" s="72">
        <f t="shared" si="38"/>
        <v>265760238.97054529</v>
      </c>
      <c r="J146" s="72">
        <f t="shared" si="38"/>
        <v>121119355.74617371</v>
      </c>
      <c r="K146" s="72">
        <f t="shared" si="38"/>
        <v>113726473.55347668</v>
      </c>
      <c r="L146" s="72">
        <f t="shared" si="38"/>
        <v>27373437.578405868</v>
      </c>
      <c r="M146" s="72">
        <f t="shared" si="38"/>
        <v>16570731.522801081</v>
      </c>
      <c r="N146" s="72">
        <f t="shared" si="38"/>
        <v>6911727.6111563882</v>
      </c>
      <c r="O146" s="72">
        <f t="shared" si="38"/>
        <v>12133850.101525782</v>
      </c>
      <c r="P146" s="72">
        <f t="shared" si="38"/>
        <v>863376.05060711072</v>
      </c>
    </row>
    <row r="147" spans="1:16" x14ac:dyDescent="0.2">
      <c r="A147" s="74">
        <f t="shared" ref="A147:A154" si="39">+A146+1</f>
        <v>30</v>
      </c>
      <c r="B147" s="14" t="str">
        <f>IF(OR((C145="~"),(C147="~")),"~","")</f>
        <v/>
      </c>
      <c r="C147" s="14" t="s">
        <v>203</v>
      </c>
      <c r="E147" s="72">
        <f t="shared" si="37"/>
        <v>2811870359.4504328</v>
      </c>
      <c r="F147" s="72"/>
      <c r="G147" s="72">
        <f t="shared" ref="G147:P147" si="40">SUM(G56,G65,G74)</f>
        <v>1428902309.5416932</v>
      </c>
      <c r="H147" s="72">
        <f t="shared" si="40"/>
        <v>363067310.31119448</v>
      </c>
      <c r="I147" s="72">
        <f t="shared" si="40"/>
        <v>403758652.69969773</v>
      </c>
      <c r="J147" s="72">
        <f t="shared" si="40"/>
        <v>260572033.19841635</v>
      </c>
      <c r="K147" s="72">
        <f t="shared" si="40"/>
        <v>197662800.55730236</v>
      </c>
      <c r="L147" s="72">
        <f t="shared" si="40"/>
        <v>10006431.888608154</v>
      </c>
      <c r="M147" s="72">
        <f t="shared" si="40"/>
        <v>78470164.815281332</v>
      </c>
      <c r="N147" s="72">
        <f t="shared" si="40"/>
        <v>59057135.347682245</v>
      </c>
      <c r="O147" s="72">
        <f t="shared" si="40"/>
        <v>9448780.6631534733</v>
      </c>
      <c r="P147" s="72">
        <f t="shared" si="40"/>
        <v>924740.42740275676</v>
      </c>
    </row>
    <row r="148" spans="1:16" x14ac:dyDescent="0.2">
      <c r="A148" s="74">
        <f t="shared" si="39"/>
        <v>31</v>
      </c>
      <c r="B148" s="14" t="str">
        <f>IF(OR((C145="~"),(C148="~")),"~","")</f>
        <v/>
      </c>
      <c r="C148" s="14" t="s">
        <v>204</v>
      </c>
      <c r="E148" s="72">
        <f t="shared" si="37"/>
        <v>195634503.87784091</v>
      </c>
      <c r="F148" s="72"/>
      <c r="G148" s="72">
        <f t="shared" ref="G148:P148" si="41">SUM(G57,G66,G75)</f>
        <v>145438529.65835547</v>
      </c>
      <c r="H148" s="72">
        <f t="shared" si="41"/>
        <v>-9721490.628468819</v>
      </c>
      <c r="I148" s="72">
        <f t="shared" si="41"/>
        <v>5337070.3214494819</v>
      </c>
      <c r="J148" s="72">
        <f t="shared" si="41"/>
        <v>1012596.4414488765</v>
      </c>
      <c r="K148" s="72">
        <f t="shared" si="41"/>
        <v>15225605.05289628</v>
      </c>
      <c r="L148" s="72">
        <f t="shared" si="41"/>
        <v>790544.47397552687</v>
      </c>
      <c r="M148" s="72">
        <f t="shared" si="41"/>
        <v>555868.93348716432</v>
      </c>
      <c r="N148" s="72">
        <f t="shared" si="41"/>
        <v>913524.3650035914</v>
      </c>
      <c r="O148" s="72">
        <f t="shared" si="41"/>
        <v>36074040.223888464</v>
      </c>
      <c r="P148" s="72">
        <f t="shared" si="41"/>
        <v>8215.0358048241706</v>
      </c>
    </row>
    <row r="149" spans="1:16" x14ac:dyDescent="0.2">
      <c r="A149" s="74">
        <f t="shared" si="39"/>
        <v>32</v>
      </c>
      <c r="B149" s="14" t="str">
        <f>IF(OR((C145="~"),(C149="~")),"~","")</f>
        <v>~</v>
      </c>
      <c r="C149" s="14" t="s">
        <v>205</v>
      </c>
      <c r="E149" s="72">
        <f t="shared" si="37"/>
        <v>0</v>
      </c>
      <c r="F149" s="72"/>
      <c r="G149" s="72">
        <f t="shared" ref="G149:P149" si="42">SUM(G58,G67,G76)</f>
        <v>0</v>
      </c>
      <c r="H149" s="72">
        <f t="shared" si="42"/>
        <v>0</v>
      </c>
      <c r="I149" s="72">
        <f t="shared" si="42"/>
        <v>0</v>
      </c>
      <c r="J149" s="72">
        <f t="shared" si="42"/>
        <v>0</v>
      </c>
      <c r="K149" s="72">
        <f t="shared" si="42"/>
        <v>0</v>
      </c>
      <c r="L149" s="72">
        <f t="shared" si="42"/>
        <v>0</v>
      </c>
      <c r="M149" s="72">
        <f t="shared" si="42"/>
        <v>0</v>
      </c>
      <c r="N149" s="72">
        <f t="shared" si="42"/>
        <v>0</v>
      </c>
      <c r="O149" s="72">
        <f t="shared" si="42"/>
        <v>0</v>
      </c>
      <c r="P149" s="72">
        <f t="shared" si="42"/>
        <v>0</v>
      </c>
    </row>
    <row r="150" spans="1:16" x14ac:dyDescent="0.2">
      <c r="A150" s="74">
        <f t="shared" si="39"/>
        <v>33</v>
      </c>
      <c r="B150" s="14" t="str">
        <f>IF(OR((C145="~"),(C150="~")),"~","")</f>
        <v>~</v>
      </c>
      <c r="C150" s="14" t="s">
        <v>205</v>
      </c>
      <c r="E150" s="72">
        <f t="shared" si="37"/>
        <v>0</v>
      </c>
      <c r="F150" s="72"/>
      <c r="G150" s="72">
        <f t="shared" ref="G150:P150" si="43">SUM(G59,G68,G77)</f>
        <v>0</v>
      </c>
      <c r="H150" s="72">
        <f t="shared" si="43"/>
        <v>0</v>
      </c>
      <c r="I150" s="72">
        <f t="shared" si="43"/>
        <v>0</v>
      </c>
      <c r="J150" s="72">
        <f t="shared" si="43"/>
        <v>0</v>
      </c>
      <c r="K150" s="72">
        <f t="shared" si="43"/>
        <v>0</v>
      </c>
      <c r="L150" s="72">
        <f t="shared" si="43"/>
        <v>0</v>
      </c>
      <c r="M150" s="72">
        <f t="shared" si="43"/>
        <v>0</v>
      </c>
      <c r="N150" s="72">
        <f t="shared" si="43"/>
        <v>0</v>
      </c>
      <c r="O150" s="72">
        <f t="shared" si="43"/>
        <v>0</v>
      </c>
      <c r="P150" s="72">
        <f t="shared" si="43"/>
        <v>0</v>
      </c>
    </row>
    <row r="151" spans="1:16" x14ac:dyDescent="0.2">
      <c r="A151" s="74">
        <f t="shared" si="39"/>
        <v>34</v>
      </c>
      <c r="B151" s="14" t="str">
        <f>IF(OR((C145="~"),(C151="~")),"~","")</f>
        <v>~</v>
      </c>
      <c r="C151" s="14" t="s">
        <v>205</v>
      </c>
      <c r="E151" s="72">
        <f t="shared" si="37"/>
        <v>0</v>
      </c>
      <c r="F151" s="72"/>
      <c r="G151" s="72">
        <f t="shared" ref="G151:P151" si="44">SUM(G60,G69,G78)</f>
        <v>0</v>
      </c>
      <c r="H151" s="72">
        <f t="shared" si="44"/>
        <v>0</v>
      </c>
      <c r="I151" s="72">
        <f t="shared" si="44"/>
        <v>0</v>
      </c>
      <c r="J151" s="72">
        <f t="shared" si="44"/>
        <v>0</v>
      </c>
      <c r="K151" s="72">
        <f t="shared" si="44"/>
        <v>0</v>
      </c>
      <c r="L151" s="72">
        <f t="shared" si="44"/>
        <v>0</v>
      </c>
      <c r="M151" s="72">
        <f t="shared" si="44"/>
        <v>0</v>
      </c>
      <c r="N151" s="72">
        <f t="shared" si="44"/>
        <v>0</v>
      </c>
      <c r="O151" s="72">
        <f t="shared" si="44"/>
        <v>0</v>
      </c>
      <c r="P151" s="72">
        <f t="shared" si="44"/>
        <v>0</v>
      </c>
    </row>
    <row r="152" spans="1:16" x14ac:dyDescent="0.2">
      <c r="A152" s="31">
        <f t="shared" si="39"/>
        <v>35</v>
      </c>
      <c r="B152" s="26"/>
      <c r="C152" s="26" t="str">
        <f>IF(C145="~","~","Sub-total")</f>
        <v>Sub-total</v>
      </c>
      <c r="D152" s="26"/>
      <c r="E152" s="28">
        <f>SUM(E146:E151)</f>
        <v>5428588079.6691408</v>
      </c>
      <c r="F152" s="28"/>
      <c r="G152" s="28">
        <f t="shared" ref="G152:M152" si="45">SUM(G146:G151)</f>
        <v>3132494086.5214767</v>
      </c>
      <c r="H152" s="28">
        <f t="shared" si="45"/>
        <v>651816597.56747305</v>
      </c>
      <c r="I152" s="28">
        <f t="shared" si="45"/>
        <v>674855961.99169254</v>
      </c>
      <c r="J152" s="28">
        <f t="shared" si="45"/>
        <v>382703985.38603896</v>
      </c>
      <c r="K152" s="28">
        <f t="shared" si="45"/>
        <v>326614879.16367531</v>
      </c>
      <c r="L152" s="28">
        <f t="shared" si="45"/>
        <v>38170413.940989546</v>
      </c>
      <c r="M152" s="28">
        <f t="shared" si="45"/>
        <v>95596765.27156958</v>
      </c>
      <c r="N152" s="28">
        <f>SUM(N146:N151)</f>
        <v>66882387.323842227</v>
      </c>
      <c r="O152" s="28">
        <f>SUM(O146:O151)</f>
        <v>57656670.988567717</v>
      </c>
      <c r="P152" s="28">
        <f>SUM(P146:P151)</f>
        <v>1796331.5138146917</v>
      </c>
    </row>
    <row r="153" spans="1:16" x14ac:dyDescent="0.2">
      <c r="A153" s="74">
        <f t="shared" si="39"/>
        <v>36</v>
      </c>
      <c r="B153" s="14" t="str">
        <f>IF(OR((C145="~"),(C153="~")),"~","")</f>
        <v/>
      </c>
      <c r="C153" s="13"/>
    </row>
    <row r="154" spans="1:16" ht="13.5" thickBot="1" x14ac:dyDescent="0.25">
      <c r="A154" s="32">
        <f t="shared" si="39"/>
        <v>37</v>
      </c>
      <c r="B154" s="21"/>
      <c r="C154" s="21" t="s">
        <v>31</v>
      </c>
      <c r="D154" s="21"/>
      <c r="E154" s="22">
        <f>SUM(G154:P154)</f>
        <v>5428588079.6691399</v>
      </c>
      <c r="F154" s="22"/>
      <c r="G154" s="22">
        <f t="shared" ref="G154:M154" si="46">SUM(G146:G151)</f>
        <v>3132494086.5214767</v>
      </c>
      <c r="H154" s="22">
        <f t="shared" si="46"/>
        <v>651816597.56747305</v>
      </c>
      <c r="I154" s="22">
        <f t="shared" si="46"/>
        <v>674855961.99169254</v>
      </c>
      <c r="J154" s="22">
        <f t="shared" si="46"/>
        <v>382703985.38603896</v>
      </c>
      <c r="K154" s="22">
        <f t="shared" si="46"/>
        <v>326614879.16367531</v>
      </c>
      <c r="L154" s="22">
        <f t="shared" si="46"/>
        <v>38170413.940989546</v>
      </c>
      <c r="M154" s="22">
        <f t="shared" si="46"/>
        <v>95596765.27156958</v>
      </c>
      <c r="N154" s="22">
        <f>SUM(N146:N151)</f>
        <v>66882387.323842227</v>
      </c>
      <c r="O154" s="22">
        <f>SUM(O146:O151)</f>
        <v>57656670.988567717</v>
      </c>
      <c r="P154" s="22">
        <f>SUM(P146:P151)</f>
        <v>1796331.5138146917</v>
      </c>
    </row>
    <row r="155" spans="1:16" ht="13.5" thickTop="1" x14ac:dyDescent="0.2"/>
    <row r="156" spans="1:16" x14ac:dyDescent="0.2">
      <c r="A156" s="103" t="str">
        <f>A1</f>
        <v>Puget Sound Energy</v>
      </c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</row>
    <row r="157" spans="1:16" x14ac:dyDescent="0.2">
      <c r="A157" s="103" t="str">
        <f>A2</f>
        <v>ELECTRIC COST OF SERVICE SUMMARY</v>
      </c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</row>
    <row r="158" spans="1:16" x14ac:dyDescent="0.2">
      <c r="A158" s="104" t="str">
        <f>+$A$3</f>
        <v>Adjusted Test Year Twelve Months ended December 2018 @ Revenue Requirement Before Attrition and Riders</v>
      </c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</row>
    <row r="159" spans="1:16" x14ac:dyDescent="0.2">
      <c r="A159" s="104" t="s">
        <v>50</v>
      </c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</row>
    <row r="161" spans="1:16" s="33" customFormat="1" ht="44.45" customHeight="1" x14ac:dyDescent="0.2">
      <c r="A161" s="18" t="s">
        <v>2</v>
      </c>
      <c r="B161" s="18"/>
      <c r="C161" s="18"/>
      <c r="D161" s="18"/>
      <c r="E161" s="18" t="s">
        <v>48</v>
      </c>
      <c r="F161" s="18"/>
      <c r="G161" s="18" t="str">
        <f t="shared" ref="G161:P161" si="47">+G6</f>
        <v>Residential
Sch 7</v>
      </c>
      <c r="H161" s="18" t="str">
        <f t="shared" si="47"/>
        <v>Sec Volt
Sch 24
(kW&lt; 50)</v>
      </c>
      <c r="I161" s="18" t="str">
        <f t="shared" si="47"/>
        <v>Sec Volt
Sch 25
(kW &gt; 50 &amp; &lt; 350)</v>
      </c>
      <c r="J161" s="18" t="str">
        <f t="shared" si="47"/>
        <v>Sec Volt
Sch 26
(kW &gt; 350)</v>
      </c>
      <c r="K161" s="18" t="str">
        <f t="shared" si="47"/>
        <v>Pri Volt
Sch 31/35/43</v>
      </c>
      <c r="L161" s="18" t="str">
        <f t="shared" si="47"/>
        <v>Special Contract</v>
      </c>
      <c r="M161" s="18" t="str">
        <f t="shared" si="47"/>
        <v>High Volt
Sch 46/49</v>
      </c>
      <c r="N161" s="18" t="str">
        <f t="shared" si="47"/>
        <v>Choice /
Retail Wheeling
Sch 448/449</v>
      </c>
      <c r="O161" s="18" t="str">
        <f t="shared" si="47"/>
        <v>Lighting
Sch 50-59</v>
      </c>
      <c r="P161" s="19" t="str">
        <f t="shared" si="47"/>
        <v>Firm Resale</v>
      </c>
    </row>
    <row r="162" spans="1:16" s="34" customFormat="1" x14ac:dyDescent="0.2">
      <c r="C162" s="34" t="s">
        <v>15</v>
      </c>
      <c r="E162" s="34" t="s">
        <v>16</v>
      </c>
      <c r="G162" s="34" t="s">
        <v>17</v>
      </c>
      <c r="H162" s="34" t="s">
        <v>18</v>
      </c>
      <c r="I162" s="34" t="s">
        <v>19</v>
      </c>
      <c r="J162" s="34" t="s">
        <v>20</v>
      </c>
      <c r="K162" s="34" t="s">
        <v>21</v>
      </c>
      <c r="L162" s="34" t="s">
        <v>22</v>
      </c>
      <c r="M162" s="34" t="s">
        <v>23</v>
      </c>
      <c r="N162" s="34" t="s">
        <v>24</v>
      </c>
      <c r="O162" s="34" t="s">
        <v>25</v>
      </c>
      <c r="P162" s="34" t="s">
        <v>26</v>
      </c>
    </row>
    <row r="164" spans="1:16" x14ac:dyDescent="0.2">
      <c r="A164" s="74">
        <v>1</v>
      </c>
      <c r="C164" s="13" t="s">
        <v>202</v>
      </c>
    </row>
    <row r="165" spans="1:16" x14ac:dyDescent="0.2">
      <c r="A165" s="74">
        <f t="shared" ref="A165:A189" si="48">+A164+1</f>
        <v>2</v>
      </c>
      <c r="B165" s="14" t="str">
        <f>IF(OR((C164="~"),(C165="~")),"~","")</f>
        <v/>
      </c>
      <c r="C165" s="14" t="s">
        <v>189</v>
      </c>
      <c r="E165" s="72">
        <v>146121686.07318318</v>
      </c>
      <c r="F165" s="72"/>
      <c r="G165" s="72">
        <v>84272055.154347762</v>
      </c>
      <c r="H165" s="72">
        <v>19429174.497747239</v>
      </c>
      <c r="I165" s="72">
        <v>20795783.933168121</v>
      </c>
      <c r="J165" s="72">
        <v>10926476.136783987</v>
      </c>
      <c r="K165" s="72">
        <v>7718973.7434521085</v>
      </c>
      <c r="L165" s="72">
        <v>0</v>
      </c>
      <c r="M165" s="72">
        <v>2621719.3583969758</v>
      </c>
      <c r="N165" s="72">
        <v>0</v>
      </c>
      <c r="O165" s="72">
        <v>303679.51889671531</v>
      </c>
      <c r="P165" s="72">
        <v>53823.730390268509</v>
      </c>
    </row>
    <row r="166" spans="1:16" x14ac:dyDescent="0.2">
      <c r="A166" s="74">
        <f t="shared" si="48"/>
        <v>3</v>
      </c>
      <c r="B166" s="14" t="str">
        <f>IF(OR((C164="~"),(C166="~")),"~","")</f>
        <v/>
      </c>
      <c r="C166" s="14" t="s">
        <v>203</v>
      </c>
      <c r="E166" s="72">
        <v>1183004804.4606497</v>
      </c>
      <c r="F166" s="72"/>
      <c r="G166" s="72">
        <v>616302359.35363162</v>
      </c>
      <c r="H166" s="72">
        <v>156595197.9045614</v>
      </c>
      <c r="I166" s="72">
        <v>174145852.10382894</v>
      </c>
      <c r="J166" s="72">
        <v>112387780.30477458</v>
      </c>
      <c r="K166" s="72">
        <v>85254288.922651678</v>
      </c>
      <c r="L166" s="72">
        <v>0</v>
      </c>
      <c r="M166" s="72">
        <v>33845104.309501499</v>
      </c>
      <c r="N166" s="72">
        <v>0</v>
      </c>
      <c r="O166" s="72">
        <v>4075370.1473015528</v>
      </c>
      <c r="P166" s="72">
        <v>398851.41439851199</v>
      </c>
    </row>
    <row r="167" spans="1:16" x14ac:dyDescent="0.2">
      <c r="A167" s="74">
        <f t="shared" si="48"/>
        <v>4</v>
      </c>
      <c r="B167" s="14" t="str">
        <f>IF(OR((C164="~"),(C167="~")),"~","")</f>
        <v/>
      </c>
      <c r="C167" s="14" t="s">
        <v>204</v>
      </c>
      <c r="E167" s="72">
        <v>0</v>
      </c>
      <c r="F167" s="72"/>
      <c r="G167" s="72">
        <v>0</v>
      </c>
      <c r="H167" s="72">
        <v>0</v>
      </c>
      <c r="I167" s="72">
        <v>0</v>
      </c>
      <c r="J167" s="72">
        <v>0</v>
      </c>
      <c r="K167" s="72">
        <v>0</v>
      </c>
      <c r="L167" s="72">
        <v>0</v>
      </c>
      <c r="M167" s="72">
        <v>0</v>
      </c>
      <c r="N167" s="72">
        <v>0</v>
      </c>
      <c r="O167" s="72">
        <v>0</v>
      </c>
      <c r="P167" s="72">
        <v>0</v>
      </c>
    </row>
    <row r="168" spans="1:16" x14ac:dyDescent="0.2">
      <c r="A168" s="74">
        <f t="shared" si="48"/>
        <v>5</v>
      </c>
      <c r="B168" s="14" t="str">
        <f>IF(OR((C164="~"),(C168="~")),"~","")</f>
        <v>~</v>
      </c>
      <c r="C168" s="14" t="s">
        <v>205</v>
      </c>
      <c r="E168" s="72">
        <v>0</v>
      </c>
      <c r="F168" s="72"/>
      <c r="G168" s="72">
        <v>0</v>
      </c>
      <c r="H168" s="72">
        <v>0</v>
      </c>
      <c r="I168" s="72">
        <v>0</v>
      </c>
      <c r="J168" s="72">
        <v>0</v>
      </c>
      <c r="K168" s="72">
        <v>0</v>
      </c>
      <c r="L168" s="72">
        <v>0</v>
      </c>
      <c r="M168" s="72">
        <v>0</v>
      </c>
      <c r="N168" s="72">
        <v>0</v>
      </c>
      <c r="O168" s="72">
        <v>0</v>
      </c>
      <c r="P168" s="72">
        <v>0</v>
      </c>
    </row>
    <row r="169" spans="1:16" x14ac:dyDescent="0.2">
      <c r="A169" s="74">
        <f t="shared" si="48"/>
        <v>6</v>
      </c>
      <c r="B169" s="14" t="str">
        <f>IF(OR((C164="~"),(C169="~")),"~","")</f>
        <v>~</v>
      </c>
      <c r="C169" s="14" t="s">
        <v>205</v>
      </c>
      <c r="E169" s="72">
        <v>0</v>
      </c>
      <c r="F169" s="72"/>
      <c r="G169" s="72">
        <v>0</v>
      </c>
      <c r="H169" s="72">
        <v>0</v>
      </c>
      <c r="I169" s="72">
        <v>0</v>
      </c>
      <c r="J169" s="72">
        <v>0</v>
      </c>
      <c r="K169" s="72">
        <v>0</v>
      </c>
      <c r="L169" s="72">
        <v>0</v>
      </c>
      <c r="M169" s="72">
        <v>0</v>
      </c>
      <c r="N169" s="72">
        <v>0</v>
      </c>
      <c r="O169" s="72">
        <v>0</v>
      </c>
      <c r="P169" s="72">
        <v>0</v>
      </c>
    </row>
    <row r="170" spans="1:16" x14ac:dyDescent="0.2">
      <c r="A170" s="74">
        <f t="shared" si="48"/>
        <v>7</v>
      </c>
      <c r="B170" s="14" t="str">
        <f>IF(OR((C164="~"),(C170="~")),"~","")</f>
        <v>~</v>
      </c>
      <c r="C170" s="14" t="s">
        <v>205</v>
      </c>
      <c r="E170" s="72">
        <v>0</v>
      </c>
      <c r="F170" s="72"/>
      <c r="G170" s="72">
        <v>0</v>
      </c>
      <c r="H170" s="72">
        <v>0</v>
      </c>
      <c r="I170" s="72">
        <v>0</v>
      </c>
      <c r="J170" s="72">
        <v>0</v>
      </c>
      <c r="K170" s="72">
        <v>0</v>
      </c>
      <c r="L170" s="72">
        <v>0</v>
      </c>
      <c r="M170" s="72">
        <v>0</v>
      </c>
      <c r="N170" s="72">
        <v>0</v>
      </c>
      <c r="O170" s="72">
        <v>0</v>
      </c>
      <c r="P170" s="72">
        <v>0</v>
      </c>
    </row>
    <row r="171" spans="1:16" x14ac:dyDescent="0.2">
      <c r="A171" s="31">
        <f t="shared" si="48"/>
        <v>8</v>
      </c>
      <c r="B171" s="26" t="str">
        <f>IF(OR((C164="~"),(C171="~")),"~","")</f>
        <v/>
      </c>
      <c r="C171" s="26" t="str">
        <f>IF(C164="~","~","Sub-total")</f>
        <v>Sub-total</v>
      </c>
      <c r="D171" s="26"/>
      <c r="E171" s="28">
        <f>SUM(E165:E170)</f>
        <v>1329126490.533833</v>
      </c>
      <c r="F171" s="28"/>
      <c r="G171" s="28">
        <f t="shared" ref="G171:M171" si="49">SUM(G165:G170)</f>
        <v>700574414.50797939</v>
      </c>
      <c r="H171" s="28">
        <f t="shared" si="49"/>
        <v>176024372.40230864</v>
      </c>
      <c r="I171" s="28">
        <f t="shared" si="49"/>
        <v>194941636.03699705</v>
      </c>
      <c r="J171" s="28">
        <f t="shared" si="49"/>
        <v>123314256.44155857</v>
      </c>
      <c r="K171" s="28">
        <f t="shared" si="49"/>
        <v>92973262.66610378</v>
      </c>
      <c r="L171" s="28">
        <f t="shared" si="49"/>
        <v>0</v>
      </c>
      <c r="M171" s="28">
        <f t="shared" si="49"/>
        <v>36466823.667898476</v>
      </c>
      <c r="N171" s="28">
        <f>SUM(N165:N170)</f>
        <v>0</v>
      </c>
      <c r="O171" s="28">
        <f>SUM(O165:O170)</f>
        <v>4379049.6661982685</v>
      </c>
      <c r="P171" s="28">
        <f>SUM(P165:P170)</f>
        <v>452675.14478878048</v>
      </c>
    </row>
    <row r="172" spans="1:16" x14ac:dyDescent="0.2">
      <c r="A172" s="74">
        <f t="shared" si="48"/>
        <v>9</v>
      </c>
      <c r="B172" s="14" t="str">
        <f>IF(OR((C164="~"),(C172="~")),"~","")</f>
        <v/>
      </c>
    </row>
    <row r="173" spans="1:16" x14ac:dyDescent="0.2">
      <c r="A173" s="74">
        <f t="shared" si="48"/>
        <v>10</v>
      </c>
      <c r="C173" s="13" t="s">
        <v>206</v>
      </c>
    </row>
    <row r="174" spans="1:16" x14ac:dyDescent="0.2">
      <c r="A174" s="74">
        <f t="shared" si="48"/>
        <v>11</v>
      </c>
      <c r="B174" s="14" t="str">
        <f>IF(OR((C173="~"),(C174="~")),"~","")</f>
        <v/>
      </c>
      <c r="C174" s="14" t="s">
        <v>189</v>
      </c>
      <c r="E174" s="72">
        <v>17044382.35082024</v>
      </c>
      <c r="F174" s="72"/>
      <c r="G174" s="72">
        <v>9142560.2588180229</v>
      </c>
      <c r="H174" s="72">
        <v>2107844.6265420187</v>
      </c>
      <c r="I174" s="72">
        <v>2256106.2191983359</v>
      </c>
      <c r="J174" s="72">
        <v>1185398.4848728464</v>
      </c>
      <c r="K174" s="72">
        <v>837420.92745324632</v>
      </c>
      <c r="L174" s="72">
        <v>200666.3104013034</v>
      </c>
      <c r="M174" s="72">
        <v>284426.75536930282</v>
      </c>
      <c r="N174" s="72">
        <v>991173.72852962662</v>
      </c>
      <c r="O174" s="72">
        <v>32945.776577976874</v>
      </c>
      <c r="P174" s="72">
        <v>5839.2630575595604</v>
      </c>
    </row>
    <row r="175" spans="1:16" x14ac:dyDescent="0.2">
      <c r="A175" s="74">
        <f t="shared" si="48"/>
        <v>12</v>
      </c>
      <c r="B175" s="14" t="str">
        <f>IF(OR((C173="~"),(C175="~")),"~","")</f>
        <v/>
      </c>
      <c r="C175" s="14" t="s">
        <v>203</v>
      </c>
      <c r="E175" s="72">
        <v>137629562.61742333</v>
      </c>
      <c r="F175" s="72"/>
      <c r="G175" s="72">
        <v>65076830.739023879</v>
      </c>
      <c r="H175" s="72">
        <v>16535259.088196512</v>
      </c>
      <c r="I175" s="72">
        <v>18388474.373438537</v>
      </c>
      <c r="J175" s="72">
        <v>11867292.806892809</v>
      </c>
      <c r="K175" s="72">
        <v>9002202.9703309648</v>
      </c>
      <c r="L175" s="72">
        <v>1841991.5886059974</v>
      </c>
      <c r="M175" s="72">
        <v>3573784.9954104009</v>
      </c>
      <c r="N175" s="72">
        <v>10871282.36803776</v>
      </c>
      <c r="O175" s="72">
        <v>430328.01878766849</v>
      </c>
      <c r="P175" s="72">
        <v>42115.66869880959</v>
      </c>
    </row>
    <row r="176" spans="1:16" x14ac:dyDescent="0.2">
      <c r="A176" s="74">
        <f t="shared" si="48"/>
        <v>13</v>
      </c>
      <c r="B176" s="14" t="str">
        <f>IF(OR((C173="~"),(C176="~")),"~","")</f>
        <v/>
      </c>
      <c r="C176" s="14" t="s">
        <v>204</v>
      </c>
      <c r="E176" s="72">
        <v>-1010226.96</v>
      </c>
      <c r="F176" s="72"/>
      <c r="G176" s="72">
        <v>0</v>
      </c>
      <c r="H176" s="72">
        <v>0</v>
      </c>
      <c r="I176" s="72">
        <v>0</v>
      </c>
      <c r="J176" s="72">
        <v>0</v>
      </c>
      <c r="K176" s="72">
        <v>0</v>
      </c>
      <c r="L176" s="72">
        <v>-1010226.96</v>
      </c>
      <c r="M176" s="72">
        <v>0</v>
      </c>
      <c r="N176" s="72">
        <v>0</v>
      </c>
      <c r="O176" s="72">
        <v>0</v>
      </c>
      <c r="P176" s="72">
        <v>0</v>
      </c>
    </row>
    <row r="177" spans="1:16" x14ac:dyDescent="0.2">
      <c r="A177" s="74">
        <f t="shared" si="48"/>
        <v>14</v>
      </c>
      <c r="B177" s="14" t="str">
        <f>IF(OR((C173="~"),(C177="~")),"~","")</f>
        <v>~</v>
      </c>
      <c r="C177" s="14" t="s">
        <v>205</v>
      </c>
      <c r="E177" s="72">
        <v>0</v>
      </c>
      <c r="F177" s="72"/>
      <c r="G177" s="72">
        <v>0</v>
      </c>
      <c r="H177" s="72">
        <v>0</v>
      </c>
      <c r="I177" s="72">
        <v>0</v>
      </c>
      <c r="J177" s="72">
        <v>0</v>
      </c>
      <c r="K177" s="72">
        <v>0</v>
      </c>
      <c r="L177" s="72">
        <v>0</v>
      </c>
      <c r="M177" s="72">
        <v>0</v>
      </c>
      <c r="N177" s="72">
        <v>0</v>
      </c>
      <c r="O177" s="72">
        <v>0</v>
      </c>
      <c r="P177" s="72">
        <v>0</v>
      </c>
    </row>
    <row r="178" spans="1:16" x14ac:dyDescent="0.2">
      <c r="A178" s="74">
        <f t="shared" si="48"/>
        <v>15</v>
      </c>
      <c r="B178" s="14" t="str">
        <f>IF(OR((C173="~"),(C178="~")),"~","")</f>
        <v>~</v>
      </c>
      <c r="C178" s="14" t="s">
        <v>205</v>
      </c>
      <c r="E178" s="72">
        <v>0</v>
      </c>
      <c r="F178" s="72"/>
      <c r="G178" s="72">
        <v>0</v>
      </c>
      <c r="H178" s="72">
        <v>0</v>
      </c>
      <c r="I178" s="72">
        <v>0</v>
      </c>
      <c r="J178" s="72">
        <v>0</v>
      </c>
      <c r="K178" s="72">
        <v>0</v>
      </c>
      <c r="L178" s="72">
        <v>0</v>
      </c>
      <c r="M178" s="72">
        <v>0</v>
      </c>
      <c r="N178" s="72">
        <v>0</v>
      </c>
      <c r="O178" s="72">
        <v>0</v>
      </c>
      <c r="P178" s="72">
        <v>0</v>
      </c>
    </row>
    <row r="179" spans="1:16" x14ac:dyDescent="0.2">
      <c r="A179" s="74">
        <f t="shared" si="48"/>
        <v>16</v>
      </c>
      <c r="B179" s="14" t="str">
        <f>IF(OR((C173="~"),(C179="~")),"~","")</f>
        <v>~</v>
      </c>
      <c r="C179" s="14" t="s">
        <v>205</v>
      </c>
      <c r="E179" s="72">
        <v>0</v>
      </c>
      <c r="F179" s="72"/>
      <c r="G179" s="72">
        <v>0</v>
      </c>
      <c r="H179" s="72">
        <v>0</v>
      </c>
      <c r="I179" s="72">
        <v>0</v>
      </c>
      <c r="J179" s="72">
        <v>0</v>
      </c>
      <c r="K179" s="72">
        <v>0</v>
      </c>
      <c r="L179" s="72">
        <v>0</v>
      </c>
      <c r="M179" s="72">
        <v>0</v>
      </c>
      <c r="N179" s="72">
        <v>0</v>
      </c>
      <c r="O179" s="72">
        <v>0</v>
      </c>
      <c r="P179" s="72">
        <v>0</v>
      </c>
    </row>
    <row r="180" spans="1:16" x14ac:dyDescent="0.2">
      <c r="A180" s="31">
        <f t="shared" si="48"/>
        <v>17</v>
      </c>
      <c r="B180" s="26" t="str">
        <f>IF(OR((C173="~"),(C180="~")),"~","")</f>
        <v/>
      </c>
      <c r="C180" s="26" t="str">
        <f>IF(C173="~","~","Sub-total")</f>
        <v>Sub-total</v>
      </c>
      <c r="D180" s="26"/>
      <c r="E180" s="28">
        <f>SUM(E174:E179)</f>
        <v>153663718.00824356</v>
      </c>
      <c r="F180" s="28"/>
      <c r="G180" s="28">
        <f t="shared" ref="G180:M180" si="50">SUM(G174:G179)</f>
        <v>74219390.997841895</v>
      </c>
      <c r="H180" s="28">
        <f t="shared" si="50"/>
        <v>18643103.714738533</v>
      </c>
      <c r="I180" s="28">
        <f t="shared" si="50"/>
        <v>20644580.592636872</v>
      </c>
      <c r="J180" s="28">
        <f t="shared" si="50"/>
        <v>13052691.291765654</v>
      </c>
      <c r="K180" s="28">
        <f t="shared" si="50"/>
        <v>9839623.8977842107</v>
      </c>
      <c r="L180" s="28">
        <f t="shared" si="50"/>
        <v>1032430.9390073009</v>
      </c>
      <c r="M180" s="28">
        <f t="shared" si="50"/>
        <v>3858211.7507797037</v>
      </c>
      <c r="N180" s="28">
        <f>SUM(N174:N179)</f>
        <v>11862456.096567387</v>
      </c>
      <c r="O180" s="28">
        <f>SUM(O174:O179)</f>
        <v>463273.79536564538</v>
      </c>
      <c r="P180" s="28">
        <f>SUM(P174:P179)</f>
        <v>47954.931756369151</v>
      </c>
    </row>
    <row r="181" spans="1:16" x14ac:dyDescent="0.2">
      <c r="A181" s="74">
        <f t="shared" si="48"/>
        <v>18</v>
      </c>
      <c r="B181" s="14" t="str">
        <f>IF(OR((C173="~"),(C181="~")),"~","")</f>
        <v/>
      </c>
    </row>
    <row r="182" spans="1:16" x14ac:dyDescent="0.2">
      <c r="A182" s="74">
        <f t="shared" si="48"/>
        <v>19</v>
      </c>
      <c r="C182" s="13" t="s">
        <v>207</v>
      </c>
    </row>
    <row r="183" spans="1:16" x14ac:dyDescent="0.2">
      <c r="A183" s="74">
        <f t="shared" si="48"/>
        <v>20</v>
      </c>
      <c r="B183" s="14" t="str">
        <f>IF(OR((C182="~"),(C183="~")),"~","")</f>
        <v/>
      </c>
      <c r="C183" s="14" t="s">
        <v>189</v>
      </c>
      <c r="E183" s="72">
        <v>446446613.29694486</v>
      </c>
      <c r="F183" s="72"/>
      <c r="G183" s="72">
        <v>299989472.98886418</v>
      </c>
      <c r="H183" s="72">
        <v>55110330.619902931</v>
      </c>
      <c r="I183" s="72">
        <v>46373756.500041164</v>
      </c>
      <c r="J183" s="72">
        <v>20015668.865560837</v>
      </c>
      <c r="K183" s="72">
        <v>19834949.640114561</v>
      </c>
      <c r="L183" s="72">
        <v>4332498.8437439222</v>
      </c>
      <c r="M183" s="72">
        <v>-1182232.7175594606</v>
      </c>
      <c r="N183" s="72">
        <v>-602518.28675829363</v>
      </c>
      <c r="O183" s="72">
        <v>2407093.012201583</v>
      </c>
      <c r="P183" s="72">
        <v>167593.83083331076</v>
      </c>
    </row>
    <row r="184" spans="1:16" x14ac:dyDescent="0.2">
      <c r="A184" s="74">
        <f t="shared" si="48"/>
        <v>21</v>
      </c>
      <c r="B184" s="14" t="str">
        <f>IF(OR((C182="~"),(C184="~")),"~","")</f>
        <v/>
      </c>
      <c r="C184" s="14" t="s">
        <v>203</v>
      </c>
      <c r="E184" s="72">
        <v>0</v>
      </c>
      <c r="F184" s="72"/>
      <c r="G184" s="72">
        <v>0</v>
      </c>
      <c r="H184" s="72">
        <v>0</v>
      </c>
      <c r="I184" s="72">
        <v>0</v>
      </c>
      <c r="J184" s="72">
        <v>0</v>
      </c>
      <c r="K184" s="72">
        <v>0</v>
      </c>
      <c r="L184" s="72">
        <v>0</v>
      </c>
      <c r="M184" s="72">
        <v>0</v>
      </c>
      <c r="N184" s="72">
        <v>0</v>
      </c>
      <c r="O184" s="72">
        <v>0</v>
      </c>
      <c r="P184" s="72">
        <v>0</v>
      </c>
    </row>
    <row r="185" spans="1:16" x14ac:dyDescent="0.2">
      <c r="A185" s="74">
        <f t="shared" si="48"/>
        <v>22</v>
      </c>
      <c r="B185" s="14" t="str">
        <f>IF(OR((C182="~"),(C185="~")),"~","")</f>
        <v/>
      </c>
      <c r="C185" s="14" t="s">
        <v>204</v>
      </c>
      <c r="E185" s="72">
        <v>146286854.03080344</v>
      </c>
      <c r="F185" s="72"/>
      <c r="G185" s="72">
        <v>113616786.30135942</v>
      </c>
      <c r="H185" s="72">
        <v>10922080.136683011</v>
      </c>
      <c r="I185" s="72">
        <v>2890104.3709538393</v>
      </c>
      <c r="J185" s="72">
        <v>1070100.5098644602</v>
      </c>
      <c r="K185" s="72">
        <v>5601186.0179846268</v>
      </c>
      <c r="L185" s="72">
        <v>335657.23618255754</v>
      </c>
      <c r="M185" s="72">
        <v>307442.75552976632</v>
      </c>
      <c r="N185" s="72">
        <v>526607.38913277211</v>
      </c>
      <c r="O185" s="72">
        <v>11014138.620709617</v>
      </c>
      <c r="P185" s="72">
        <v>2750.6924033779351</v>
      </c>
    </row>
    <row r="186" spans="1:16" x14ac:dyDescent="0.2">
      <c r="A186" s="74">
        <f t="shared" si="48"/>
        <v>23</v>
      </c>
      <c r="B186" s="14" t="str">
        <f>IF(OR((C182="~"),(C186="~")),"~","")</f>
        <v>~</v>
      </c>
      <c r="C186" s="14" t="s">
        <v>205</v>
      </c>
      <c r="E186" s="72">
        <v>0</v>
      </c>
      <c r="F186" s="72"/>
      <c r="G186" s="72">
        <v>0</v>
      </c>
      <c r="H186" s="72">
        <v>0</v>
      </c>
      <c r="I186" s="72">
        <v>0</v>
      </c>
      <c r="J186" s="72">
        <v>0</v>
      </c>
      <c r="K186" s="72">
        <v>0</v>
      </c>
      <c r="L186" s="72">
        <v>0</v>
      </c>
      <c r="M186" s="72">
        <v>0</v>
      </c>
      <c r="N186" s="72">
        <v>0</v>
      </c>
      <c r="O186" s="72">
        <v>0</v>
      </c>
      <c r="P186" s="72">
        <v>0</v>
      </c>
    </row>
    <row r="187" spans="1:16" x14ac:dyDescent="0.2">
      <c r="A187" s="74">
        <f t="shared" si="48"/>
        <v>24</v>
      </c>
      <c r="B187" s="14" t="str">
        <f>IF(OR((C182="~"),(C187="~")),"~","")</f>
        <v>~</v>
      </c>
      <c r="C187" s="14" t="s">
        <v>205</v>
      </c>
      <c r="E187" s="72">
        <v>0</v>
      </c>
      <c r="F187" s="72"/>
      <c r="G187" s="72">
        <v>0</v>
      </c>
      <c r="H187" s="72">
        <v>0</v>
      </c>
      <c r="I187" s="72">
        <v>0</v>
      </c>
      <c r="J187" s="72">
        <v>0</v>
      </c>
      <c r="K187" s="72">
        <v>0</v>
      </c>
      <c r="L187" s="72">
        <v>0</v>
      </c>
      <c r="M187" s="72">
        <v>0</v>
      </c>
      <c r="N187" s="72">
        <v>0</v>
      </c>
      <c r="O187" s="72">
        <v>0</v>
      </c>
      <c r="P187" s="72">
        <v>0</v>
      </c>
    </row>
    <row r="188" spans="1:16" x14ac:dyDescent="0.2">
      <c r="A188" s="74">
        <f t="shared" si="48"/>
        <v>25</v>
      </c>
      <c r="B188" s="14" t="str">
        <f>IF(OR((C182="~"),(C188="~")),"~","")</f>
        <v>~</v>
      </c>
      <c r="C188" s="14" t="s">
        <v>205</v>
      </c>
      <c r="E188" s="72">
        <v>0</v>
      </c>
      <c r="F188" s="72"/>
      <c r="G188" s="72">
        <v>0</v>
      </c>
      <c r="H188" s="72">
        <v>0</v>
      </c>
      <c r="I188" s="72">
        <v>0</v>
      </c>
      <c r="J188" s="72">
        <v>0</v>
      </c>
      <c r="K188" s="72">
        <v>0</v>
      </c>
      <c r="L188" s="72">
        <v>0</v>
      </c>
      <c r="M188" s="72">
        <v>0</v>
      </c>
      <c r="N188" s="72">
        <v>0</v>
      </c>
      <c r="O188" s="72">
        <v>0</v>
      </c>
      <c r="P188" s="72">
        <v>0</v>
      </c>
    </row>
    <row r="189" spans="1:16" x14ac:dyDescent="0.2">
      <c r="A189" s="31">
        <f t="shared" si="48"/>
        <v>26</v>
      </c>
      <c r="B189" s="26" t="str">
        <f>IF(OR((C182="~"),(C189="~")),"~","")</f>
        <v/>
      </c>
      <c r="C189" s="26" t="str">
        <f>IF(C182="~","~","Sub-total")</f>
        <v>Sub-total</v>
      </c>
      <c r="D189" s="26"/>
      <c r="E189" s="28">
        <f>SUM(E183:E188)</f>
        <v>592733467.3277483</v>
      </c>
      <c r="F189" s="28"/>
      <c r="G189" s="28">
        <f t="shared" ref="G189:M189" si="51">SUM(G183:G188)</f>
        <v>413606259.2902236</v>
      </c>
      <c r="H189" s="28">
        <f t="shared" si="51"/>
        <v>66032410.756585941</v>
      </c>
      <c r="I189" s="28">
        <f t="shared" si="51"/>
        <v>49263860.870995</v>
      </c>
      <c r="J189" s="28">
        <f t="shared" si="51"/>
        <v>21085769.375425298</v>
      </c>
      <c r="K189" s="28">
        <f t="shared" si="51"/>
        <v>25436135.658099189</v>
      </c>
      <c r="L189" s="28">
        <f t="shared" si="51"/>
        <v>4668156.0799264796</v>
      </c>
      <c r="M189" s="28">
        <f t="shared" si="51"/>
        <v>-874789.96202969423</v>
      </c>
      <c r="N189" s="28">
        <f>SUM(N183:N188)</f>
        <v>-75910.897625521524</v>
      </c>
      <c r="O189" s="28">
        <f>SUM(O183:O188)</f>
        <v>13421231.6329112</v>
      </c>
      <c r="P189" s="28">
        <f>SUM(P183:P188)</f>
        <v>170344.52323668869</v>
      </c>
    </row>
    <row r="190" spans="1:16" x14ac:dyDescent="0.2">
      <c r="A190" s="74"/>
      <c r="B190" s="14" t="str">
        <f>IF(OR((C182="~"),(C190="~")),"~","")</f>
        <v/>
      </c>
    </row>
    <row r="191" spans="1:16" hidden="1" x14ac:dyDescent="0.2">
      <c r="A191" s="74"/>
      <c r="B191" s="14" t="s">
        <v>205</v>
      </c>
      <c r="C191" s="13"/>
    </row>
    <row r="192" spans="1:16" hidden="1" x14ac:dyDescent="0.2">
      <c r="A192" s="74"/>
      <c r="B192" s="14" t="str">
        <f>IF(OR((B191="~"),(C192="~")),"~","")</f>
        <v>~</v>
      </c>
      <c r="C192" s="14" t="s">
        <v>205</v>
      </c>
      <c r="E192" s="72">
        <v>0</v>
      </c>
      <c r="F192" s="72"/>
      <c r="G192" s="72">
        <v>0</v>
      </c>
      <c r="H192" s="72">
        <v>0</v>
      </c>
      <c r="I192" s="72">
        <v>0</v>
      </c>
      <c r="J192" s="72">
        <v>0</v>
      </c>
      <c r="K192" s="72">
        <v>0</v>
      </c>
      <c r="L192" s="72">
        <v>0</v>
      </c>
      <c r="M192" s="72">
        <v>0</v>
      </c>
      <c r="N192" s="72">
        <v>0</v>
      </c>
      <c r="O192" s="72">
        <v>0</v>
      </c>
      <c r="P192" s="72">
        <v>0</v>
      </c>
    </row>
    <row r="193" spans="1:16" hidden="1" x14ac:dyDescent="0.2">
      <c r="A193" s="74"/>
      <c r="B193" s="14" t="str">
        <f>IF(OR((B191="~"),(C193="~")),"~","")</f>
        <v>~</v>
      </c>
      <c r="C193" s="14" t="s">
        <v>205</v>
      </c>
      <c r="E193" s="72">
        <v>0</v>
      </c>
      <c r="F193" s="72"/>
      <c r="G193" s="72">
        <v>0</v>
      </c>
      <c r="H193" s="72">
        <v>0</v>
      </c>
      <c r="I193" s="72">
        <v>0</v>
      </c>
      <c r="J193" s="72">
        <v>0</v>
      </c>
      <c r="K193" s="72">
        <v>0</v>
      </c>
      <c r="L193" s="72">
        <v>0</v>
      </c>
      <c r="M193" s="72">
        <v>0</v>
      </c>
      <c r="N193" s="72">
        <v>0</v>
      </c>
      <c r="O193" s="72">
        <v>0</v>
      </c>
      <c r="P193" s="72">
        <v>0</v>
      </c>
    </row>
    <row r="194" spans="1:16" hidden="1" x14ac:dyDescent="0.2">
      <c r="A194" s="74"/>
      <c r="B194" s="14" t="str">
        <f>IF(OR((B191="~"),(C194="~")),"~","")</f>
        <v>~</v>
      </c>
      <c r="C194" s="14" t="s">
        <v>205</v>
      </c>
      <c r="E194" s="72">
        <v>0</v>
      </c>
      <c r="F194" s="72"/>
      <c r="G194" s="72">
        <v>0</v>
      </c>
      <c r="H194" s="72">
        <v>0</v>
      </c>
      <c r="I194" s="72">
        <v>0</v>
      </c>
      <c r="J194" s="72">
        <v>0</v>
      </c>
      <c r="K194" s="72">
        <v>0</v>
      </c>
      <c r="L194" s="72">
        <v>0</v>
      </c>
      <c r="M194" s="72">
        <v>0</v>
      </c>
      <c r="N194" s="72">
        <v>0</v>
      </c>
      <c r="O194" s="72">
        <v>0</v>
      </c>
      <c r="P194" s="72">
        <v>0</v>
      </c>
    </row>
    <row r="195" spans="1:16" hidden="1" x14ac:dyDescent="0.2">
      <c r="A195" s="74"/>
      <c r="B195" s="14" t="str">
        <f>IF(OR((B191="~"),(C195="~")),"~","")</f>
        <v>~</v>
      </c>
      <c r="C195" s="14" t="s">
        <v>205</v>
      </c>
      <c r="E195" s="72">
        <v>0</v>
      </c>
      <c r="F195" s="72"/>
      <c r="G195" s="72">
        <v>0</v>
      </c>
      <c r="H195" s="72">
        <v>0</v>
      </c>
      <c r="I195" s="72">
        <v>0</v>
      </c>
      <c r="J195" s="72">
        <v>0</v>
      </c>
      <c r="K195" s="72">
        <v>0</v>
      </c>
      <c r="L195" s="72">
        <v>0</v>
      </c>
      <c r="M195" s="72">
        <v>0</v>
      </c>
      <c r="N195" s="72">
        <v>0</v>
      </c>
      <c r="O195" s="72">
        <v>0</v>
      </c>
      <c r="P195" s="72">
        <v>0</v>
      </c>
    </row>
    <row r="196" spans="1:16" hidden="1" x14ac:dyDescent="0.2">
      <c r="A196" s="74"/>
      <c r="B196" s="14" t="str">
        <f>IF(OR((B191="~"),(C196="~")),"~","")</f>
        <v>~</v>
      </c>
      <c r="C196" s="14" t="s">
        <v>205</v>
      </c>
      <c r="E196" s="72">
        <v>0</v>
      </c>
      <c r="F196" s="72"/>
      <c r="G196" s="72">
        <v>0</v>
      </c>
      <c r="H196" s="72">
        <v>0</v>
      </c>
      <c r="I196" s="72">
        <v>0</v>
      </c>
      <c r="J196" s="72">
        <v>0</v>
      </c>
      <c r="K196" s="72">
        <v>0</v>
      </c>
      <c r="L196" s="72">
        <v>0</v>
      </c>
      <c r="M196" s="72">
        <v>0</v>
      </c>
      <c r="N196" s="72">
        <v>0</v>
      </c>
      <c r="O196" s="72">
        <v>0</v>
      </c>
      <c r="P196" s="72">
        <v>0</v>
      </c>
    </row>
    <row r="197" spans="1:16" hidden="1" x14ac:dyDescent="0.2">
      <c r="A197" s="74"/>
      <c r="B197" s="14" t="str">
        <f>IF(OR((B191="~"),(C197="~")),"~","")</f>
        <v>~</v>
      </c>
      <c r="C197" s="14" t="s">
        <v>205</v>
      </c>
      <c r="E197" s="72">
        <v>0</v>
      </c>
      <c r="F197" s="72"/>
      <c r="G197" s="72">
        <v>0</v>
      </c>
      <c r="H197" s="72">
        <v>0</v>
      </c>
      <c r="I197" s="72">
        <v>0</v>
      </c>
      <c r="J197" s="72">
        <v>0</v>
      </c>
      <c r="K197" s="72">
        <v>0</v>
      </c>
      <c r="L197" s="72">
        <v>0</v>
      </c>
      <c r="M197" s="72">
        <v>0</v>
      </c>
      <c r="N197" s="72">
        <v>0</v>
      </c>
      <c r="O197" s="72">
        <v>0</v>
      </c>
      <c r="P197" s="72">
        <v>0</v>
      </c>
    </row>
    <row r="198" spans="1:16" hidden="1" x14ac:dyDescent="0.2">
      <c r="A198" s="31"/>
      <c r="B198" s="26" t="str">
        <f>IF(OR((B191="~"),(C198="~")),"~","")</f>
        <v>~</v>
      </c>
      <c r="C198" s="26" t="str">
        <f>IF(B191="~","~","Sub-total")</f>
        <v>~</v>
      </c>
      <c r="D198" s="26"/>
      <c r="E198" s="28">
        <f>SUM(E192:E197)</f>
        <v>0</v>
      </c>
      <c r="F198" s="28"/>
      <c r="G198" s="28">
        <f t="shared" ref="G198:M198" si="52">SUM(G192:G197)</f>
        <v>0</v>
      </c>
      <c r="H198" s="28">
        <f t="shared" si="52"/>
        <v>0</v>
      </c>
      <c r="I198" s="28">
        <f t="shared" si="52"/>
        <v>0</v>
      </c>
      <c r="J198" s="28">
        <f t="shared" si="52"/>
        <v>0</v>
      </c>
      <c r="K198" s="28">
        <f t="shared" si="52"/>
        <v>0</v>
      </c>
      <c r="L198" s="28">
        <f t="shared" si="52"/>
        <v>0</v>
      </c>
      <c r="M198" s="28">
        <f t="shared" si="52"/>
        <v>0</v>
      </c>
      <c r="N198" s="28">
        <f>SUM(N192:N197)</f>
        <v>0</v>
      </c>
      <c r="O198" s="28">
        <f>SUM(O192:O197)</f>
        <v>0</v>
      </c>
      <c r="P198" s="28">
        <f>SUM(P192:P197)</f>
        <v>0</v>
      </c>
    </row>
    <row r="199" spans="1:16" hidden="1" x14ac:dyDescent="0.2">
      <c r="A199" s="74"/>
      <c r="B199" s="14" t="str">
        <f>IF(OR((B191="~"),(C199="~")),"~","")</f>
        <v>~</v>
      </c>
    </row>
    <row r="200" spans="1:16" hidden="1" x14ac:dyDescent="0.2">
      <c r="A200" s="74"/>
      <c r="B200" s="14" t="s">
        <v>205</v>
      </c>
      <c r="C200" s="13"/>
    </row>
    <row r="201" spans="1:16" hidden="1" x14ac:dyDescent="0.2">
      <c r="A201" s="74"/>
      <c r="B201" s="14" t="str">
        <f>IF(OR((B200="~"),(C201="~")),"~","")</f>
        <v>~</v>
      </c>
      <c r="C201" s="14" t="s">
        <v>205</v>
      </c>
      <c r="E201" s="72">
        <v>0</v>
      </c>
      <c r="F201" s="72"/>
      <c r="G201" s="72">
        <v>0</v>
      </c>
      <c r="H201" s="72">
        <v>0</v>
      </c>
      <c r="I201" s="72">
        <v>0</v>
      </c>
      <c r="J201" s="72">
        <v>0</v>
      </c>
      <c r="K201" s="72">
        <v>0</v>
      </c>
      <c r="L201" s="72">
        <v>0</v>
      </c>
      <c r="M201" s="72">
        <v>0</v>
      </c>
      <c r="N201" s="72">
        <v>0</v>
      </c>
      <c r="O201" s="72">
        <v>0</v>
      </c>
      <c r="P201" s="72">
        <v>0</v>
      </c>
    </row>
    <row r="202" spans="1:16" hidden="1" x14ac:dyDescent="0.2">
      <c r="A202" s="74"/>
      <c r="B202" s="14" t="str">
        <f>IF(OR((B200="~"),(C202="~")),"~","")</f>
        <v>~</v>
      </c>
      <c r="C202" s="14" t="s">
        <v>205</v>
      </c>
      <c r="E202" s="72">
        <v>0</v>
      </c>
      <c r="F202" s="72"/>
      <c r="G202" s="72">
        <v>0</v>
      </c>
      <c r="H202" s="72">
        <v>0</v>
      </c>
      <c r="I202" s="72">
        <v>0</v>
      </c>
      <c r="J202" s="72">
        <v>0</v>
      </c>
      <c r="K202" s="72">
        <v>0</v>
      </c>
      <c r="L202" s="72">
        <v>0</v>
      </c>
      <c r="M202" s="72">
        <v>0</v>
      </c>
      <c r="N202" s="72">
        <v>0</v>
      </c>
      <c r="O202" s="72">
        <v>0</v>
      </c>
      <c r="P202" s="72">
        <v>0</v>
      </c>
    </row>
    <row r="203" spans="1:16" hidden="1" x14ac:dyDescent="0.2">
      <c r="A203" s="74"/>
      <c r="B203" s="14" t="str">
        <f>IF(OR((B200="~"),(C203="~")),"~","")</f>
        <v>~</v>
      </c>
      <c r="C203" s="14" t="s">
        <v>205</v>
      </c>
      <c r="E203" s="72">
        <v>0</v>
      </c>
      <c r="F203" s="72"/>
      <c r="G203" s="72">
        <v>0</v>
      </c>
      <c r="H203" s="72">
        <v>0</v>
      </c>
      <c r="I203" s="72">
        <v>0</v>
      </c>
      <c r="J203" s="72">
        <v>0</v>
      </c>
      <c r="K203" s="72">
        <v>0</v>
      </c>
      <c r="L203" s="72">
        <v>0</v>
      </c>
      <c r="M203" s="72">
        <v>0</v>
      </c>
      <c r="N203" s="72">
        <v>0</v>
      </c>
      <c r="O203" s="72">
        <v>0</v>
      </c>
      <c r="P203" s="72">
        <v>0</v>
      </c>
    </row>
    <row r="204" spans="1:16" hidden="1" x14ac:dyDescent="0.2">
      <c r="A204" s="74"/>
      <c r="B204" s="14" t="str">
        <f>IF(OR((B200="~"),(C204="~")),"~","")</f>
        <v>~</v>
      </c>
      <c r="C204" s="14" t="s">
        <v>205</v>
      </c>
      <c r="E204" s="72">
        <v>0</v>
      </c>
      <c r="F204" s="72"/>
      <c r="G204" s="72">
        <v>0</v>
      </c>
      <c r="H204" s="72">
        <v>0</v>
      </c>
      <c r="I204" s="72">
        <v>0</v>
      </c>
      <c r="J204" s="72">
        <v>0</v>
      </c>
      <c r="K204" s="72">
        <v>0</v>
      </c>
      <c r="L204" s="72">
        <v>0</v>
      </c>
      <c r="M204" s="72">
        <v>0</v>
      </c>
      <c r="N204" s="72">
        <v>0</v>
      </c>
      <c r="O204" s="72">
        <v>0</v>
      </c>
      <c r="P204" s="72">
        <v>0</v>
      </c>
    </row>
    <row r="205" spans="1:16" hidden="1" x14ac:dyDescent="0.2">
      <c r="A205" s="74"/>
      <c r="B205" s="14" t="str">
        <f>IF(OR((B200="~"),(C205="~")),"~","")</f>
        <v>~</v>
      </c>
      <c r="C205" s="14" t="s">
        <v>205</v>
      </c>
      <c r="E205" s="72">
        <v>0</v>
      </c>
      <c r="F205" s="72"/>
      <c r="G205" s="72">
        <v>0</v>
      </c>
      <c r="H205" s="72">
        <v>0</v>
      </c>
      <c r="I205" s="72">
        <v>0</v>
      </c>
      <c r="J205" s="72">
        <v>0</v>
      </c>
      <c r="K205" s="72">
        <v>0</v>
      </c>
      <c r="L205" s="72">
        <v>0</v>
      </c>
      <c r="M205" s="72">
        <v>0</v>
      </c>
      <c r="N205" s="72">
        <v>0</v>
      </c>
      <c r="O205" s="72">
        <v>0</v>
      </c>
      <c r="P205" s="72">
        <v>0</v>
      </c>
    </row>
    <row r="206" spans="1:16" hidden="1" x14ac:dyDescent="0.2">
      <c r="A206" s="74"/>
      <c r="B206" s="14" t="str">
        <f>IF(OR((B200="~"),(C206="~")),"~","")</f>
        <v>~</v>
      </c>
      <c r="C206" s="14" t="s">
        <v>205</v>
      </c>
      <c r="E206" s="72">
        <v>0</v>
      </c>
      <c r="F206" s="72"/>
      <c r="G206" s="72">
        <v>0</v>
      </c>
      <c r="H206" s="72">
        <v>0</v>
      </c>
      <c r="I206" s="72">
        <v>0</v>
      </c>
      <c r="J206" s="72">
        <v>0</v>
      </c>
      <c r="K206" s="72">
        <v>0</v>
      </c>
      <c r="L206" s="72">
        <v>0</v>
      </c>
      <c r="M206" s="72">
        <v>0</v>
      </c>
      <c r="N206" s="72">
        <v>0</v>
      </c>
      <c r="O206" s="72">
        <v>0</v>
      </c>
      <c r="P206" s="72">
        <v>0</v>
      </c>
    </row>
    <row r="207" spans="1:16" hidden="1" x14ac:dyDescent="0.2">
      <c r="A207" s="31"/>
      <c r="B207" s="26" t="str">
        <f>IF(OR((B200="~"),(C207="~")),"~","")</f>
        <v>~</v>
      </c>
      <c r="C207" s="26" t="str">
        <f>IF(B200="~","~","Sub-total")</f>
        <v>~</v>
      </c>
      <c r="D207" s="26"/>
      <c r="E207" s="28">
        <f>SUM(E201:E206)</f>
        <v>0</v>
      </c>
      <c r="F207" s="28"/>
      <c r="G207" s="28">
        <f t="shared" ref="G207:M207" si="53">SUM(G201:G206)</f>
        <v>0</v>
      </c>
      <c r="H207" s="28">
        <f t="shared" si="53"/>
        <v>0</v>
      </c>
      <c r="I207" s="28">
        <f t="shared" si="53"/>
        <v>0</v>
      </c>
      <c r="J207" s="28">
        <f t="shared" si="53"/>
        <v>0</v>
      </c>
      <c r="K207" s="28">
        <f t="shared" si="53"/>
        <v>0</v>
      </c>
      <c r="L207" s="28">
        <f t="shared" si="53"/>
        <v>0</v>
      </c>
      <c r="M207" s="28">
        <f t="shared" si="53"/>
        <v>0</v>
      </c>
      <c r="N207" s="28">
        <f>SUM(N201:N206)</f>
        <v>0</v>
      </c>
      <c r="O207" s="28">
        <f>SUM(O201:O206)</f>
        <v>0</v>
      </c>
      <c r="P207" s="28">
        <f>SUM(P201:P206)</f>
        <v>0</v>
      </c>
    </row>
    <row r="208" spans="1:16" hidden="1" x14ac:dyDescent="0.2">
      <c r="A208" s="74"/>
      <c r="B208" s="14" t="str">
        <f>IF(OR((B200="~"),(C208="~")),"~","")</f>
        <v>~</v>
      </c>
    </row>
    <row r="209" spans="1:16" hidden="1" x14ac:dyDescent="0.2">
      <c r="A209" s="74"/>
      <c r="B209" s="14" t="s">
        <v>205</v>
      </c>
      <c r="C209" s="13"/>
    </row>
    <row r="210" spans="1:16" hidden="1" x14ac:dyDescent="0.2">
      <c r="A210" s="74"/>
      <c r="B210" s="14" t="str">
        <f>IF(OR((B209="~"),(C210="~")),"~","")</f>
        <v>~</v>
      </c>
      <c r="C210" s="14" t="s">
        <v>205</v>
      </c>
      <c r="E210" s="72">
        <v>0</v>
      </c>
      <c r="F210" s="72"/>
      <c r="G210" s="72">
        <v>0</v>
      </c>
      <c r="H210" s="72">
        <v>0</v>
      </c>
      <c r="I210" s="72">
        <v>0</v>
      </c>
      <c r="J210" s="72">
        <v>0</v>
      </c>
      <c r="K210" s="72">
        <v>0</v>
      </c>
      <c r="L210" s="72">
        <v>0</v>
      </c>
      <c r="M210" s="72">
        <v>0</v>
      </c>
      <c r="N210" s="72">
        <v>0</v>
      </c>
      <c r="O210" s="72">
        <v>0</v>
      </c>
      <c r="P210" s="72">
        <v>0</v>
      </c>
    </row>
    <row r="211" spans="1:16" hidden="1" x14ac:dyDescent="0.2">
      <c r="A211" s="74"/>
      <c r="B211" s="14" t="str">
        <f>IF(OR((B209="~"),(C211="~")),"~","")</f>
        <v>~</v>
      </c>
      <c r="C211" s="14" t="s">
        <v>205</v>
      </c>
      <c r="E211" s="72">
        <v>0</v>
      </c>
      <c r="F211" s="72"/>
      <c r="G211" s="72">
        <v>0</v>
      </c>
      <c r="H211" s="72">
        <v>0</v>
      </c>
      <c r="I211" s="72">
        <v>0</v>
      </c>
      <c r="J211" s="72">
        <v>0</v>
      </c>
      <c r="K211" s="72">
        <v>0</v>
      </c>
      <c r="L211" s="72">
        <v>0</v>
      </c>
      <c r="M211" s="72">
        <v>0</v>
      </c>
      <c r="N211" s="72">
        <v>0</v>
      </c>
      <c r="O211" s="72">
        <v>0</v>
      </c>
      <c r="P211" s="72">
        <v>0</v>
      </c>
    </row>
    <row r="212" spans="1:16" hidden="1" x14ac:dyDescent="0.2">
      <c r="A212" s="74"/>
      <c r="B212" s="14" t="str">
        <f>IF(OR((B209="~"),(C212="~")),"~","")</f>
        <v>~</v>
      </c>
      <c r="C212" s="14" t="s">
        <v>205</v>
      </c>
      <c r="E212" s="72">
        <v>0</v>
      </c>
      <c r="F212" s="72"/>
      <c r="G212" s="72">
        <v>0</v>
      </c>
      <c r="H212" s="72">
        <v>0</v>
      </c>
      <c r="I212" s="72">
        <v>0</v>
      </c>
      <c r="J212" s="72">
        <v>0</v>
      </c>
      <c r="K212" s="72">
        <v>0</v>
      </c>
      <c r="L212" s="72">
        <v>0</v>
      </c>
      <c r="M212" s="72">
        <v>0</v>
      </c>
      <c r="N212" s="72">
        <v>0</v>
      </c>
      <c r="O212" s="72">
        <v>0</v>
      </c>
      <c r="P212" s="72">
        <v>0</v>
      </c>
    </row>
    <row r="213" spans="1:16" hidden="1" x14ac:dyDescent="0.2">
      <c r="A213" s="74"/>
      <c r="B213" s="14" t="str">
        <f>IF(OR((B209="~"),(C213="~")),"~","")</f>
        <v>~</v>
      </c>
      <c r="C213" s="14" t="s">
        <v>205</v>
      </c>
      <c r="E213" s="72">
        <v>0</v>
      </c>
      <c r="F213" s="72"/>
      <c r="G213" s="72">
        <v>0</v>
      </c>
      <c r="H213" s="72">
        <v>0</v>
      </c>
      <c r="I213" s="72">
        <v>0</v>
      </c>
      <c r="J213" s="72">
        <v>0</v>
      </c>
      <c r="K213" s="72">
        <v>0</v>
      </c>
      <c r="L213" s="72">
        <v>0</v>
      </c>
      <c r="M213" s="72">
        <v>0</v>
      </c>
      <c r="N213" s="72">
        <v>0</v>
      </c>
      <c r="O213" s="72">
        <v>0</v>
      </c>
      <c r="P213" s="72">
        <v>0</v>
      </c>
    </row>
    <row r="214" spans="1:16" hidden="1" x14ac:dyDescent="0.2">
      <c r="A214" s="74"/>
      <c r="B214" s="14" t="str">
        <f>IF(OR((B209="~"),(C214="~")),"~","")</f>
        <v>~</v>
      </c>
      <c r="C214" s="14" t="s">
        <v>205</v>
      </c>
      <c r="E214" s="72">
        <v>0</v>
      </c>
      <c r="F214" s="72"/>
      <c r="G214" s="72">
        <v>0</v>
      </c>
      <c r="H214" s="72">
        <v>0</v>
      </c>
      <c r="I214" s="72">
        <v>0</v>
      </c>
      <c r="J214" s="72">
        <v>0</v>
      </c>
      <c r="K214" s="72">
        <v>0</v>
      </c>
      <c r="L214" s="72">
        <v>0</v>
      </c>
      <c r="M214" s="72">
        <v>0</v>
      </c>
      <c r="N214" s="72">
        <v>0</v>
      </c>
      <c r="O214" s="72">
        <v>0</v>
      </c>
      <c r="P214" s="72">
        <v>0</v>
      </c>
    </row>
    <row r="215" spans="1:16" hidden="1" x14ac:dyDescent="0.2">
      <c r="A215" s="74"/>
      <c r="B215" s="14" t="str">
        <f>IF(OR((B209="~"),(C215="~")),"~","")</f>
        <v>~</v>
      </c>
      <c r="C215" s="14" t="s">
        <v>205</v>
      </c>
      <c r="E215" s="72">
        <v>0</v>
      </c>
      <c r="F215" s="72"/>
      <c r="G215" s="72">
        <v>0</v>
      </c>
      <c r="H215" s="72">
        <v>0</v>
      </c>
      <c r="I215" s="72">
        <v>0</v>
      </c>
      <c r="J215" s="72">
        <v>0</v>
      </c>
      <c r="K215" s="72">
        <v>0</v>
      </c>
      <c r="L215" s="72">
        <v>0</v>
      </c>
      <c r="M215" s="72">
        <v>0</v>
      </c>
      <c r="N215" s="72">
        <v>0</v>
      </c>
      <c r="O215" s="72">
        <v>0</v>
      </c>
      <c r="P215" s="72">
        <v>0</v>
      </c>
    </row>
    <row r="216" spans="1:16" hidden="1" x14ac:dyDescent="0.2">
      <c r="A216" s="31"/>
      <c r="B216" s="26" t="str">
        <f>IF(OR((B209="~"),(C216="~")),"~","")</f>
        <v>~</v>
      </c>
      <c r="C216" s="26" t="str">
        <f>IF(B209="~","~","Sub-total")</f>
        <v>~</v>
      </c>
      <c r="D216" s="26"/>
      <c r="E216" s="28">
        <f>SUM(E210:E215)</f>
        <v>0</v>
      </c>
      <c r="F216" s="28"/>
      <c r="G216" s="28">
        <f t="shared" ref="G216:M216" si="54">SUM(G210:G215)</f>
        <v>0</v>
      </c>
      <c r="H216" s="28">
        <f t="shared" si="54"/>
        <v>0</v>
      </c>
      <c r="I216" s="28">
        <f t="shared" si="54"/>
        <v>0</v>
      </c>
      <c r="J216" s="28">
        <f t="shared" si="54"/>
        <v>0</v>
      </c>
      <c r="K216" s="28">
        <f t="shared" si="54"/>
        <v>0</v>
      </c>
      <c r="L216" s="28">
        <f t="shared" si="54"/>
        <v>0</v>
      </c>
      <c r="M216" s="28">
        <f t="shared" si="54"/>
        <v>0</v>
      </c>
      <c r="N216" s="28">
        <f>SUM(N210:N215)</f>
        <v>0</v>
      </c>
      <c r="O216" s="28">
        <f>SUM(O210:O215)</f>
        <v>0</v>
      </c>
      <c r="P216" s="28">
        <f>SUM(P210:P215)</f>
        <v>0</v>
      </c>
    </row>
    <row r="217" spans="1:16" hidden="1" x14ac:dyDescent="0.2">
      <c r="A217" s="74"/>
      <c r="B217" s="14" t="str">
        <f>IF(OR((B209="~"),(C217="~")),"~","")</f>
        <v>~</v>
      </c>
    </row>
    <row r="218" spans="1:16" hidden="1" x14ac:dyDescent="0.2">
      <c r="A218" s="74"/>
      <c r="B218" s="14" t="s">
        <v>205</v>
      </c>
      <c r="C218" s="13"/>
    </row>
    <row r="219" spans="1:16" hidden="1" x14ac:dyDescent="0.2">
      <c r="A219" s="74"/>
      <c r="B219" s="14" t="str">
        <f>IF(OR((B218="~"),(C219="~")),"~","")</f>
        <v>~</v>
      </c>
      <c r="C219" s="14" t="s">
        <v>205</v>
      </c>
      <c r="E219" s="72">
        <v>0</v>
      </c>
      <c r="F219" s="72"/>
      <c r="G219" s="72">
        <v>0</v>
      </c>
      <c r="H219" s="72">
        <v>0</v>
      </c>
      <c r="I219" s="72">
        <v>0</v>
      </c>
      <c r="J219" s="72">
        <v>0</v>
      </c>
      <c r="K219" s="72">
        <v>0</v>
      </c>
      <c r="L219" s="72">
        <v>0</v>
      </c>
      <c r="M219" s="72">
        <v>0</v>
      </c>
      <c r="N219" s="72">
        <v>0</v>
      </c>
      <c r="O219" s="72">
        <v>0</v>
      </c>
      <c r="P219" s="72">
        <v>0</v>
      </c>
    </row>
    <row r="220" spans="1:16" hidden="1" x14ac:dyDescent="0.2">
      <c r="A220" s="74"/>
      <c r="B220" s="14" t="str">
        <f>IF(OR((B218="~"),(C220="~")),"~","")</f>
        <v>~</v>
      </c>
      <c r="C220" s="14" t="s">
        <v>205</v>
      </c>
      <c r="E220" s="72">
        <v>0</v>
      </c>
      <c r="F220" s="72"/>
      <c r="G220" s="72">
        <v>0</v>
      </c>
      <c r="H220" s="72">
        <v>0</v>
      </c>
      <c r="I220" s="72">
        <v>0</v>
      </c>
      <c r="J220" s="72">
        <v>0</v>
      </c>
      <c r="K220" s="72">
        <v>0</v>
      </c>
      <c r="L220" s="72">
        <v>0</v>
      </c>
      <c r="M220" s="72">
        <v>0</v>
      </c>
      <c r="N220" s="72">
        <v>0</v>
      </c>
      <c r="O220" s="72">
        <v>0</v>
      </c>
      <c r="P220" s="72">
        <v>0</v>
      </c>
    </row>
    <row r="221" spans="1:16" hidden="1" x14ac:dyDescent="0.2">
      <c r="A221" s="74"/>
      <c r="B221" s="14" t="str">
        <f>IF(OR((B218="~"),(C221="~")),"~","")</f>
        <v>~</v>
      </c>
      <c r="C221" s="14" t="s">
        <v>205</v>
      </c>
      <c r="E221" s="72">
        <v>0</v>
      </c>
      <c r="F221" s="72"/>
      <c r="G221" s="72">
        <v>0</v>
      </c>
      <c r="H221" s="72">
        <v>0</v>
      </c>
      <c r="I221" s="72">
        <v>0</v>
      </c>
      <c r="J221" s="72">
        <v>0</v>
      </c>
      <c r="K221" s="72">
        <v>0</v>
      </c>
      <c r="L221" s="72">
        <v>0</v>
      </c>
      <c r="M221" s="72">
        <v>0</v>
      </c>
      <c r="N221" s="72">
        <v>0</v>
      </c>
      <c r="O221" s="72">
        <v>0</v>
      </c>
      <c r="P221" s="72">
        <v>0</v>
      </c>
    </row>
    <row r="222" spans="1:16" hidden="1" x14ac:dyDescent="0.2">
      <c r="A222" s="74"/>
      <c r="B222" s="14" t="str">
        <f>IF(OR((B218="~"),(C222="~")),"~","")</f>
        <v>~</v>
      </c>
      <c r="C222" s="14" t="s">
        <v>205</v>
      </c>
      <c r="E222" s="72">
        <v>0</v>
      </c>
      <c r="F222" s="72"/>
      <c r="G222" s="72">
        <v>0</v>
      </c>
      <c r="H222" s="72">
        <v>0</v>
      </c>
      <c r="I222" s="72">
        <v>0</v>
      </c>
      <c r="J222" s="72">
        <v>0</v>
      </c>
      <c r="K222" s="72">
        <v>0</v>
      </c>
      <c r="L222" s="72">
        <v>0</v>
      </c>
      <c r="M222" s="72">
        <v>0</v>
      </c>
      <c r="N222" s="72">
        <v>0</v>
      </c>
      <c r="O222" s="72">
        <v>0</v>
      </c>
      <c r="P222" s="72">
        <v>0</v>
      </c>
    </row>
    <row r="223" spans="1:16" hidden="1" x14ac:dyDescent="0.2">
      <c r="A223" s="74"/>
      <c r="B223" s="14" t="str">
        <f>IF(OR((B218="~"),(C223="~")),"~","")</f>
        <v>~</v>
      </c>
      <c r="C223" s="14" t="s">
        <v>205</v>
      </c>
      <c r="E223" s="72">
        <v>0</v>
      </c>
      <c r="F223" s="72"/>
      <c r="G223" s="72">
        <v>0</v>
      </c>
      <c r="H223" s="72">
        <v>0</v>
      </c>
      <c r="I223" s="72">
        <v>0</v>
      </c>
      <c r="J223" s="72">
        <v>0</v>
      </c>
      <c r="K223" s="72">
        <v>0</v>
      </c>
      <c r="L223" s="72">
        <v>0</v>
      </c>
      <c r="M223" s="72">
        <v>0</v>
      </c>
      <c r="N223" s="72">
        <v>0</v>
      </c>
      <c r="O223" s="72">
        <v>0</v>
      </c>
      <c r="P223" s="72">
        <v>0</v>
      </c>
    </row>
    <row r="224" spans="1:16" hidden="1" x14ac:dyDescent="0.2">
      <c r="A224" s="74"/>
      <c r="B224" s="14" t="str">
        <f>IF(OR((B218="~"),(C224="~")),"~","")</f>
        <v>~</v>
      </c>
      <c r="C224" s="14" t="s">
        <v>205</v>
      </c>
      <c r="E224" s="72">
        <v>0</v>
      </c>
      <c r="F224" s="72"/>
      <c r="G224" s="72">
        <v>0</v>
      </c>
      <c r="H224" s="72">
        <v>0</v>
      </c>
      <c r="I224" s="72">
        <v>0</v>
      </c>
      <c r="J224" s="72">
        <v>0</v>
      </c>
      <c r="K224" s="72">
        <v>0</v>
      </c>
      <c r="L224" s="72">
        <v>0</v>
      </c>
      <c r="M224" s="72">
        <v>0</v>
      </c>
      <c r="N224" s="72">
        <v>0</v>
      </c>
      <c r="O224" s="72">
        <v>0</v>
      </c>
      <c r="P224" s="72">
        <v>0</v>
      </c>
    </row>
    <row r="225" spans="1:16" hidden="1" x14ac:dyDescent="0.2">
      <c r="A225" s="31"/>
      <c r="B225" s="26" t="str">
        <f>IF(OR((B218="~"),(C225="~")),"~","")</f>
        <v>~</v>
      </c>
      <c r="C225" s="26" t="str">
        <f>IF(B218="~","~","Sub-total")</f>
        <v>~</v>
      </c>
      <c r="D225" s="26"/>
      <c r="E225" s="28">
        <f>SUM(E219:E224)</f>
        <v>0</v>
      </c>
      <c r="F225" s="28"/>
      <c r="G225" s="28">
        <f t="shared" ref="G225:M225" si="55">SUM(G219:G224)</f>
        <v>0</v>
      </c>
      <c r="H225" s="28">
        <f t="shared" si="55"/>
        <v>0</v>
      </c>
      <c r="I225" s="28">
        <f t="shared" si="55"/>
        <v>0</v>
      </c>
      <c r="J225" s="28">
        <f t="shared" si="55"/>
        <v>0</v>
      </c>
      <c r="K225" s="28">
        <f t="shared" si="55"/>
        <v>0</v>
      </c>
      <c r="L225" s="28">
        <f t="shared" si="55"/>
        <v>0</v>
      </c>
      <c r="M225" s="28">
        <f t="shared" si="55"/>
        <v>0</v>
      </c>
      <c r="N225" s="28">
        <f>SUM(N219:N224)</f>
        <v>0</v>
      </c>
      <c r="O225" s="28">
        <f>SUM(O219:O224)</f>
        <v>0</v>
      </c>
      <c r="P225" s="28">
        <f>SUM(P219:P224)</f>
        <v>0</v>
      </c>
    </row>
    <row r="226" spans="1:16" hidden="1" x14ac:dyDescent="0.2">
      <c r="A226" s="74"/>
      <c r="B226" s="14" t="str">
        <f>IF(OR((B218="~"),(C226="~")),"~","")</f>
        <v>~</v>
      </c>
    </row>
    <row r="227" spans="1:16" hidden="1" x14ac:dyDescent="0.2">
      <c r="A227" s="74"/>
      <c r="B227" s="14" t="s">
        <v>205</v>
      </c>
      <c r="C227" s="13"/>
    </row>
    <row r="228" spans="1:16" hidden="1" x14ac:dyDescent="0.2">
      <c r="A228" s="74"/>
      <c r="B228" s="14" t="str">
        <f>IF(OR((B227="~"),(C228="~")),"~","")</f>
        <v>~</v>
      </c>
      <c r="C228" s="14" t="s">
        <v>205</v>
      </c>
      <c r="E228" s="72">
        <v>0</v>
      </c>
      <c r="F228" s="72"/>
      <c r="G228" s="72">
        <v>0</v>
      </c>
      <c r="H228" s="72">
        <v>0</v>
      </c>
      <c r="I228" s="72">
        <v>0</v>
      </c>
      <c r="J228" s="72">
        <v>0</v>
      </c>
      <c r="K228" s="72">
        <v>0</v>
      </c>
      <c r="L228" s="72">
        <v>0</v>
      </c>
      <c r="M228" s="72">
        <v>0</v>
      </c>
      <c r="N228" s="72">
        <v>0</v>
      </c>
      <c r="O228" s="72">
        <v>0</v>
      </c>
      <c r="P228" s="72">
        <v>0</v>
      </c>
    </row>
    <row r="229" spans="1:16" hidden="1" x14ac:dyDescent="0.2">
      <c r="A229" s="74"/>
      <c r="B229" s="14" t="str">
        <f>IF(OR((B227="~"),(C229="~")),"~","")</f>
        <v>~</v>
      </c>
      <c r="C229" s="14" t="s">
        <v>205</v>
      </c>
      <c r="E229" s="72">
        <v>0</v>
      </c>
      <c r="F229" s="72"/>
      <c r="G229" s="72">
        <v>0</v>
      </c>
      <c r="H229" s="72">
        <v>0</v>
      </c>
      <c r="I229" s="72">
        <v>0</v>
      </c>
      <c r="J229" s="72">
        <v>0</v>
      </c>
      <c r="K229" s="72">
        <v>0</v>
      </c>
      <c r="L229" s="72">
        <v>0</v>
      </c>
      <c r="M229" s="72">
        <v>0</v>
      </c>
      <c r="N229" s="72">
        <v>0</v>
      </c>
      <c r="O229" s="72">
        <v>0</v>
      </c>
      <c r="P229" s="72">
        <v>0</v>
      </c>
    </row>
    <row r="230" spans="1:16" hidden="1" x14ac:dyDescent="0.2">
      <c r="A230" s="74"/>
      <c r="B230" s="14" t="str">
        <f>IF(OR((B227="~"),(C230="~")),"~","")</f>
        <v>~</v>
      </c>
      <c r="C230" s="14" t="s">
        <v>205</v>
      </c>
      <c r="E230" s="72">
        <v>0</v>
      </c>
      <c r="F230" s="72"/>
      <c r="G230" s="72">
        <v>0</v>
      </c>
      <c r="H230" s="72">
        <v>0</v>
      </c>
      <c r="I230" s="72">
        <v>0</v>
      </c>
      <c r="J230" s="72">
        <v>0</v>
      </c>
      <c r="K230" s="72">
        <v>0</v>
      </c>
      <c r="L230" s="72">
        <v>0</v>
      </c>
      <c r="M230" s="72">
        <v>0</v>
      </c>
      <c r="N230" s="72">
        <v>0</v>
      </c>
      <c r="O230" s="72">
        <v>0</v>
      </c>
      <c r="P230" s="72">
        <v>0</v>
      </c>
    </row>
    <row r="231" spans="1:16" hidden="1" x14ac:dyDescent="0.2">
      <c r="A231" s="74"/>
      <c r="B231" s="14" t="str">
        <f>IF(OR((B227="~"),(C231="~")),"~","")</f>
        <v>~</v>
      </c>
      <c r="C231" s="14" t="s">
        <v>205</v>
      </c>
      <c r="E231" s="72">
        <v>0</v>
      </c>
      <c r="F231" s="72"/>
      <c r="G231" s="72">
        <v>0</v>
      </c>
      <c r="H231" s="72">
        <v>0</v>
      </c>
      <c r="I231" s="72">
        <v>0</v>
      </c>
      <c r="J231" s="72">
        <v>0</v>
      </c>
      <c r="K231" s="72">
        <v>0</v>
      </c>
      <c r="L231" s="72">
        <v>0</v>
      </c>
      <c r="M231" s="72">
        <v>0</v>
      </c>
      <c r="N231" s="72">
        <v>0</v>
      </c>
      <c r="O231" s="72">
        <v>0</v>
      </c>
      <c r="P231" s="72">
        <v>0</v>
      </c>
    </row>
    <row r="232" spans="1:16" hidden="1" x14ac:dyDescent="0.2">
      <c r="A232" s="74"/>
      <c r="B232" s="14" t="str">
        <f>IF(OR((B227="~"),(C232="~")),"~","")</f>
        <v>~</v>
      </c>
      <c r="C232" s="14" t="s">
        <v>205</v>
      </c>
      <c r="E232" s="72">
        <v>0</v>
      </c>
      <c r="F232" s="72"/>
      <c r="G232" s="72">
        <v>0</v>
      </c>
      <c r="H232" s="72">
        <v>0</v>
      </c>
      <c r="I232" s="72">
        <v>0</v>
      </c>
      <c r="J232" s="72">
        <v>0</v>
      </c>
      <c r="K232" s="72">
        <v>0</v>
      </c>
      <c r="L232" s="72">
        <v>0</v>
      </c>
      <c r="M232" s="72">
        <v>0</v>
      </c>
      <c r="N232" s="72">
        <v>0</v>
      </c>
      <c r="O232" s="72">
        <v>0</v>
      </c>
      <c r="P232" s="72">
        <v>0</v>
      </c>
    </row>
    <row r="233" spans="1:16" hidden="1" x14ac:dyDescent="0.2">
      <c r="A233" s="74"/>
      <c r="B233" s="14" t="str">
        <f>IF(OR((B227="~"),(C233="~")),"~","")</f>
        <v>~</v>
      </c>
      <c r="C233" s="14" t="s">
        <v>205</v>
      </c>
      <c r="E233" s="72">
        <v>0</v>
      </c>
      <c r="F233" s="72"/>
      <c r="G233" s="72">
        <v>0</v>
      </c>
      <c r="H233" s="72">
        <v>0</v>
      </c>
      <c r="I233" s="72">
        <v>0</v>
      </c>
      <c r="J233" s="72">
        <v>0</v>
      </c>
      <c r="K233" s="72">
        <v>0</v>
      </c>
      <c r="L233" s="72">
        <v>0</v>
      </c>
      <c r="M233" s="72">
        <v>0</v>
      </c>
      <c r="N233" s="72">
        <v>0</v>
      </c>
      <c r="O233" s="72">
        <v>0</v>
      </c>
      <c r="P233" s="72">
        <v>0</v>
      </c>
    </row>
    <row r="234" spans="1:16" hidden="1" x14ac:dyDescent="0.2">
      <c r="A234" s="31"/>
      <c r="B234" s="26" t="str">
        <f>IF(OR((B227="~"),(C234="~")),"~","")</f>
        <v>~</v>
      </c>
      <c r="C234" s="26" t="str">
        <f>IF(B227="~","~","Sub-total")</f>
        <v>~</v>
      </c>
      <c r="D234" s="26"/>
      <c r="E234" s="28">
        <f>SUM(E228:E233)</f>
        <v>0</v>
      </c>
      <c r="F234" s="28"/>
      <c r="G234" s="28">
        <f t="shared" ref="G234:M234" si="56">SUM(G228:G233)</f>
        <v>0</v>
      </c>
      <c r="H234" s="28">
        <f t="shared" si="56"/>
        <v>0</v>
      </c>
      <c r="I234" s="28">
        <f t="shared" si="56"/>
        <v>0</v>
      </c>
      <c r="J234" s="28">
        <f t="shared" si="56"/>
        <v>0</v>
      </c>
      <c r="K234" s="28">
        <f t="shared" si="56"/>
        <v>0</v>
      </c>
      <c r="L234" s="28">
        <f t="shared" si="56"/>
        <v>0</v>
      </c>
      <c r="M234" s="28">
        <f t="shared" si="56"/>
        <v>0</v>
      </c>
      <c r="N234" s="28">
        <f>SUM(N228:N233)</f>
        <v>0</v>
      </c>
      <c r="O234" s="28">
        <f>SUM(O228:O233)</f>
        <v>0</v>
      </c>
      <c r="P234" s="28">
        <f>SUM(P228:P233)</f>
        <v>0</v>
      </c>
    </row>
    <row r="235" spans="1:16" hidden="1" x14ac:dyDescent="0.2">
      <c r="A235" s="74"/>
      <c r="B235" s="14" t="str">
        <f>IF(OR((B227="~"),(C235="~")),"~","")</f>
        <v>~</v>
      </c>
    </row>
    <row r="236" spans="1:16" hidden="1" x14ac:dyDescent="0.2">
      <c r="A236" s="74"/>
      <c r="B236" s="14" t="s">
        <v>205</v>
      </c>
      <c r="C236" s="13"/>
    </row>
    <row r="237" spans="1:16" hidden="1" x14ac:dyDescent="0.2">
      <c r="A237" s="74"/>
      <c r="B237" s="14" t="str">
        <f>IF(OR((B236="~"),(C237="~")),"~","")</f>
        <v>~</v>
      </c>
      <c r="C237" s="14" t="s">
        <v>205</v>
      </c>
      <c r="E237" s="72">
        <v>0</v>
      </c>
      <c r="F237" s="72"/>
      <c r="G237" s="72">
        <v>0</v>
      </c>
      <c r="H237" s="72">
        <v>0</v>
      </c>
      <c r="I237" s="72">
        <v>0</v>
      </c>
      <c r="J237" s="72">
        <v>0</v>
      </c>
      <c r="K237" s="72">
        <v>0</v>
      </c>
      <c r="L237" s="72">
        <v>0</v>
      </c>
      <c r="M237" s="72">
        <v>0</v>
      </c>
      <c r="N237" s="72">
        <v>0</v>
      </c>
      <c r="O237" s="72">
        <v>0</v>
      </c>
      <c r="P237" s="72">
        <v>0</v>
      </c>
    </row>
    <row r="238" spans="1:16" hidden="1" x14ac:dyDescent="0.2">
      <c r="A238" s="74"/>
      <c r="B238" s="14" t="str">
        <f>IF(OR((B236="~"),(C238="~")),"~","")</f>
        <v>~</v>
      </c>
      <c r="C238" s="14" t="s">
        <v>205</v>
      </c>
      <c r="E238" s="72">
        <v>0</v>
      </c>
      <c r="F238" s="72"/>
      <c r="G238" s="72">
        <v>0</v>
      </c>
      <c r="H238" s="72">
        <v>0</v>
      </c>
      <c r="I238" s="72">
        <v>0</v>
      </c>
      <c r="J238" s="72">
        <v>0</v>
      </c>
      <c r="K238" s="72">
        <v>0</v>
      </c>
      <c r="L238" s="72">
        <v>0</v>
      </c>
      <c r="M238" s="72">
        <v>0</v>
      </c>
      <c r="N238" s="72">
        <v>0</v>
      </c>
      <c r="O238" s="72">
        <v>0</v>
      </c>
      <c r="P238" s="72">
        <v>0</v>
      </c>
    </row>
    <row r="239" spans="1:16" hidden="1" x14ac:dyDescent="0.2">
      <c r="A239" s="74"/>
      <c r="B239" s="14" t="str">
        <f>IF(OR((B236="~"),(C239="~")),"~","")</f>
        <v>~</v>
      </c>
      <c r="C239" s="14" t="s">
        <v>205</v>
      </c>
      <c r="E239" s="72">
        <v>0</v>
      </c>
      <c r="F239" s="72"/>
      <c r="G239" s="72">
        <v>0</v>
      </c>
      <c r="H239" s="72">
        <v>0</v>
      </c>
      <c r="I239" s="72">
        <v>0</v>
      </c>
      <c r="J239" s="72">
        <v>0</v>
      </c>
      <c r="K239" s="72">
        <v>0</v>
      </c>
      <c r="L239" s="72">
        <v>0</v>
      </c>
      <c r="M239" s="72">
        <v>0</v>
      </c>
      <c r="N239" s="72">
        <v>0</v>
      </c>
      <c r="O239" s="72">
        <v>0</v>
      </c>
      <c r="P239" s="72">
        <v>0</v>
      </c>
    </row>
    <row r="240" spans="1:16" hidden="1" x14ac:dyDescent="0.2">
      <c r="A240" s="74"/>
      <c r="B240" s="14" t="str">
        <f>IF(OR((B236="~"),(C240="~")),"~","")</f>
        <v>~</v>
      </c>
      <c r="C240" s="14" t="s">
        <v>205</v>
      </c>
      <c r="E240" s="72">
        <v>0</v>
      </c>
      <c r="F240" s="72"/>
      <c r="G240" s="72">
        <v>0</v>
      </c>
      <c r="H240" s="72">
        <v>0</v>
      </c>
      <c r="I240" s="72">
        <v>0</v>
      </c>
      <c r="J240" s="72">
        <v>0</v>
      </c>
      <c r="K240" s="72">
        <v>0</v>
      </c>
      <c r="L240" s="72">
        <v>0</v>
      </c>
      <c r="M240" s="72">
        <v>0</v>
      </c>
      <c r="N240" s="72">
        <v>0</v>
      </c>
      <c r="O240" s="72">
        <v>0</v>
      </c>
      <c r="P240" s="72">
        <v>0</v>
      </c>
    </row>
    <row r="241" spans="1:16" hidden="1" x14ac:dyDescent="0.2">
      <c r="A241" s="74"/>
      <c r="B241" s="14" t="str">
        <f>IF(OR((B236="~"),(C241="~")),"~","")</f>
        <v>~</v>
      </c>
      <c r="C241" s="14" t="s">
        <v>205</v>
      </c>
      <c r="E241" s="72">
        <v>0</v>
      </c>
      <c r="F241" s="72"/>
      <c r="G241" s="72">
        <v>0</v>
      </c>
      <c r="H241" s="72">
        <v>0</v>
      </c>
      <c r="I241" s="72">
        <v>0</v>
      </c>
      <c r="J241" s="72">
        <v>0</v>
      </c>
      <c r="K241" s="72">
        <v>0</v>
      </c>
      <c r="L241" s="72">
        <v>0</v>
      </c>
      <c r="M241" s="72">
        <v>0</v>
      </c>
      <c r="N241" s="72">
        <v>0</v>
      </c>
      <c r="O241" s="72">
        <v>0</v>
      </c>
      <c r="P241" s="72">
        <v>0</v>
      </c>
    </row>
    <row r="242" spans="1:16" hidden="1" x14ac:dyDescent="0.2">
      <c r="A242" s="74"/>
      <c r="B242" s="14" t="str">
        <f>IF(OR((B236="~"),(C242="~")),"~","")</f>
        <v>~</v>
      </c>
      <c r="C242" s="14" t="s">
        <v>205</v>
      </c>
      <c r="E242" s="72">
        <v>0</v>
      </c>
      <c r="F242" s="72"/>
      <c r="G242" s="72">
        <v>0</v>
      </c>
      <c r="H242" s="72">
        <v>0</v>
      </c>
      <c r="I242" s="72">
        <v>0</v>
      </c>
      <c r="J242" s="72">
        <v>0</v>
      </c>
      <c r="K242" s="72">
        <v>0</v>
      </c>
      <c r="L242" s="72">
        <v>0</v>
      </c>
      <c r="M242" s="72">
        <v>0</v>
      </c>
      <c r="N242" s="72">
        <v>0</v>
      </c>
      <c r="O242" s="72">
        <v>0</v>
      </c>
      <c r="P242" s="72">
        <v>0</v>
      </c>
    </row>
    <row r="243" spans="1:16" hidden="1" x14ac:dyDescent="0.2">
      <c r="A243" s="31"/>
      <c r="B243" s="26" t="str">
        <f>IF(OR((B236="~"),(C243="~")),"~","")</f>
        <v>~</v>
      </c>
      <c r="C243" s="26" t="str">
        <f>IF(B236="~","~","Sub-total")</f>
        <v>~</v>
      </c>
      <c r="D243" s="26"/>
      <c r="E243" s="28">
        <f>SUM(E237:E242)</f>
        <v>0</v>
      </c>
      <c r="F243" s="28"/>
      <c r="G243" s="28">
        <f t="shared" ref="G243:M243" si="57">SUM(G237:G242)</f>
        <v>0</v>
      </c>
      <c r="H243" s="28">
        <f t="shared" si="57"/>
        <v>0</v>
      </c>
      <c r="I243" s="28">
        <f t="shared" si="57"/>
        <v>0</v>
      </c>
      <c r="J243" s="28">
        <f t="shared" si="57"/>
        <v>0</v>
      </c>
      <c r="K243" s="28">
        <f t="shared" si="57"/>
        <v>0</v>
      </c>
      <c r="L243" s="28">
        <f t="shared" si="57"/>
        <v>0</v>
      </c>
      <c r="M243" s="28">
        <f t="shared" si="57"/>
        <v>0</v>
      </c>
      <c r="N243" s="28">
        <f>SUM(N237:N242)</f>
        <v>0</v>
      </c>
      <c r="O243" s="28">
        <f>SUM(O237:O242)</f>
        <v>0</v>
      </c>
      <c r="P243" s="28">
        <f>SUM(P237:P242)</f>
        <v>0</v>
      </c>
    </row>
    <row r="244" spans="1:16" hidden="1" x14ac:dyDescent="0.2">
      <c r="A244" s="74"/>
      <c r="B244" s="14" t="str">
        <f>IF(OR((B236="~"),(C244="~")),"~","")</f>
        <v>~</v>
      </c>
    </row>
    <row r="245" spans="1:16" hidden="1" x14ac:dyDescent="0.2">
      <c r="A245" s="74"/>
      <c r="B245" s="14" t="s">
        <v>205</v>
      </c>
      <c r="C245" s="13"/>
    </row>
    <row r="246" spans="1:16" hidden="1" x14ac:dyDescent="0.2">
      <c r="A246" s="74"/>
      <c r="B246" s="14" t="str">
        <f>IF(OR((B245="~"),(C246="~")),"~","")</f>
        <v>~</v>
      </c>
      <c r="C246" s="14" t="s">
        <v>205</v>
      </c>
      <c r="E246" s="72">
        <v>0</v>
      </c>
      <c r="F246" s="72"/>
      <c r="G246" s="72">
        <v>0</v>
      </c>
      <c r="H246" s="72">
        <v>0</v>
      </c>
      <c r="I246" s="72">
        <v>0</v>
      </c>
      <c r="J246" s="72">
        <v>0</v>
      </c>
      <c r="K246" s="72">
        <v>0</v>
      </c>
      <c r="L246" s="72">
        <v>0</v>
      </c>
      <c r="M246" s="72">
        <v>0</v>
      </c>
      <c r="N246" s="72">
        <v>0</v>
      </c>
      <c r="O246" s="72">
        <v>0</v>
      </c>
      <c r="P246" s="72">
        <v>0</v>
      </c>
    </row>
    <row r="247" spans="1:16" hidden="1" x14ac:dyDescent="0.2">
      <c r="A247" s="74"/>
      <c r="B247" s="14" t="str">
        <f>IF(OR((B245="~"),(C247="~")),"~","")</f>
        <v>~</v>
      </c>
      <c r="C247" s="14" t="s">
        <v>205</v>
      </c>
      <c r="E247" s="72">
        <v>0</v>
      </c>
      <c r="F247" s="72"/>
      <c r="G247" s="72">
        <v>0</v>
      </c>
      <c r="H247" s="72">
        <v>0</v>
      </c>
      <c r="I247" s="72">
        <v>0</v>
      </c>
      <c r="J247" s="72">
        <v>0</v>
      </c>
      <c r="K247" s="72">
        <v>0</v>
      </c>
      <c r="L247" s="72">
        <v>0</v>
      </c>
      <c r="M247" s="72">
        <v>0</v>
      </c>
      <c r="N247" s="72">
        <v>0</v>
      </c>
      <c r="O247" s="72">
        <v>0</v>
      </c>
      <c r="P247" s="72">
        <v>0</v>
      </c>
    </row>
    <row r="248" spans="1:16" hidden="1" x14ac:dyDescent="0.2">
      <c r="A248" s="74"/>
      <c r="B248" s="14" t="str">
        <f>IF(OR((B245="~"),(C248="~")),"~","")</f>
        <v>~</v>
      </c>
      <c r="C248" s="14" t="s">
        <v>205</v>
      </c>
      <c r="E248" s="72">
        <v>0</v>
      </c>
      <c r="F248" s="72"/>
      <c r="G248" s="72">
        <v>0</v>
      </c>
      <c r="H248" s="72">
        <v>0</v>
      </c>
      <c r="I248" s="72">
        <v>0</v>
      </c>
      <c r="J248" s="72">
        <v>0</v>
      </c>
      <c r="K248" s="72">
        <v>0</v>
      </c>
      <c r="L248" s="72">
        <v>0</v>
      </c>
      <c r="M248" s="72">
        <v>0</v>
      </c>
      <c r="N248" s="72">
        <v>0</v>
      </c>
      <c r="O248" s="72">
        <v>0</v>
      </c>
      <c r="P248" s="72">
        <v>0</v>
      </c>
    </row>
    <row r="249" spans="1:16" hidden="1" x14ac:dyDescent="0.2">
      <c r="A249" s="74"/>
      <c r="B249" s="14" t="str">
        <f>IF(OR((B245="~"),(C249="~")),"~","")</f>
        <v>~</v>
      </c>
      <c r="C249" s="14" t="s">
        <v>205</v>
      </c>
      <c r="E249" s="72">
        <v>0</v>
      </c>
      <c r="F249" s="72"/>
      <c r="G249" s="72">
        <v>0</v>
      </c>
      <c r="H249" s="72">
        <v>0</v>
      </c>
      <c r="I249" s="72">
        <v>0</v>
      </c>
      <c r="J249" s="72">
        <v>0</v>
      </c>
      <c r="K249" s="72">
        <v>0</v>
      </c>
      <c r="L249" s="72">
        <v>0</v>
      </c>
      <c r="M249" s="72">
        <v>0</v>
      </c>
      <c r="N249" s="72">
        <v>0</v>
      </c>
      <c r="O249" s="72">
        <v>0</v>
      </c>
      <c r="P249" s="72">
        <v>0</v>
      </c>
    </row>
    <row r="250" spans="1:16" hidden="1" x14ac:dyDescent="0.2">
      <c r="A250" s="74"/>
      <c r="B250" s="14" t="str">
        <f>IF(OR((B245="~"),(C250="~")),"~","")</f>
        <v>~</v>
      </c>
      <c r="C250" s="14" t="s">
        <v>205</v>
      </c>
      <c r="E250" s="72">
        <v>0</v>
      </c>
      <c r="F250" s="72"/>
      <c r="G250" s="72">
        <v>0</v>
      </c>
      <c r="H250" s="72">
        <v>0</v>
      </c>
      <c r="I250" s="72">
        <v>0</v>
      </c>
      <c r="J250" s="72">
        <v>0</v>
      </c>
      <c r="K250" s="72">
        <v>0</v>
      </c>
      <c r="L250" s="72">
        <v>0</v>
      </c>
      <c r="M250" s="72">
        <v>0</v>
      </c>
      <c r="N250" s="72">
        <v>0</v>
      </c>
      <c r="O250" s="72">
        <v>0</v>
      </c>
      <c r="P250" s="72">
        <v>0</v>
      </c>
    </row>
    <row r="251" spans="1:16" hidden="1" x14ac:dyDescent="0.2">
      <c r="A251" s="74"/>
      <c r="B251" s="14" t="str">
        <f>IF(OR((B245="~"),(C251="~")),"~","")</f>
        <v>~</v>
      </c>
      <c r="C251" s="14" t="s">
        <v>205</v>
      </c>
      <c r="E251" s="72">
        <v>0</v>
      </c>
      <c r="F251" s="72"/>
      <c r="G251" s="72">
        <v>0</v>
      </c>
      <c r="H251" s="72">
        <v>0</v>
      </c>
      <c r="I251" s="72">
        <v>0</v>
      </c>
      <c r="J251" s="72">
        <v>0</v>
      </c>
      <c r="K251" s="72">
        <v>0</v>
      </c>
      <c r="L251" s="72">
        <v>0</v>
      </c>
      <c r="M251" s="72">
        <v>0</v>
      </c>
      <c r="N251" s="72">
        <v>0</v>
      </c>
      <c r="O251" s="72">
        <v>0</v>
      </c>
      <c r="P251" s="72">
        <v>0</v>
      </c>
    </row>
    <row r="252" spans="1:16" hidden="1" x14ac:dyDescent="0.2">
      <c r="A252" s="31"/>
      <c r="B252" s="26" t="str">
        <f>IF(OR((B245="~"),(C252="~")),"~","")</f>
        <v>~</v>
      </c>
      <c r="C252" s="26" t="str">
        <f>IF(B245="~","~","Sub-total")</f>
        <v>~</v>
      </c>
      <c r="D252" s="26"/>
      <c r="E252" s="28">
        <f>SUM(E246:E251)</f>
        <v>0</v>
      </c>
      <c r="F252" s="28"/>
      <c r="G252" s="28">
        <f t="shared" ref="G252:M252" si="58">SUM(G246:G251)</f>
        <v>0</v>
      </c>
      <c r="H252" s="28">
        <f t="shared" si="58"/>
        <v>0</v>
      </c>
      <c r="I252" s="28">
        <f t="shared" si="58"/>
        <v>0</v>
      </c>
      <c r="J252" s="28">
        <f t="shared" si="58"/>
        <v>0</v>
      </c>
      <c r="K252" s="28">
        <f t="shared" si="58"/>
        <v>0</v>
      </c>
      <c r="L252" s="28">
        <f t="shared" si="58"/>
        <v>0</v>
      </c>
      <c r="M252" s="28">
        <f t="shared" si="58"/>
        <v>0</v>
      </c>
      <c r="N252" s="28">
        <f>SUM(N246:N251)</f>
        <v>0</v>
      </c>
      <c r="O252" s="28">
        <f>SUM(O246:O251)</f>
        <v>0</v>
      </c>
      <c r="P252" s="28">
        <f>SUM(P246:P251)</f>
        <v>0</v>
      </c>
    </row>
    <row r="253" spans="1:16" hidden="1" x14ac:dyDescent="0.2">
      <c r="A253" s="74"/>
      <c r="B253" s="14" t="str">
        <f>IF(OR((B245="~"),(C253="~")),"~","")</f>
        <v>~</v>
      </c>
    </row>
    <row r="254" spans="1:16" x14ac:dyDescent="0.2">
      <c r="A254" s="74">
        <f>+A189+1</f>
        <v>27</v>
      </c>
    </row>
    <row r="255" spans="1:16" x14ac:dyDescent="0.2">
      <c r="A255" s="74">
        <f>+A254+1</f>
        <v>28</v>
      </c>
      <c r="C255" s="13" t="s">
        <v>49</v>
      </c>
    </row>
    <row r="256" spans="1:16" x14ac:dyDescent="0.2">
      <c r="A256" s="74">
        <f t="shared" ref="A256:A262" si="59">+A255+1</f>
        <v>29</v>
      </c>
      <c r="B256" s="14" t="str">
        <f>IF(OR((C255="~"),(C256="~")),"~","")</f>
        <v/>
      </c>
      <c r="C256" s="14" t="s">
        <v>189</v>
      </c>
      <c r="E256" s="72">
        <v>609612681.72094834</v>
      </c>
      <c r="F256" s="72"/>
      <c r="G256" s="72">
        <f>SUM(G165,G174,G183)</f>
        <v>393404088.40202999</v>
      </c>
      <c r="H256" s="72">
        <f t="shared" ref="H256:P256" si="60">SUM(H165,H174,H183)</f>
        <v>76647349.744192183</v>
      </c>
      <c r="I256" s="72">
        <f t="shared" si="60"/>
        <v>69425646.652407616</v>
      </c>
      <c r="J256" s="72">
        <f t="shared" si="60"/>
        <v>32127543.487217672</v>
      </c>
      <c r="K256" s="72">
        <f t="shared" si="60"/>
        <v>28391344.311019916</v>
      </c>
      <c r="L256" s="72">
        <f t="shared" si="60"/>
        <v>4533165.1541452259</v>
      </c>
      <c r="M256" s="72">
        <f t="shared" si="60"/>
        <v>1723913.3962068181</v>
      </c>
      <c r="N256" s="72">
        <f t="shared" si="60"/>
        <v>388655.44177133299</v>
      </c>
      <c r="O256" s="72">
        <f t="shared" si="60"/>
        <v>2743718.3076762753</v>
      </c>
      <c r="P256" s="72">
        <f t="shared" si="60"/>
        <v>227256.82428113883</v>
      </c>
    </row>
    <row r="257" spans="1:16" x14ac:dyDescent="0.2">
      <c r="A257" s="74">
        <f t="shared" si="59"/>
        <v>30</v>
      </c>
      <c r="B257" s="14" t="str">
        <f>IF(OR((C255="~"),(C257="~")),"~","")</f>
        <v/>
      </c>
      <c r="C257" s="14" t="s">
        <v>203</v>
      </c>
      <c r="E257" s="72">
        <v>1320634367.078073</v>
      </c>
      <c r="F257" s="72"/>
      <c r="G257" s="72">
        <f t="shared" ref="G257:P257" si="61">SUM(G166,G175,G184)</f>
        <v>681379190.09265554</v>
      </c>
      <c r="H257" s="72">
        <f t="shared" si="61"/>
        <v>173130456.99275792</v>
      </c>
      <c r="I257" s="72">
        <f t="shared" si="61"/>
        <v>192534326.47726747</v>
      </c>
      <c r="J257" s="72">
        <f t="shared" si="61"/>
        <v>124255073.11166739</v>
      </c>
      <c r="K257" s="72">
        <f t="shared" si="61"/>
        <v>94256491.892982647</v>
      </c>
      <c r="L257" s="72">
        <f t="shared" si="61"/>
        <v>1841991.5886059974</v>
      </c>
      <c r="M257" s="72">
        <f t="shared" si="61"/>
        <v>37418889.304911897</v>
      </c>
      <c r="N257" s="72">
        <f t="shared" si="61"/>
        <v>10871282.36803776</v>
      </c>
      <c r="O257" s="72">
        <f t="shared" si="61"/>
        <v>4505698.1660892209</v>
      </c>
      <c r="P257" s="72">
        <f t="shared" si="61"/>
        <v>440967.08309732156</v>
      </c>
    </row>
    <row r="258" spans="1:16" x14ac:dyDescent="0.2">
      <c r="A258" s="74">
        <f t="shared" si="59"/>
        <v>31</v>
      </c>
      <c r="B258" s="14" t="str">
        <f>IF(OR((C255="~"),(C258="~")),"~","")</f>
        <v/>
      </c>
      <c r="C258" s="14" t="s">
        <v>204</v>
      </c>
      <c r="E258" s="72">
        <v>145276627.07080346</v>
      </c>
      <c r="F258" s="72"/>
      <c r="G258" s="72">
        <f t="shared" ref="G258:P258" si="62">SUM(G167,G176,G185)</f>
        <v>113616786.30135942</v>
      </c>
      <c r="H258" s="72">
        <f t="shared" si="62"/>
        <v>10922080.136683011</v>
      </c>
      <c r="I258" s="72">
        <f t="shared" si="62"/>
        <v>2890104.3709538393</v>
      </c>
      <c r="J258" s="72">
        <f t="shared" si="62"/>
        <v>1070100.5098644602</v>
      </c>
      <c r="K258" s="72">
        <f t="shared" si="62"/>
        <v>5601186.0179846268</v>
      </c>
      <c r="L258" s="72">
        <f t="shared" si="62"/>
        <v>-674569.72381744243</v>
      </c>
      <c r="M258" s="72">
        <f t="shared" si="62"/>
        <v>307442.75552976632</v>
      </c>
      <c r="N258" s="72">
        <f t="shared" si="62"/>
        <v>526607.38913277211</v>
      </c>
      <c r="O258" s="72">
        <f t="shared" si="62"/>
        <v>11014138.620709617</v>
      </c>
      <c r="P258" s="72">
        <f t="shared" si="62"/>
        <v>2750.6924033779351</v>
      </c>
    </row>
    <row r="259" spans="1:16" x14ac:dyDescent="0.2">
      <c r="A259" s="74">
        <f t="shared" si="59"/>
        <v>32</v>
      </c>
      <c r="B259" s="14" t="str">
        <f>IF(OR((C255="~"),(C259="~")),"~","")</f>
        <v>~</v>
      </c>
      <c r="C259" s="14" t="s">
        <v>205</v>
      </c>
      <c r="E259" s="72">
        <v>0</v>
      </c>
      <c r="F259" s="72"/>
      <c r="G259" s="72">
        <f t="shared" ref="G259:P259" si="63">SUM(G168,G177,G186)</f>
        <v>0</v>
      </c>
      <c r="H259" s="72">
        <f t="shared" si="63"/>
        <v>0</v>
      </c>
      <c r="I259" s="72">
        <f t="shared" si="63"/>
        <v>0</v>
      </c>
      <c r="J259" s="72">
        <f t="shared" si="63"/>
        <v>0</v>
      </c>
      <c r="K259" s="72">
        <f t="shared" si="63"/>
        <v>0</v>
      </c>
      <c r="L259" s="72">
        <f t="shared" si="63"/>
        <v>0</v>
      </c>
      <c r="M259" s="72">
        <f t="shared" si="63"/>
        <v>0</v>
      </c>
      <c r="N259" s="72">
        <f t="shared" si="63"/>
        <v>0</v>
      </c>
      <c r="O259" s="72">
        <f t="shared" si="63"/>
        <v>0</v>
      </c>
      <c r="P259" s="72">
        <f t="shared" si="63"/>
        <v>0</v>
      </c>
    </row>
    <row r="260" spans="1:16" x14ac:dyDescent="0.2">
      <c r="A260" s="74">
        <f t="shared" si="59"/>
        <v>33</v>
      </c>
      <c r="B260" s="14" t="str">
        <f>IF(OR((C255="~"),(C260="~")),"~","")</f>
        <v>~</v>
      </c>
      <c r="C260" s="14" t="s">
        <v>205</v>
      </c>
      <c r="E260" s="72">
        <v>0</v>
      </c>
      <c r="F260" s="72"/>
      <c r="G260" s="72">
        <f t="shared" ref="G260:P260" si="64">SUM(G169,G178,G187)</f>
        <v>0</v>
      </c>
      <c r="H260" s="72">
        <f t="shared" si="64"/>
        <v>0</v>
      </c>
      <c r="I260" s="72">
        <f t="shared" si="64"/>
        <v>0</v>
      </c>
      <c r="J260" s="72">
        <f t="shared" si="64"/>
        <v>0</v>
      </c>
      <c r="K260" s="72">
        <f t="shared" si="64"/>
        <v>0</v>
      </c>
      <c r="L260" s="72">
        <f t="shared" si="64"/>
        <v>0</v>
      </c>
      <c r="M260" s="72">
        <f t="shared" si="64"/>
        <v>0</v>
      </c>
      <c r="N260" s="72">
        <f t="shared" si="64"/>
        <v>0</v>
      </c>
      <c r="O260" s="72">
        <f t="shared" si="64"/>
        <v>0</v>
      </c>
      <c r="P260" s="72">
        <f t="shared" si="64"/>
        <v>0</v>
      </c>
    </row>
    <row r="261" spans="1:16" x14ac:dyDescent="0.2">
      <c r="A261" s="74">
        <f t="shared" si="59"/>
        <v>34</v>
      </c>
      <c r="B261" s="14" t="str">
        <f>IF(OR((C255="~"),(C261="~")),"~","")</f>
        <v>~</v>
      </c>
      <c r="C261" s="14" t="s">
        <v>205</v>
      </c>
      <c r="E261" s="72">
        <v>0</v>
      </c>
      <c r="F261" s="72"/>
      <c r="G261" s="72">
        <f t="shared" ref="G261:P261" si="65">SUM(G170,G179,G188)</f>
        <v>0</v>
      </c>
      <c r="H261" s="72">
        <f t="shared" si="65"/>
        <v>0</v>
      </c>
      <c r="I261" s="72">
        <f t="shared" si="65"/>
        <v>0</v>
      </c>
      <c r="J261" s="72">
        <f t="shared" si="65"/>
        <v>0</v>
      </c>
      <c r="K261" s="72">
        <f t="shared" si="65"/>
        <v>0</v>
      </c>
      <c r="L261" s="72">
        <f t="shared" si="65"/>
        <v>0</v>
      </c>
      <c r="M261" s="72">
        <f t="shared" si="65"/>
        <v>0</v>
      </c>
      <c r="N261" s="72">
        <f t="shared" si="65"/>
        <v>0</v>
      </c>
      <c r="O261" s="72">
        <f t="shared" si="65"/>
        <v>0</v>
      </c>
      <c r="P261" s="72">
        <f t="shared" si="65"/>
        <v>0</v>
      </c>
    </row>
    <row r="262" spans="1:16" ht="13.5" thickBot="1" x14ac:dyDescent="0.25">
      <c r="A262" s="32">
        <f t="shared" si="59"/>
        <v>35</v>
      </c>
      <c r="B262" s="21"/>
      <c r="C262" s="21" t="s">
        <v>51</v>
      </c>
      <c r="D262" s="21"/>
      <c r="E262" s="22">
        <f>SUM(E256:E261)</f>
        <v>2075523675.8698246</v>
      </c>
      <c r="F262" s="22"/>
      <c r="G262" s="28">
        <f t="shared" ref="G262:M262" si="66">SUM(G256:G261)</f>
        <v>1188400064.7960451</v>
      </c>
      <c r="H262" s="28">
        <f t="shared" si="66"/>
        <v>260699886.87363312</v>
      </c>
      <c r="I262" s="28">
        <f t="shared" si="66"/>
        <v>264850077.50062892</v>
      </c>
      <c r="J262" s="28">
        <f t="shared" si="66"/>
        <v>157452717.10874951</v>
      </c>
      <c r="K262" s="28">
        <f t="shared" si="66"/>
        <v>128249022.22198719</v>
      </c>
      <c r="L262" s="28">
        <f t="shared" si="66"/>
        <v>5700587.0189337805</v>
      </c>
      <c r="M262" s="28">
        <f t="shared" si="66"/>
        <v>39450245.456648484</v>
      </c>
      <c r="N262" s="28">
        <f>SUM(N256:N261)</f>
        <v>11786545.198941864</v>
      </c>
      <c r="O262" s="28">
        <f>SUM(O256:O261)</f>
        <v>18263555.094475113</v>
      </c>
      <c r="P262" s="28">
        <f>SUM(P256:P261)</f>
        <v>670974.59978183836</v>
      </c>
    </row>
    <row r="263" spans="1:16" ht="13.5" thickTop="1" x14ac:dyDescent="0.2">
      <c r="C263" s="75"/>
      <c r="E263" s="76"/>
      <c r="G263" s="77"/>
      <c r="H263" s="77"/>
      <c r="I263" s="77"/>
      <c r="J263" s="77"/>
      <c r="K263" s="77"/>
      <c r="L263" s="77"/>
      <c r="M263" s="77"/>
      <c r="N263" s="77"/>
    </row>
    <row r="264" spans="1:16" x14ac:dyDescent="0.2">
      <c r="A264" s="103" t="str">
        <f>+A1</f>
        <v>Puget Sound Energy</v>
      </c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</row>
    <row r="265" spans="1:16" x14ac:dyDescent="0.2">
      <c r="A265" s="103" t="str">
        <f>A2</f>
        <v>ELECTRIC COST OF SERVICE SUMMARY</v>
      </c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</row>
    <row r="266" spans="1:16" x14ac:dyDescent="0.2">
      <c r="A266" s="104" t="str">
        <f>+$A$3</f>
        <v>Adjusted Test Year Twelve Months ended December 2018 @ Revenue Requirement Before Attrition and Riders</v>
      </c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</row>
    <row r="267" spans="1:16" x14ac:dyDescent="0.2">
      <c r="A267" s="103" t="s">
        <v>52</v>
      </c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</row>
    <row r="269" spans="1:16" s="33" customFormat="1" ht="42" customHeight="1" x14ac:dyDescent="0.2">
      <c r="A269" s="18" t="s">
        <v>2</v>
      </c>
      <c r="B269" s="18"/>
      <c r="C269" s="18"/>
      <c r="D269" s="18"/>
      <c r="E269" s="18" t="s">
        <v>48</v>
      </c>
      <c r="F269" s="18"/>
      <c r="G269" s="18" t="str">
        <f t="shared" ref="G269:P269" si="67">+G6</f>
        <v>Residential
Sch 7</v>
      </c>
      <c r="H269" s="18" t="str">
        <f t="shared" si="67"/>
        <v>Sec Volt
Sch 24
(kW&lt; 50)</v>
      </c>
      <c r="I269" s="18" t="str">
        <f t="shared" si="67"/>
        <v>Sec Volt
Sch 25
(kW &gt; 50 &amp; &lt; 350)</v>
      </c>
      <c r="J269" s="18" t="str">
        <f t="shared" si="67"/>
        <v>Sec Volt
Sch 26
(kW &gt; 350)</v>
      </c>
      <c r="K269" s="18" t="str">
        <f t="shared" si="67"/>
        <v>Pri Volt
Sch 31/35/43</v>
      </c>
      <c r="L269" s="18" t="str">
        <f t="shared" si="67"/>
        <v>Special Contract</v>
      </c>
      <c r="M269" s="18" t="str">
        <f t="shared" si="67"/>
        <v>High Volt
Sch 46/49</v>
      </c>
      <c r="N269" s="18" t="str">
        <f t="shared" si="67"/>
        <v>Choice /
Retail Wheeling
Sch 448/449</v>
      </c>
      <c r="O269" s="18" t="str">
        <f t="shared" si="67"/>
        <v>Lighting
Sch 50-59</v>
      </c>
      <c r="P269" s="19" t="str">
        <f t="shared" si="67"/>
        <v>Firm Resale</v>
      </c>
    </row>
    <row r="270" spans="1:16" s="33" customFormat="1" x14ac:dyDescent="0.2">
      <c r="C270" s="33" t="s">
        <v>15</v>
      </c>
      <c r="E270" s="33" t="s">
        <v>16</v>
      </c>
      <c r="G270" s="33" t="s">
        <v>17</v>
      </c>
      <c r="H270" s="33" t="s">
        <v>18</v>
      </c>
      <c r="I270" s="33" t="s">
        <v>19</v>
      </c>
      <c r="J270" s="33" t="s">
        <v>20</v>
      </c>
      <c r="K270" s="33" t="s">
        <v>21</v>
      </c>
      <c r="L270" s="33" t="s">
        <v>22</v>
      </c>
      <c r="M270" s="33" t="s">
        <v>23</v>
      </c>
      <c r="N270" s="33" t="s">
        <v>24</v>
      </c>
      <c r="O270" s="33" t="s">
        <v>25</v>
      </c>
      <c r="P270" s="33" t="s">
        <v>26</v>
      </c>
    </row>
    <row r="272" spans="1:16" x14ac:dyDescent="0.2">
      <c r="A272" s="74">
        <v>1</v>
      </c>
      <c r="C272" s="13" t="s">
        <v>202</v>
      </c>
    </row>
    <row r="273" spans="1:16" x14ac:dyDescent="0.2">
      <c r="A273" s="74">
        <f t="shared" ref="A273:A297" si="68">+A272+1</f>
        <v>2</v>
      </c>
      <c r="B273" s="14" t="str">
        <f>IF(OR((C272="~"),(C273="~")),"~","")</f>
        <v/>
      </c>
      <c r="C273" s="14" t="s">
        <v>189</v>
      </c>
      <c r="E273" s="78">
        <f t="shared" ref="E273:E279" si="69">ROUND(IF($C273=0,0,E165/E$372),6)</f>
        <v>5.9779999999999998E-3</v>
      </c>
      <c r="F273" s="78"/>
      <c r="G273" s="78">
        <f t="shared" ref="G273:P279" si="70">ROUND(IF($C273=0,0,G165/G$372),6)</f>
        <v>7.3429999999999997E-3</v>
      </c>
      <c r="H273" s="78">
        <f t="shared" si="70"/>
        <v>6.6629999999999997E-3</v>
      </c>
      <c r="I273" s="78">
        <f t="shared" si="70"/>
        <v>6.4130000000000003E-3</v>
      </c>
      <c r="J273" s="78">
        <f t="shared" si="70"/>
        <v>5.2209999999999999E-3</v>
      </c>
      <c r="K273" s="78">
        <f t="shared" si="70"/>
        <v>4.862E-3</v>
      </c>
      <c r="L273" s="78">
        <f t="shared" si="70"/>
        <v>0</v>
      </c>
      <c r="M273" s="78">
        <f t="shared" si="70"/>
        <v>4.1599999999999996E-3</v>
      </c>
      <c r="N273" s="78">
        <f t="shared" si="70"/>
        <v>0</v>
      </c>
      <c r="O273" s="78">
        <f t="shared" si="70"/>
        <v>4.0020000000000003E-3</v>
      </c>
      <c r="P273" s="78">
        <f t="shared" si="70"/>
        <v>7.247E-3</v>
      </c>
    </row>
    <row r="274" spans="1:16" x14ac:dyDescent="0.2">
      <c r="A274" s="74">
        <f t="shared" si="68"/>
        <v>3</v>
      </c>
      <c r="B274" s="14" t="str">
        <f>IF(OR((C272="~"),(C274="~")),"~","")</f>
        <v/>
      </c>
      <c r="C274" s="14" t="s">
        <v>203</v>
      </c>
      <c r="E274" s="78">
        <f t="shared" si="69"/>
        <v>4.8395000000000001E-2</v>
      </c>
      <c r="F274" s="78"/>
      <c r="G274" s="78">
        <f t="shared" si="70"/>
        <v>5.3703000000000001E-2</v>
      </c>
      <c r="H274" s="78">
        <f t="shared" si="70"/>
        <v>5.3703000000000001E-2</v>
      </c>
      <c r="I274" s="78">
        <f t="shared" si="70"/>
        <v>5.3703000000000001E-2</v>
      </c>
      <c r="J274" s="78">
        <f t="shared" si="70"/>
        <v>5.3703000000000001E-2</v>
      </c>
      <c r="K274" s="78">
        <f t="shared" si="70"/>
        <v>5.3703000000000001E-2</v>
      </c>
      <c r="L274" s="78">
        <f t="shared" si="70"/>
        <v>0</v>
      </c>
      <c r="M274" s="78">
        <f t="shared" si="70"/>
        <v>5.3703000000000001E-2</v>
      </c>
      <c r="N274" s="78">
        <f t="shared" si="70"/>
        <v>0</v>
      </c>
      <c r="O274" s="78">
        <f t="shared" si="70"/>
        <v>5.3703000000000001E-2</v>
      </c>
      <c r="P274" s="78">
        <f t="shared" si="70"/>
        <v>5.3703000000000001E-2</v>
      </c>
    </row>
    <row r="275" spans="1:16" x14ac:dyDescent="0.2">
      <c r="A275" s="74">
        <f t="shared" si="68"/>
        <v>4</v>
      </c>
      <c r="B275" s="14" t="str">
        <f>IF(OR((C272="~"),(C275="~")),"~","")</f>
        <v/>
      </c>
      <c r="C275" s="14" t="s">
        <v>204</v>
      </c>
      <c r="E275" s="78">
        <f t="shared" si="69"/>
        <v>0</v>
      </c>
      <c r="F275" s="78"/>
      <c r="G275" s="78">
        <f t="shared" si="70"/>
        <v>0</v>
      </c>
      <c r="H275" s="78">
        <f t="shared" si="70"/>
        <v>0</v>
      </c>
      <c r="I275" s="78">
        <f t="shared" si="70"/>
        <v>0</v>
      </c>
      <c r="J275" s="78">
        <f t="shared" si="70"/>
        <v>0</v>
      </c>
      <c r="K275" s="78">
        <f t="shared" si="70"/>
        <v>0</v>
      </c>
      <c r="L275" s="78">
        <f t="shared" si="70"/>
        <v>0</v>
      </c>
      <c r="M275" s="78">
        <f t="shared" si="70"/>
        <v>0</v>
      </c>
      <c r="N275" s="78">
        <f t="shared" si="70"/>
        <v>0</v>
      </c>
      <c r="O275" s="78">
        <f t="shared" si="70"/>
        <v>0</v>
      </c>
      <c r="P275" s="78">
        <f t="shared" si="70"/>
        <v>0</v>
      </c>
    </row>
    <row r="276" spans="1:16" x14ac:dyDescent="0.2">
      <c r="A276" s="74">
        <f t="shared" si="68"/>
        <v>5</v>
      </c>
      <c r="B276" s="14" t="str">
        <f>IF(OR((C272="~"),(C276="~")),"~","")</f>
        <v>~</v>
      </c>
      <c r="C276" s="14" t="s">
        <v>205</v>
      </c>
      <c r="E276" s="78">
        <f t="shared" si="69"/>
        <v>0</v>
      </c>
      <c r="F276" s="78"/>
      <c r="G276" s="78">
        <f t="shared" si="70"/>
        <v>0</v>
      </c>
      <c r="H276" s="78">
        <f t="shared" si="70"/>
        <v>0</v>
      </c>
      <c r="I276" s="78">
        <f t="shared" si="70"/>
        <v>0</v>
      </c>
      <c r="J276" s="78">
        <f t="shared" si="70"/>
        <v>0</v>
      </c>
      <c r="K276" s="78">
        <f t="shared" si="70"/>
        <v>0</v>
      </c>
      <c r="L276" s="78">
        <f t="shared" si="70"/>
        <v>0</v>
      </c>
      <c r="M276" s="78">
        <f t="shared" si="70"/>
        <v>0</v>
      </c>
      <c r="N276" s="78">
        <f t="shared" si="70"/>
        <v>0</v>
      </c>
      <c r="O276" s="78">
        <f t="shared" si="70"/>
        <v>0</v>
      </c>
      <c r="P276" s="78">
        <f t="shared" si="70"/>
        <v>0</v>
      </c>
    </row>
    <row r="277" spans="1:16" x14ac:dyDescent="0.2">
      <c r="A277" s="74">
        <f t="shared" si="68"/>
        <v>6</v>
      </c>
      <c r="B277" s="14" t="str">
        <f>IF(OR((C272="~"),(C277="~")),"~","")</f>
        <v>~</v>
      </c>
      <c r="C277" s="14" t="s">
        <v>205</v>
      </c>
      <c r="E277" s="78">
        <f t="shared" si="69"/>
        <v>0</v>
      </c>
      <c r="F277" s="78"/>
      <c r="G277" s="78">
        <f t="shared" si="70"/>
        <v>0</v>
      </c>
      <c r="H277" s="78">
        <f t="shared" si="70"/>
        <v>0</v>
      </c>
      <c r="I277" s="78">
        <f t="shared" si="70"/>
        <v>0</v>
      </c>
      <c r="J277" s="78">
        <f t="shared" si="70"/>
        <v>0</v>
      </c>
      <c r="K277" s="78">
        <f t="shared" si="70"/>
        <v>0</v>
      </c>
      <c r="L277" s="78">
        <f t="shared" si="70"/>
        <v>0</v>
      </c>
      <c r="M277" s="78">
        <f t="shared" si="70"/>
        <v>0</v>
      </c>
      <c r="N277" s="78">
        <f t="shared" si="70"/>
        <v>0</v>
      </c>
      <c r="O277" s="78">
        <f t="shared" si="70"/>
        <v>0</v>
      </c>
      <c r="P277" s="78">
        <f t="shared" si="70"/>
        <v>0</v>
      </c>
    </row>
    <row r="278" spans="1:16" x14ac:dyDescent="0.2">
      <c r="A278" s="74">
        <f t="shared" si="68"/>
        <v>7</v>
      </c>
      <c r="B278" s="14" t="str">
        <f>IF(OR((C272="~"),(C278="~")),"~","")</f>
        <v>~</v>
      </c>
      <c r="C278" s="14" t="s">
        <v>205</v>
      </c>
      <c r="E278" s="78">
        <f t="shared" si="69"/>
        <v>0</v>
      </c>
      <c r="F278" s="78"/>
      <c r="G278" s="78">
        <f t="shared" si="70"/>
        <v>0</v>
      </c>
      <c r="H278" s="78">
        <f t="shared" si="70"/>
        <v>0</v>
      </c>
      <c r="I278" s="78">
        <f t="shared" si="70"/>
        <v>0</v>
      </c>
      <c r="J278" s="78">
        <f t="shared" si="70"/>
        <v>0</v>
      </c>
      <c r="K278" s="78">
        <f t="shared" si="70"/>
        <v>0</v>
      </c>
      <c r="L278" s="78">
        <f t="shared" si="70"/>
        <v>0</v>
      </c>
      <c r="M278" s="78">
        <f t="shared" si="70"/>
        <v>0</v>
      </c>
      <c r="N278" s="78">
        <f t="shared" si="70"/>
        <v>0</v>
      </c>
      <c r="O278" s="78">
        <f t="shared" si="70"/>
        <v>0</v>
      </c>
      <c r="P278" s="78">
        <f t="shared" si="70"/>
        <v>0</v>
      </c>
    </row>
    <row r="279" spans="1:16" x14ac:dyDescent="0.2">
      <c r="A279" s="31">
        <f t="shared" si="68"/>
        <v>8</v>
      </c>
      <c r="B279" s="26" t="str">
        <f>IF(OR((C272="~"),(C279="~")),"~","")</f>
        <v/>
      </c>
      <c r="C279" s="26" t="s">
        <v>53</v>
      </c>
      <c r="D279" s="26"/>
      <c r="E279" s="35">
        <f t="shared" si="69"/>
        <v>5.4371999999999997E-2</v>
      </c>
      <c r="F279" s="35"/>
      <c r="G279" s="35">
        <f t="shared" si="70"/>
        <v>6.1046000000000003E-2</v>
      </c>
      <c r="H279" s="35">
        <f t="shared" si="70"/>
        <v>6.0366000000000003E-2</v>
      </c>
      <c r="I279" s="35">
        <f t="shared" si="70"/>
        <v>6.0116000000000003E-2</v>
      </c>
      <c r="J279" s="35">
        <f t="shared" si="70"/>
        <v>5.8923999999999997E-2</v>
      </c>
      <c r="K279" s="35">
        <f t="shared" si="70"/>
        <v>5.8564999999999999E-2</v>
      </c>
      <c r="L279" s="35">
        <f t="shared" si="70"/>
        <v>0</v>
      </c>
      <c r="M279" s="35">
        <f t="shared" si="70"/>
        <v>5.7862999999999998E-2</v>
      </c>
      <c r="N279" s="35">
        <f t="shared" si="70"/>
        <v>0</v>
      </c>
      <c r="O279" s="35">
        <f t="shared" si="70"/>
        <v>5.7704999999999999E-2</v>
      </c>
      <c r="P279" s="35">
        <f t="shared" si="70"/>
        <v>6.0949999999999997E-2</v>
      </c>
    </row>
    <row r="280" spans="1:16" x14ac:dyDescent="0.2">
      <c r="A280" s="74">
        <f t="shared" si="68"/>
        <v>9</v>
      </c>
      <c r="B280" s="14" t="str">
        <f>IF(OR((C272="~"),(C280="~")),"~","")</f>
        <v/>
      </c>
    </row>
    <row r="281" spans="1:16" x14ac:dyDescent="0.2">
      <c r="A281" s="74">
        <f t="shared" si="68"/>
        <v>10</v>
      </c>
      <c r="C281" s="13" t="s">
        <v>206</v>
      </c>
    </row>
    <row r="282" spans="1:16" x14ac:dyDescent="0.2">
      <c r="A282" s="74">
        <f t="shared" si="68"/>
        <v>11</v>
      </c>
      <c r="B282" s="14" t="str">
        <f>IF(OR((C281="~"),(C282="~")),"~","")</f>
        <v/>
      </c>
      <c r="C282" s="14" t="s">
        <v>189</v>
      </c>
      <c r="E282" s="78">
        <f t="shared" ref="E282:E288" si="71">ROUND(IF($C282=0,0,E174/E$372),6)</f>
        <v>6.9700000000000003E-4</v>
      </c>
      <c r="F282" s="78"/>
      <c r="G282" s="78">
        <f t="shared" ref="G282:P288" si="72">ROUND(IF($C282=0,0,G174/G$372),6)</f>
        <v>7.9699999999999997E-4</v>
      </c>
      <c r="H282" s="78">
        <f t="shared" si="72"/>
        <v>7.2300000000000001E-4</v>
      </c>
      <c r="I282" s="78">
        <f t="shared" si="72"/>
        <v>6.96E-4</v>
      </c>
      <c r="J282" s="78">
        <f t="shared" si="72"/>
        <v>5.6599999999999999E-4</v>
      </c>
      <c r="K282" s="78">
        <f t="shared" si="72"/>
        <v>5.2800000000000004E-4</v>
      </c>
      <c r="L282" s="78">
        <f t="shared" si="72"/>
        <v>5.7300000000000005E-4</v>
      </c>
      <c r="M282" s="78">
        <f t="shared" si="72"/>
        <v>4.5100000000000001E-4</v>
      </c>
      <c r="N282" s="78">
        <f t="shared" si="72"/>
        <v>4.8000000000000001E-4</v>
      </c>
      <c r="O282" s="78">
        <f t="shared" si="72"/>
        <v>4.3399999999999998E-4</v>
      </c>
      <c r="P282" s="78">
        <f t="shared" si="72"/>
        <v>7.8600000000000002E-4</v>
      </c>
    </row>
    <row r="283" spans="1:16" x14ac:dyDescent="0.2">
      <c r="A283" s="74">
        <f t="shared" si="68"/>
        <v>12</v>
      </c>
      <c r="B283" s="14" t="str">
        <f>IF(OR((C281="~"),(C283="~")),"~","")</f>
        <v/>
      </c>
      <c r="C283" s="14" t="s">
        <v>203</v>
      </c>
      <c r="E283" s="78">
        <f t="shared" si="71"/>
        <v>5.6299999999999996E-3</v>
      </c>
      <c r="F283" s="78"/>
      <c r="G283" s="78">
        <f t="shared" si="72"/>
        <v>5.6709999999999998E-3</v>
      </c>
      <c r="H283" s="78">
        <f t="shared" si="72"/>
        <v>5.6709999999999998E-3</v>
      </c>
      <c r="I283" s="78">
        <f t="shared" si="72"/>
        <v>5.6709999999999998E-3</v>
      </c>
      <c r="J283" s="78">
        <f t="shared" si="72"/>
        <v>5.6709999999999998E-3</v>
      </c>
      <c r="K283" s="78">
        <f t="shared" si="72"/>
        <v>5.6709999999999998E-3</v>
      </c>
      <c r="L283" s="78">
        <f t="shared" si="72"/>
        <v>5.2620000000000002E-3</v>
      </c>
      <c r="M283" s="78">
        <f t="shared" si="72"/>
        <v>5.6709999999999998E-3</v>
      </c>
      <c r="N283" s="78">
        <f t="shared" si="72"/>
        <v>5.2620000000000002E-3</v>
      </c>
      <c r="O283" s="78">
        <f t="shared" si="72"/>
        <v>5.6709999999999998E-3</v>
      </c>
      <c r="P283" s="78">
        <f t="shared" si="72"/>
        <v>5.6709999999999998E-3</v>
      </c>
    </row>
    <row r="284" spans="1:16" x14ac:dyDescent="0.2">
      <c r="A284" s="74">
        <f t="shared" si="68"/>
        <v>13</v>
      </c>
      <c r="B284" s="14" t="str">
        <f>IF(OR((C281="~"),(C284="~")),"~","")</f>
        <v/>
      </c>
      <c r="C284" s="14" t="s">
        <v>204</v>
      </c>
      <c r="E284" s="78">
        <f t="shared" si="71"/>
        <v>-4.1E-5</v>
      </c>
      <c r="F284" s="78"/>
      <c r="G284" s="78">
        <f t="shared" si="72"/>
        <v>0</v>
      </c>
      <c r="H284" s="78">
        <f t="shared" si="72"/>
        <v>0</v>
      </c>
      <c r="I284" s="78">
        <f t="shared" si="72"/>
        <v>0</v>
      </c>
      <c r="J284" s="78">
        <f t="shared" si="72"/>
        <v>0</v>
      </c>
      <c r="K284" s="78">
        <f t="shared" si="72"/>
        <v>0</v>
      </c>
      <c r="L284" s="78">
        <f t="shared" si="72"/>
        <v>-2.8860000000000001E-3</v>
      </c>
      <c r="M284" s="78">
        <f t="shared" si="72"/>
        <v>0</v>
      </c>
      <c r="N284" s="78">
        <f t="shared" si="72"/>
        <v>0</v>
      </c>
      <c r="O284" s="78">
        <f t="shared" si="72"/>
        <v>0</v>
      </c>
      <c r="P284" s="78">
        <f t="shared" si="72"/>
        <v>0</v>
      </c>
    </row>
    <row r="285" spans="1:16" x14ac:dyDescent="0.2">
      <c r="A285" s="74">
        <f t="shared" si="68"/>
        <v>14</v>
      </c>
      <c r="B285" s="14" t="str">
        <f>IF(OR((C281="~"),(C285="~")),"~","")</f>
        <v>~</v>
      </c>
      <c r="C285" s="14" t="s">
        <v>205</v>
      </c>
      <c r="E285" s="78">
        <f t="shared" si="71"/>
        <v>0</v>
      </c>
      <c r="F285" s="78"/>
      <c r="G285" s="78">
        <f t="shared" si="72"/>
        <v>0</v>
      </c>
      <c r="H285" s="78">
        <f t="shared" si="72"/>
        <v>0</v>
      </c>
      <c r="I285" s="78">
        <f t="shared" si="72"/>
        <v>0</v>
      </c>
      <c r="J285" s="78">
        <f t="shared" si="72"/>
        <v>0</v>
      </c>
      <c r="K285" s="78">
        <f t="shared" si="72"/>
        <v>0</v>
      </c>
      <c r="L285" s="78">
        <f t="shared" si="72"/>
        <v>0</v>
      </c>
      <c r="M285" s="78">
        <f t="shared" si="72"/>
        <v>0</v>
      </c>
      <c r="N285" s="78">
        <f t="shared" si="72"/>
        <v>0</v>
      </c>
      <c r="O285" s="78">
        <f t="shared" si="72"/>
        <v>0</v>
      </c>
      <c r="P285" s="78">
        <f t="shared" si="72"/>
        <v>0</v>
      </c>
    </row>
    <row r="286" spans="1:16" x14ac:dyDescent="0.2">
      <c r="A286" s="74">
        <f t="shared" si="68"/>
        <v>15</v>
      </c>
      <c r="B286" s="14" t="str">
        <f>IF(OR((C281="~"),(C286="~")),"~","")</f>
        <v>~</v>
      </c>
      <c r="C286" s="14" t="s">
        <v>205</v>
      </c>
      <c r="E286" s="78">
        <f t="shared" si="71"/>
        <v>0</v>
      </c>
      <c r="F286" s="78"/>
      <c r="G286" s="78">
        <f t="shared" si="72"/>
        <v>0</v>
      </c>
      <c r="H286" s="78">
        <f t="shared" si="72"/>
        <v>0</v>
      </c>
      <c r="I286" s="78">
        <f t="shared" si="72"/>
        <v>0</v>
      </c>
      <c r="J286" s="78">
        <f t="shared" si="72"/>
        <v>0</v>
      </c>
      <c r="K286" s="78">
        <f t="shared" si="72"/>
        <v>0</v>
      </c>
      <c r="L286" s="78">
        <f t="shared" si="72"/>
        <v>0</v>
      </c>
      <c r="M286" s="78">
        <f t="shared" si="72"/>
        <v>0</v>
      </c>
      <c r="N286" s="78">
        <f t="shared" si="72"/>
        <v>0</v>
      </c>
      <c r="O286" s="78">
        <f t="shared" si="72"/>
        <v>0</v>
      </c>
      <c r="P286" s="78">
        <f t="shared" si="72"/>
        <v>0</v>
      </c>
    </row>
    <row r="287" spans="1:16" x14ac:dyDescent="0.2">
      <c r="A287" s="74">
        <f t="shared" si="68"/>
        <v>16</v>
      </c>
      <c r="B287" s="14" t="str">
        <f>IF(OR((C281="~"),(C287="~")),"~","")</f>
        <v>~</v>
      </c>
      <c r="C287" s="14" t="s">
        <v>205</v>
      </c>
      <c r="E287" s="78">
        <f t="shared" si="71"/>
        <v>0</v>
      </c>
      <c r="F287" s="78"/>
      <c r="G287" s="78">
        <f t="shared" si="72"/>
        <v>0</v>
      </c>
      <c r="H287" s="78">
        <f t="shared" si="72"/>
        <v>0</v>
      </c>
      <c r="I287" s="78">
        <f t="shared" si="72"/>
        <v>0</v>
      </c>
      <c r="J287" s="78">
        <f t="shared" si="72"/>
        <v>0</v>
      </c>
      <c r="K287" s="78">
        <f t="shared" si="72"/>
        <v>0</v>
      </c>
      <c r="L287" s="78">
        <f t="shared" si="72"/>
        <v>0</v>
      </c>
      <c r="M287" s="78">
        <f t="shared" si="72"/>
        <v>0</v>
      </c>
      <c r="N287" s="78">
        <f t="shared" si="72"/>
        <v>0</v>
      </c>
      <c r="O287" s="78">
        <f t="shared" si="72"/>
        <v>0</v>
      </c>
      <c r="P287" s="78">
        <f t="shared" si="72"/>
        <v>0</v>
      </c>
    </row>
    <row r="288" spans="1:16" x14ac:dyDescent="0.2">
      <c r="A288" s="31">
        <f t="shared" si="68"/>
        <v>17</v>
      </c>
      <c r="B288" s="26" t="str">
        <f>IF(OR((C281="~"),(C288="~")),"~","")</f>
        <v/>
      </c>
      <c r="C288" s="26" t="s">
        <v>53</v>
      </c>
      <c r="D288" s="26"/>
      <c r="E288" s="35">
        <f t="shared" si="71"/>
        <v>6.2859999999999999E-3</v>
      </c>
      <c r="F288" s="35"/>
      <c r="G288" s="35">
        <f t="shared" si="72"/>
        <v>6.4669999999999997E-3</v>
      </c>
      <c r="H288" s="35">
        <f t="shared" si="72"/>
        <v>6.3930000000000002E-3</v>
      </c>
      <c r="I288" s="35">
        <f t="shared" si="72"/>
        <v>6.3660000000000001E-3</v>
      </c>
      <c r="J288" s="35">
        <f t="shared" si="72"/>
        <v>6.2370000000000004E-3</v>
      </c>
      <c r="K288" s="35">
        <f t="shared" si="72"/>
        <v>6.1980000000000004E-3</v>
      </c>
      <c r="L288" s="35">
        <f t="shared" si="72"/>
        <v>2.9489999999999998E-3</v>
      </c>
      <c r="M288" s="35">
        <f t="shared" si="72"/>
        <v>6.1219999999999998E-3</v>
      </c>
      <c r="N288" s="35">
        <f t="shared" si="72"/>
        <v>5.7409999999999996E-3</v>
      </c>
      <c r="O288" s="35">
        <f t="shared" si="72"/>
        <v>6.1050000000000002E-3</v>
      </c>
      <c r="P288" s="35">
        <f t="shared" si="72"/>
        <v>6.4570000000000001E-3</v>
      </c>
    </row>
    <row r="289" spans="1:16" x14ac:dyDescent="0.2">
      <c r="A289" s="74">
        <f t="shared" si="68"/>
        <v>18</v>
      </c>
      <c r="B289" s="14" t="str">
        <f>IF(OR((C281="~"),(C289="~")),"~","")</f>
        <v/>
      </c>
    </row>
    <row r="290" spans="1:16" x14ac:dyDescent="0.2">
      <c r="A290" s="74">
        <f t="shared" si="68"/>
        <v>19</v>
      </c>
      <c r="C290" s="13" t="s">
        <v>207</v>
      </c>
    </row>
    <row r="291" spans="1:16" x14ac:dyDescent="0.2">
      <c r="A291" s="74">
        <f t="shared" si="68"/>
        <v>20</v>
      </c>
      <c r="B291" s="14" t="str">
        <f>IF(OR((C290="~"),(C291="~")),"~","")</f>
        <v/>
      </c>
      <c r="C291" s="14" t="s">
        <v>189</v>
      </c>
      <c r="E291" s="78">
        <f t="shared" ref="E291:E297" si="73">ROUND(IF($C291=0,0,E183/E$372),6)</f>
        <v>1.8263000000000001E-2</v>
      </c>
      <c r="F291" s="78"/>
      <c r="G291" s="78">
        <f t="shared" ref="G291:P297" si="74">ROUND(IF($C291=0,0,G183/G$372),6)</f>
        <v>2.614E-2</v>
      </c>
      <c r="H291" s="78">
        <f t="shared" si="74"/>
        <v>1.89E-2</v>
      </c>
      <c r="I291" s="78">
        <f t="shared" si="74"/>
        <v>1.4300999999999999E-2</v>
      </c>
      <c r="J291" s="78">
        <f t="shared" si="74"/>
        <v>9.5639999999999996E-3</v>
      </c>
      <c r="K291" s="78">
        <f t="shared" si="74"/>
        <v>1.2494E-2</v>
      </c>
      <c r="L291" s="78">
        <f t="shared" si="74"/>
        <v>1.2376E-2</v>
      </c>
      <c r="M291" s="78">
        <f t="shared" si="74"/>
        <v>-1.8760000000000001E-3</v>
      </c>
      <c r="N291" s="78">
        <f t="shared" si="74"/>
        <v>-2.92E-4</v>
      </c>
      <c r="O291" s="78">
        <f t="shared" si="74"/>
        <v>3.1718999999999997E-2</v>
      </c>
      <c r="P291" s="78">
        <f t="shared" si="74"/>
        <v>2.2565000000000002E-2</v>
      </c>
    </row>
    <row r="292" spans="1:16" x14ac:dyDescent="0.2">
      <c r="A292" s="74">
        <f t="shared" si="68"/>
        <v>21</v>
      </c>
      <c r="B292" s="14" t="str">
        <f>IF(OR((C290="~"),(C292="~")),"~","")</f>
        <v/>
      </c>
      <c r="C292" s="14" t="s">
        <v>203</v>
      </c>
      <c r="E292" s="78">
        <f t="shared" si="73"/>
        <v>0</v>
      </c>
      <c r="F292" s="78"/>
      <c r="G292" s="78">
        <f t="shared" si="74"/>
        <v>0</v>
      </c>
      <c r="H292" s="78">
        <f t="shared" si="74"/>
        <v>0</v>
      </c>
      <c r="I292" s="78">
        <f t="shared" si="74"/>
        <v>0</v>
      </c>
      <c r="J292" s="78">
        <f t="shared" si="74"/>
        <v>0</v>
      </c>
      <c r="K292" s="78">
        <f t="shared" si="74"/>
        <v>0</v>
      </c>
      <c r="L292" s="78">
        <f t="shared" si="74"/>
        <v>0</v>
      </c>
      <c r="M292" s="78">
        <f t="shared" si="74"/>
        <v>0</v>
      </c>
      <c r="N292" s="78">
        <f t="shared" si="74"/>
        <v>0</v>
      </c>
      <c r="O292" s="78">
        <f t="shared" si="74"/>
        <v>0</v>
      </c>
      <c r="P292" s="78">
        <f t="shared" si="74"/>
        <v>0</v>
      </c>
    </row>
    <row r="293" spans="1:16" x14ac:dyDescent="0.2">
      <c r="A293" s="74">
        <f t="shared" si="68"/>
        <v>22</v>
      </c>
      <c r="B293" s="14" t="str">
        <f>IF(OR((C290="~"),(C293="~")),"~","")</f>
        <v/>
      </c>
      <c r="C293" s="14" t="s">
        <v>204</v>
      </c>
      <c r="E293" s="78">
        <f t="shared" si="73"/>
        <v>5.9839999999999997E-3</v>
      </c>
      <c r="F293" s="78"/>
      <c r="G293" s="78">
        <f t="shared" si="74"/>
        <v>9.9000000000000008E-3</v>
      </c>
      <c r="H293" s="78">
        <f t="shared" si="74"/>
        <v>3.7460000000000002E-3</v>
      </c>
      <c r="I293" s="78">
        <f t="shared" si="74"/>
        <v>8.9099999999999997E-4</v>
      </c>
      <c r="J293" s="78">
        <f t="shared" si="74"/>
        <v>5.1099999999999995E-4</v>
      </c>
      <c r="K293" s="78">
        <f t="shared" si="74"/>
        <v>3.5279999999999999E-3</v>
      </c>
      <c r="L293" s="78">
        <f t="shared" si="74"/>
        <v>9.59E-4</v>
      </c>
      <c r="M293" s="78">
        <f t="shared" si="74"/>
        <v>4.8799999999999999E-4</v>
      </c>
      <c r="N293" s="78">
        <f t="shared" si="74"/>
        <v>2.5500000000000002E-4</v>
      </c>
      <c r="O293" s="78">
        <f t="shared" si="74"/>
        <v>0.14513799999999999</v>
      </c>
      <c r="P293" s="78">
        <f t="shared" si="74"/>
        <v>3.6999999999999999E-4</v>
      </c>
    </row>
    <row r="294" spans="1:16" x14ac:dyDescent="0.2">
      <c r="A294" s="74">
        <f t="shared" si="68"/>
        <v>23</v>
      </c>
      <c r="B294" s="14" t="str">
        <f>IF(OR((C290="~"),(C294="~")),"~","")</f>
        <v>~</v>
      </c>
      <c r="C294" s="14" t="s">
        <v>205</v>
      </c>
      <c r="E294" s="78">
        <f t="shared" si="73"/>
        <v>0</v>
      </c>
      <c r="F294" s="78"/>
      <c r="G294" s="78">
        <f t="shared" si="74"/>
        <v>0</v>
      </c>
      <c r="H294" s="78">
        <f t="shared" si="74"/>
        <v>0</v>
      </c>
      <c r="I294" s="78">
        <f t="shared" si="74"/>
        <v>0</v>
      </c>
      <c r="J294" s="78">
        <f t="shared" si="74"/>
        <v>0</v>
      </c>
      <c r="K294" s="78">
        <f t="shared" si="74"/>
        <v>0</v>
      </c>
      <c r="L294" s="78">
        <f t="shared" si="74"/>
        <v>0</v>
      </c>
      <c r="M294" s="78">
        <f t="shared" si="74"/>
        <v>0</v>
      </c>
      <c r="N294" s="78">
        <f t="shared" si="74"/>
        <v>0</v>
      </c>
      <c r="O294" s="78">
        <f t="shared" si="74"/>
        <v>0</v>
      </c>
      <c r="P294" s="78">
        <f t="shared" si="74"/>
        <v>0</v>
      </c>
    </row>
    <row r="295" spans="1:16" x14ac:dyDescent="0.2">
      <c r="A295" s="74">
        <f t="shared" si="68"/>
        <v>24</v>
      </c>
      <c r="B295" s="14" t="str">
        <f>IF(OR((C290="~"),(C295="~")),"~","")</f>
        <v>~</v>
      </c>
      <c r="C295" s="14" t="s">
        <v>205</v>
      </c>
      <c r="E295" s="78">
        <f t="shared" si="73"/>
        <v>0</v>
      </c>
      <c r="F295" s="78"/>
      <c r="G295" s="78">
        <f t="shared" si="74"/>
        <v>0</v>
      </c>
      <c r="H295" s="78">
        <f t="shared" si="74"/>
        <v>0</v>
      </c>
      <c r="I295" s="78">
        <f t="shared" si="74"/>
        <v>0</v>
      </c>
      <c r="J295" s="78">
        <f t="shared" si="74"/>
        <v>0</v>
      </c>
      <c r="K295" s="78">
        <f t="shared" si="74"/>
        <v>0</v>
      </c>
      <c r="L295" s="78">
        <f t="shared" si="74"/>
        <v>0</v>
      </c>
      <c r="M295" s="78">
        <f t="shared" si="74"/>
        <v>0</v>
      </c>
      <c r="N295" s="78">
        <f t="shared" si="74"/>
        <v>0</v>
      </c>
      <c r="O295" s="78">
        <f t="shared" si="74"/>
        <v>0</v>
      </c>
      <c r="P295" s="78">
        <f t="shared" si="74"/>
        <v>0</v>
      </c>
    </row>
    <row r="296" spans="1:16" x14ac:dyDescent="0.2">
      <c r="A296" s="74">
        <f t="shared" si="68"/>
        <v>25</v>
      </c>
      <c r="B296" s="14" t="str">
        <f>IF(OR((C290="~"),(C296="~")),"~","")</f>
        <v>~</v>
      </c>
      <c r="C296" s="14" t="s">
        <v>205</v>
      </c>
      <c r="E296" s="78">
        <f t="shared" si="73"/>
        <v>0</v>
      </c>
      <c r="F296" s="78"/>
      <c r="G296" s="78">
        <f t="shared" si="74"/>
        <v>0</v>
      </c>
      <c r="H296" s="78">
        <f t="shared" si="74"/>
        <v>0</v>
      </c>
      <c r="I296" s="78">
        <f t="shared" si="74"/>
        <v>0</v>
      </c>
      <c r="J296" s="78">
        <f t="shared" si="74"/>
        <v>0</v>
      </c>
      <c r="K296" s="78">
        <f t="shared" si="74"/>
        <v>0</v>
      </c>
      <c r="L296" s="78">
        <f t="shared" si="74"/>
        <v>0</v>
      </c>
      <c r="M296" s="78">
        <f t="shared" si="74"/>
        <v>0</v>
      </c>
      <c r="N296" s="78">
        <f t="shared" si="74"/>
        <v>0</v>
      </c>
      <c r="O296" s="78">
        <f t="shared" si="74"/>
        <v>0</v>
      </c>
      <c r="P296" s="78">
        <f t="shared" si="74"/>
        <v>0</v>
      </c>
    </row>
    <row r="297" spans="1:16" x14ac:dyDescent="0.2">
      <c r="A297" s="31">
        <f t="shared" si="68"/>
        <v>26</v>
      </c>
      <c r="B297" s="26" t="str">
        <f>IF(OR((C290="~"),(C297="~")),"~","")</f>
        <v/>
      </c>
      <c r="C297" s="26" t="s">
        <v>53</v>
      </c>
      <c r="D297" s="26"/>
      <c r="E297" s="35">
        <f t="shared" si="73"/>
        <v>2.4247999999999999E-2</v>
      </c>
      <c r="F297" s="35"/>
      <c r="G297" s="35">
        <f t="shared" si="74"/>
        <v>3.6040000000000003E-2</v>
      </c>
      <c r="H297" s="35">
        <f t="shared" si="74"/>
        <v>2.2644999999999998E-2</v>
      </c>
      <c r="I297" s="35">
        <f t="shared" si="74"/>
        <v>1.5192000000000001E-2</v>
      </c>
      <c r="J297" s="35">
        <f t="shared" si="74"/>
        <v>1.0076E-2</v>
      </c>
      <c r="K297" s="35">
        <f t="shared" si="74"/>
        <v>1.6022999999999999E-2</v>
      </c>
      <c r="L297" s="35">
        <f t="shared" si="74"/>
        <v>1.3334E-2</v>
      </c>
      <c r="M297" s="35">
        <f t="shared" si="74"/>
        <v>-1.3879999999999999E-3</v>
      </c>
      <c r="N297" s="35">
        <f t="shared" si="74"/>
        <v>-3.6999999999999998E-5</v>
      </c>
      <c r="O297" s="35">
        <f t="shared" si="74"/>
        <v>0.17685699999999999</v>
      </c>
      <c r="P297" s="35">
        <f t="shared" si="74"/>
        <v>2.2936000000000002E-2</v>
      </c>
    </row>
    <row r="298" spans="1:16" x14ac:dyDescent="0.2">
      <c r="A298" s="74"/>
      <c r="B298" s="14" t="str">
        <f>IF(OR((C290="~"),(C298="~")),"~","")</f>
        <v/>
      </c>
      <c r="C298" s="13"/>
    </row>
    <row r="299" spans="1:16" hidden="1" x14ac:dyDescent="0.2">
      <c r="A299" s="74"/>
      <c r="B299" s="14" t="s">
        <v>205</v>
      </c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</row>
    <row r="300" spans="1:16" hidden="1" x14ac:dyDescent="0.2">
      <c r="A300" s="74"/>
      <c r="B300" s="14" t="str">
        <f>IF(OR((B299="~"),(C300="~")),"~","")</f>
        <v>~</v>
      </c>
      <c r="C300" s="14" t="s">
        <v>205</v>
      </c>
      <c r="E300" s="78">
        <f t="shared" ref="E300:E305" si="75">ROUND(IF($C300=0,0,E192/E$372),6)</f>
        <v>0</v>
      </c>
      <c r="F300" s="78"/>
      <c r="G300" s="78">
        <f t="shared" ref="G300:P305" si="76">ROUND(IF($C300=0,0,G192/G$372),6)</f>
        <v>0</v>
      </c>
      <c r="H300" s="78">
        <f t="shared" si="76"/>
        <v>0</v>
      </c>
      <c r="I300" s="78">
        <f t="shared" si="76"/>
        <v>0</v>
      </c>
      <c r="J300" s="78">
        <f t="shared" si="76"/>
        <v>0</v>
      </c>
      <c r="K300" s="78">
        <f t="shared" si="76"/>
        <v>0</v>
      </c>
      <c r="L300" s="78">
        <f t="shared" si="76"/>
        <v>0</v>
      </c>
      <c r="M300" s="78">
        <f t="shared" si="76"/>
        <v>0</v>
      </c>
      <c r="N300" s="78">
        <f t="shared" si="76"/>
        <v>0</v>
      </c>
      <c r="O300" s="78">
        <f t="shared" si="76"/>
        <v>0</v>
      </c>
      <c r="P300" s="78">
        <f t="shared" si="76"/>
        <v>0</v>
      </c>
    </row>
    <row r="301" spans="1:16" hidden="1" x14ac:dyDescent="0.2">
      <c r="A301" s="74"/>
      <c r="B301" s="14" t="str">
        <f>IF(OR((B299="~"),(C301="~")),"~","")</f>
        <v>~</v>
      </c>
      <c r="C301" s="14" t="s">
        <v>205</v>
      </c>
      <c r="E301" s="78">
        <f t="shared" si="75"/>
        <v>0</v>
      </c>
      <c r="F301" s="78"/>
      <c r="G301" s="78">
        <f t="shared" si="76"/>
        <v>0</v>
      </c>
      <c r="H301" s="78">
        <f t="shared" si="76"/>
        <v>0</v>
      </c>
      <c r="I301" s="78">
        <f t="shared" si="76"/>
        <v>0</v>
      </c>
      <c r="J301" s="78">
        <f t="shared" si="76"/>
        <v>0</v>
      </c>
      <c r="K301" s="78">
        <f t="shared" si="76"/>
        <v>0</v>
      </c>
      <c r="L301" s="78">
        <f t="shared" si="76"/>
        <v>0</v>
      </c>
      <c r="M301" s="78">
        <f t="shared" si="76"/>
        <v>0</v>
      </c>
      <c r="N301" s="78">
        <f t="shared" si="76"/>
        <v>0</v>
      </c>
      <c r="O301" s="78">
        <f t="shared" si="76"/>
        <v>0</v>
      </c>
      <c r="P301" s="78">
        <f t="shared" si="76"/>
        <v>0</v>
      </c>
    </row>
    <row r="302" spans="1:16" hidden="1" x14ac:dyDescent="0.2">
      <c r="A302" s="74"/>
      <c r="B302" s="14" t="str">
        <f>IF(OR((B299="~"),(C302="~")),"~","")</f>
        <v>~</v>
      </c>
      <c r="C302" s="14" t="s">
        <v>205</v>
      </c>
      <c r="E302" s="78">
        <f t="shared" si="75"/>
        <v>0</v>
      </c>
      <c r="F302" s="78"/>
      <c r="G302" s="78">
        <f t="shared" si="76"/>
        <v>0</v>
      </c>
      <c r="H302" s="78">
        <f t="shared" si="76"/>
        <v>0</v>
      </c>
      <c r="I302" s="78">
        <f t="shared" si="76"/>
        <v>0</v>
      </c>
      <c r="J302" s="78">
        <f t="shared" si="76"/>
        <v>0</v>
      </c>
      <c r="K302" s="78">
        <f t="shared" si="76"/>
        <v>0</v>
      </c>
      <c r="L302" s="78">
        <f t="shared" si="76"/>
        <v>0</v>
      </c>
      <c r="M302" s="78">
        <f t="shared" si="76"/>
        <v>0</v>
      </c>
      <c r="N302" s="78">
        <f t="shared" si="76"/>
        <v>0</v>
      </c>
      <c r="O302" s="78">
        <f t="shared" si="76"/>
        <v>0</v>
      </c>
      <c r="P302" s="78">
        <f t="shared" si="76"/>
        <v>0</v>
      </c>
    </row>
    <row r="303" spans="1:16" hidden="1" x14ac:dyDescent="0.2">
      <c r="A303" s="74"/>
      <c r="B303" s="14" t="str">
        <f>IF(OR((B299="~"),(C303="~")),"~","")</f>
        <v>~</v>
      </c>
      <c r="C303" s="14" t="s">
        <v>205</v>
      </c>
      <c r="E303" s="78">
        <f t="shared" si="75"/>
        <v>0</v>
      </c>
      <c r="F303" s="78"/>
      <c r="G303" s="78">
        <f t="shared" si="76"/>
        <v>0</v>
      </c>
      <c r="H303" s="78">
        <f t="shared" si="76"/>
        <v>0</v>
      </c>
      <c r="I303" s="78">
        <f t="shared" si="76"/>
        <v>0</v>
      </c>
      <c r="J303" s="78">
        <f t="shared" si="76"/>
        <v>0</v>
      </c>
      <c r="K303" s="78">
        <f t="shared" si="76"/>
        <v>0</v>
      </c>
      <c r="L303" s="78">
        <f t="shared" si="76"/>
        <v>0</v>
      </c>
      <c r="M303" s="78">
        <f t="shared" si="76"/>
        <v>0</v>
      </c>
      <c r="N303" s="78">
        <f t="shared" si="76"/>
        <v>0</v>
      </c>
      <c r="O303" s="78">
        <f t="shared" si="76"/>
        <v>0</v>
      </c>
      <c r="P303" s="78">
        <f t="shared" si="76"/>
        <v>0</v>
      </c>
    </row>
    <row r="304" spans="1:16" hidden="1" x14ac:dyDescent="0.2">
      <c r="A304" s="74"/>
      <c r="B304" s="14" t="str">
        <f>IF(OR((B299="~"),(C304="~")),"~","")</f>
        <v>~</v>
      </c>
      <c r="C304" s="14" t="s">
        <v>205</v>
      </c>
      <c r="E304" s="78">
        <f t="shared" si="75"/>
        <v>0</v>
      </c>
      <c r="F304" s="78"/>
      <c r="G304" s="78">
        <f t="shared" si="76"/>
        <v>0</v>
      </c>
      <c r="H304" s="78">
        <f t="shared" si="76"/>
        <v>0</v>
      </c>
      <c r="I304" s="78">
        <f t="shared" si="76"/>
        <v>0</v>
      </c>
      <c r="J304" s="78">
        <f t="shared" si="76"/>
        <v>0</v>
      </c>
      <c r="K304" s="78">
        <f t="shared" si="76"/>
        <v>0</v>
      </c>
      <c r="L304" s="78">
        <f t="shared" si="76"/>
        <v>0</v>
      </c>
      <c r="M304" s="78">
        <f t="shared" si="76"/>
        <v>0</v>
      </c>
      <c r="N304" s="78">
        <f t="shared" si="76"/>
        <v>0</v>
      </c>
      <c r="O304" s="78">
        <f t="shared" si="76"/>
        <v>0</v>
      </c>
      <c r="P304" s="78">
        <f t="shared" si="76"/>
        <v>0</v>
      </c>
    </row>
    <row r="305" spans="1:16" hidden="1" x14ac:dyDescent="0.2">
      <c r="A305" s="31"/>
      <c r="B305" s="26" t="str">
        <f>IF(OR((B299="~"),(C305="~")),"~","")</f>
        <v>~</v>
      </c>
      <c r="C305" s="26" t="s">
        <v>205</v>
      </c>
      <c r="D305" s="26"/>
      <c r="E305" s="35">
        <f t="shared" si="75"/>
        <v>0</v>
      </c>
      <c r="F305" s="35"/>
      <c r="G305" s="35">
        <f t="shared" si="76"/>
        <v>0</v>
      </c>
      <c r="H305" s="35">
        <f t="shared" si="76"/>
        <v>0</v>
      </c>
      <c r="I305" s="35">
        <f t="shared" si="76"/>
        <v>0</v>
      </c>
      <c r="J305" s="35">
        <f t="shared" si="76"/>
        <v>0</v>
      </c>
      <c r="K305" s="35">
        <f t="shared" si="76"/>
        <v>0</v>
      </c>
      <c r="L305" s="35">
        <f t="shared" si="76"/>
        <v>0</v>
      </c>
      <c r="M305" s="35">
        <f t="shared" si="76"/>
        <v>0</v>
      </c>
      <c r="N305" s="35">
        <f t="shared" si="76"/>
        <v>0</v>
      </c>
      <c r="O305" s="35">
        <f t="shared" si="76"/>
        <v>0</v>
      </c>
      <c r="P305" s="35">
        <f t="shared" si="76"/>
        <v>0</v>
      </c>
    </row>
    <row r="306" spans="1:16" hidden="1" x14ac:dyDescent="0.2">
      <c r="A306" s="74"/>
      <c r="B306" s="14" t="str">
        <f>IF(OR((B299="~"),(C306="~")),"~","")</f>
        <v>~</v>
      </c>
      <c r="C306" s="14" t="str">
        <f>IF(B299="~","~","")</f>
        <v>~</v>
      </c>
    </row>
    <row r="307" spans="1:16" hidden="1" x14ac:dyDescent="0.2">
      <c r="A307" s="74"/>
      <c r="B307" s="14" t="str">
        <f>IF(OR((B299="~"),(C307="~")),"~","")</f>
        <v>~</v>
      </c>
      <c r="C307" s="13"/>
    </row>
    <row r="308" spans="1:16" hidden="1" x14ac:dyDescent="0.2">
      <c r="A308" s="74"/>
      <c r="B308" s="14" t="s">
        <v>205</v>
      </c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</row>
    <row r="309" spans="1:16" hidden="1" x14ac:dyDescent="0.2">
      <c r="A309" s="74"/>
      <c r="B309" s="14" t="str">
        <f>IF(OR((B308="~"),(C309="~")),"~","")</f>
        <v>~</v>
      </c>
      <c r="C309" s="14" t="s">
        <v>205</v>
      </c>
      <c r="E309" s="78">
        <f t="shared" ref="E309:E314" si="77">ROUND(IF($C309=0,0,E201/E$372),6)</f>
        <v>0</v>
      </c>
      <c r="F309" s="78"/>
      <c r="G309" s="78">
        <f t="shared" ref="G309:P314" si="78">ROUND(IF($C309=0,0,G201/G$372),6)</f>
        <v>0</v>
      </c>
      <c r="H309" s="78">
        <f t="shared" si="78"/>
        <v>0</v>
      </c>
      <c r="I309" s="78">
        <f t="shared" si="78"/>
        <v>0</v>
      </c>
      <c r="J309" s="78">
        <f t="shared" si="78"/>
        <v>0</v>
      </c>
      <c r="K309" s="78">
        <f t="shared" si="78"/>
        <v>0</v>
      </c>
      <c r="L309" s="78">
        <f t="shared" si="78"/>
        <v>0</v>
      </c>
      <c r="M309" s="78">
        <f t="shared" si="78"/>
        <v>0</v>
      </c>
      <c r="N309" s="78">
        <f t="shared" si="78"/>
        <v>0</v>
      </c>
      <c r="O309" s="78">
        <f t="shared" si="78"/>
        <v>0</v>
      </c>
      <c r="P309" s="78">
        <f t="shared" si="78"/>
        <v>0</v>
      </c>
    </row>
    <row r="310" spans="1:16" hidden="1" x14ac:dyDescent="0.2">
      <c r="A310" s="74"/>
      <c r="B310" s="14" t="str">
        <f>IF(OR((B308="~"),(C310="~")),"~","")</f>
        <v>~</v>
      </c>
      <c r="C310" s="14" t="s">
        <v>205</v>
      </c>
      <c r="E310" s="78">
        <f t="shared" si="77"/>
        <v>0</v>
      </c>
      <c r="F310" s="78"/>
      <c r="G310" s="78">
        <f t="shared" si="78"/>
        <v>0</v>
      </c>
      <c r="H310" s="78">
        <f t="shared" si="78"/>
        <v>0</v>
      </c>
      <c r="I310" s="78">
        <f t="shared" si="78"/>
        <v>0</v>
      </c>
      <c r="J310" s="78">
        <f t="shared" si="78"/>
        <v>0</v>
      </c>
      <c r="K310" s="78">
        <f t="shared" si="78"/>
        <v>0</v>
      </c>
      <c r="L310" s="78">
        <f t="shared" si="78"/>
        <v>0</v>
      </c>
      <c r="M310" s="78">
        <f t="shared" si="78"/>
        <v>0</v>
      </c>
      <c r="N310" s="78">
        <f t="shared" si="78"/>
        <v>0</v>
      </c>
      <c r="O310" s="78">
        <f t="shared" si="78"/>
        <v>0</v>
      </c>
      <c r="P310" s="78">
        <f t="shared" si="78"/>
        <v>0</v>
      </c>
    </row>
    <row r="311" spans="1:16" hidden="1" x14ac:dyDescent="0.2">
      <c r="A311" s="74"/>
      <c r="B311" s="14" t="str">
        <f>IF(OR((B308="~"),(C311="~")),"~","")</f>
        <v>~</v>
      </c>
      <c r="C311" s="14" t="s">
        <v>205</v>
      </c>
      <c r="E311" s="78">
        <f t="shared" si="77"/>
        <v>0</v>
      </c>
      <c r="F311" s="78"/>
      <c r="G311" s="78">
        <f t="shared" si="78"/>
        <v>0</v>
      </c>
      <c r="H311" s="78">
        <f t="shared" si="78"/>
        <v>0</v>
      </c>
      <c r="I311" s="78">
        <f t="shared" si="78"/>
        <v>0</v>
      </c>
      <c r="J311" s="78">
        <f t="shared" si="78"/>
        <v>0</v>
      </c>
      <c r="K311" s="78">
        <f t="shared" si="78"/>
        <v>0</v>
      </c>
      <c r="L311" s="78">
        <f t="shared" si="78"/>
        <v>0</v>
      </c>
      <c r="M311" s="78">
        <f t="shared" si="78"/>
        <v>0</v>
      </c>
      <c r="N311" s="78">
        <f t="shared" si="78"/>
        <v>0</v>
      </c>
      <c r="O311" s="78">
        <f t="shared" si="78"/>
        <v>0</v>
      </c>
      <c r="P311" s="78">
        <f t="shared" si="78"/>
        <v>0</v>
      </c>
    </row>
    <row r="312" spans="1:16" hidden="1" x14ac:dyDescent="0.2">
      <c r="A312" s="74"/>
      <c r="B312" s="14" t="str">
        <f>IF(OR((B308="~"),(C312="~")),"~","")</f>
        <v>~</v>
      </c>
      <c r="C312" s="14" t="s">
        <v>205</v>
      </c>
      <c r="E312" s="78">
        <f t="shared" si="77"/>
        <v>0</v>
      </c>
      <c r="F312" s="78"/>
      <c r="G312" s="78">
        <f t="shared" si="78"/>
        <v>0</v>
      </c>
      <c r="H312" s="78">
        <f t="shared" si="78"/>
        <v>0</v>
      </c>
      <c r="I312" s="78">
        <f t="shared" si="78"/>
        <v>0</v>
      </c>
      <c r="J312" s="78">
        <f t="shared" si="78"/>
        <v>0</v>
      </c>
      <c r="K312" s="78">
        <f t="shared" si="78"/>
        <v>0</v>
      </c>
      <c r="L312" s="78">
        <f t="shared" si="78"/>
        <v>0</v>
      </c>
      <c r="M312" s="78">
        <f t="shared" si="78"/>
        <v>0</v>
      </c>
      <c r="N312" s="78">
        <f t="shared" si="78"/>
        <v>0</v>
      </c>
      <c r="O312" s="78">
        <f t="shared" si="78"/>
        <v>0</v>
      </c>
      <c r="P312" s="78">
        <f t="shared" si="78"/>
        <v>0</v>
      </c>
    </row>
    <row r="313" spans="1:16" hidden="1" x14ac:dyDescent="0.2">
      <c r="A313" s="74"/>
      <c r="B313" s="14" t="str">
        <f>IF(OR((B308="~"),(C313="~")),"~","")</f>
        <v>~</v>
      </c>
      <c r="C313" s="14" t="s">
        <v>205</v>
      </c>
      <c r="E313" s="78">
        <f t="shared" si="77"/>
        <v>0</v>
      </c>
      <c r="F313" s="78"/>
      <c r="G313" s="78">
        <f t="shared" si="78"/>
        <v>0</v>
      </c>
      <c r="H313" s="78">
        <f t="shared" si="78"/>
        <v>0</v>
      </c>
      <c r="I313" s="78">
        <f t="shared" si="78"/>
        <v>0</v>
      </c>
      <c r="J313" s="78">
        <f t="shared" si="78"/>
        <v>0</v>
      </c>
      <c r="K313" s="78">
        <f t="shared" si="78"/>
        <v>0</v>
      </c>
      <c r="L313" s="78">
        <f t="shared" si="78"/>
        <v>0</v>
      </c>
      <c r="M313" s="78">
        <f t="shared" si="78"/>
        <v>0</v>
      </c>
      <c r="N313" s="78">
        <f t="shared" si="78"/>
        <v>0</v>
      </c>
      <c r="O313" s="78">
        <f t="shared" si="78"/>
        <v>0</v>
      </c>
      <c r="P313" s="78">
        <f t="shared" si="78"/>
        <v>0</v>
      </c>
    </row>
    <row r="314" spans="1:16" hidden="1" x14ac:dyDescent="0.2">
      <c r="A314" s="31"/>
      <c r="B314" s="26" t="str">
        <f>IF(OR((B308="~"),(C314="~")),"~","")</f>
        <v>~</v>
      </c>
      <c r="C314" s="26" t="s">
        <v>205</v>
      </c>
      <c r="D314" s="26"/>
      <c r="E314" s="35">
        <f t="shared" si="77"/>
        <v>0</v>
      </c>
      <c r="F314" s="35"/>
      <c r="G314" s="35">
        <f t="shared" si="78"/>
        <v>0</v>
      </c>
      <c r="H314" s="35">
        <f t="shared" si="78"/>
        <v>0</v>
      </c>
      <c r="I314" s="35">
        <f t="shared" si="78"/>
        <v>0</v>
      </c>
      <c r="J314" s="35">
        <f t="shared" si="78"/>
        <v>0</v>
      </c>
      <c r="K314" s="35">
        <f t="shared" si="78"/>
        <v>0</v>
      </c>
      <c r="L314" s="35">
        <f t="shared" si="78"/>
        <v>0</v>
      </c>
      <c r="M314" s="35">
        <f t="shared" si="78"/>
        <v>0</v>
      </c>
      <c r="N314" s="35">
        <f t="shared" si="78"/>
        <v>0</v>
      </c>
      <c r="O314" s="35">
        <f t="shared" si="78"/>
        <v>0</v>
      </c>
      <c r="P314" s="35">
        <f t="shared" si="78"/>
        <v>0</v>
      </c>
    </row>
    <row r="315" spans="1:16" hidden="1" x14ac:dyDescent="0.2">
      <c r="A315" s="74"/>
      <c r="B315" s="14" t="str">
        <f>IF(OR((B308="~"),(C315="~")),"~","")</f>
        <v>~</v>
      </c>
      <c r="C315" s="14" t="str">
        <f>IF(B308="~","~","Sub-total")</f>
        <v>~</v>
      </c>
    </row>
    <row r="316" spans="1:16" hidden="1" x14ac:dyDescent="0.2">
      <c r="A316" s="74"/>
      <c r="B316" s="14" t="str">
        <f>IF(OR((B308="~"),(C316="~")),"~","")</f>
        <v>~</v>
      </c>
      <c r="C316" s="13"/>
    </row>
    <row r="317" spans="1:16" hidden="1" x14ac:dyDescent="0.2">
      <c r="A317" s="74"/>
      <c r="B317" s="14" t="s">
        <v>205</v>
      </c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</row>
    <row r="318" spans="1:16" hidden="1" x14ac:dyDescent="0.2">
      <c r="A318" s="74"/>
      <c r="B318" s="14" t="str">
        <f>IF(OR((B317="~"),(C318="~")),"~","")</f>
        <v>~</v>
      </c>
      <c r="C318" s="14" t="s">
        <v>205</v>
      </c>
      <c r="E318" s="78">
        <f t="shared" ref="E318:E323" si="79">ROUND(IF($C318=0,0,E210/E$372),6)</f>
        <v>0</v>
      </c>
      <c r="F318" s="78"/>
      <c r="G318" s="78">
        <f t="shared" ref="G318:P323" si="80">ROUND(IF($C318=0,0,G210/G$372),6)</f>
        <v>0</v>
      </c>
      <c r="H318" s="78">
        <f t="shared" si="80"/>
        <v>0</v>
      </c>
      <c r="I318" s="78">
        <f t="shared" si="80"/>
        <v>0</v>
      </c>
      <c r="J318" s="78">
        <f t="shared" si="80"/>
        <v>0</v>
      </c>
      <c r="K318" s="78">
        <f t="shared" si="80"/>
        <v>0</v>
      </c>
      <c r="L318" s="78">
        <f t="shared" si="80"/>
        <v>0</v>
      </c>
      <c r="M318" s="78">
        <f t="shared" si="80"/>
        <v>0</v>
      </c>
      <c r="N318" s="78">
        <f t="shared" si="80"/>
        <v>0</v>
      </c>
      <c r="O318" s="78">
        <f t="shared" si="80"/>
        <v>0</v>
      </c>
      <c r="P318" s="78">
        <f t="shared" si="80"/>
        <v>0</v>
      </c>
    </row>
    <row r="319" spans="1:16" hidden="1" x14ac:dyDescent="0.2">
      <c r="A319" s="74"/>
      <c r="B319" s="14" t="str">
        <f>IF(OR((B317="~"),(C319="~")),"~","")</f>
        <v>~</v>
      </c>
      <c r="C319" s="14" t="s">
        <v>205</v>
      </c>
      <c r="E319" s="78">
        <f t="shared" si="79"/>
        <v>0</v>
      </c>
      <c r="F319" s="78"/>
      <c r="G319" s="78">
        <f t="shared" si="80"/>
        <v>0</v>
      </c>
      <c r="H319" s="78">
        <f t="shared" si="80"/>
        <v>0</v>
      </c>
      <c r="I319" s="78">
        <f t="shared" si="80"/>
        <v>0</v>
      </c>
      <c r="J319" s="78">
        <f t="shared" si="80"/>
        <v>0</v>
      </c>
      <c r="K319" s="78">
        <f t="shared" si="80"/>
        <v>0</v>
      </c>
      <c r="L319" s="78">
        <f t="shared" si="80"/>
        <v>0</v>
      </c>
      <c r="M319" s="78">
        <f t="shared" si="80"/>
        <v>0</v>
      </c>
      <c r="N319" s="78">
        <f t="shared" si="80"/>
        <v>0</v>
      </c>
      <c r="O319" s="78">
        <f t="shared" si="80"/>
        <v>0</v>
      </c>
      <c r="P319" s="78">
        <f t="shared" si="80"/>
        <v>0</v>
      </c>
    </row>
    <row r="320" spans="1:16" hidden="1" x14ac:dyDescent="0.2">
      <c r="A320" s="74"/>
      <c r="B320" s="14" t="str">
        <f>IF(OR((B317="~"),(C320="~")),"~","")</f>
        <v>~</v>
      </c>
      <c r="C320" s="14" t="s">
        <v>205</v>
      </c>
      <c r="E320" s="78">
        <f t="shared" si="79"/>
        <v>0</v>
      </c>
      <c r="F320" s="78"/>
      <c r="G320" s="78">
        <f t="shared" si="80"/>
        <v>0</v>
      </c>
      <c r="H320" s="78">
        <f t="shared" si="80"/>
        <v>0</v>
      </c>
      <c r="I320" s="78">
        <f t="shared" si="80"/>
        <v>0</v>
      </c>
      <c r="J320" s="78">
        <f t="shared" si="80"/>
        <v>0</v>
      </c>
      <c r="K320" s="78">
        <f t="shared" si="80"/>
        <v>0</v>
      </c>
      <c r="L320" s="78">
        <f t="shared" si="80"/>
        <v>0</v>
      </c>
      <c r="M320" s="78">
        <f t="shared" si="80"/>
        <v>0</v>
      </c>
      <c r="N320" s="78">
        <f t="shared" si="80"/>
        <v>0</v>
      </c>
      <c r="O320" s="78">
        <f t="shared" si="80"/>
        <v>0</v>
      </c>
      <c r="P320" s="78">
        <f t="shared" si="80"/>
        <v>0</v>
      </c>
    </row>
    <row r="321" spans="1:16" hidden="1" x14ac:dyDescent="0.2">
      <c r="A321" s="74"/>
      <c r="B321" s="14" t="str">
        <f>IF(OR((B317="~"),(C321="~")),"~","")</f>
        <v>~</v>
      </c>
      <c r="C321" s="14" t="s">
        <v>205</v>
      </c>
      <c r="E321" s="78">
        <f t="shared" si="79"/>
        <v>0</v>
      </c>
      <c r="F321" s="78"/>
      <c r="G321" s="78">
        <f t="shared" si="80"/>
        <v>0</v>
      </c>
      <c r="H321" s="78">
        <f t="shared" si="80"/>
        <v>0</v>
      </c>
      <c r="I321" s="78">
        <f t="shared" si="80"/>
        <v>0</v>
      </c>
      <c r="J321" s="78">
        <f t="shared" si="80"/>
        <v>0</v>
      </c>
      <c r="K321" s="78">
        <f t="shared" si="80"/>
        <v>0</v>
      </c>
      <c r="L321" s="78">
        <f t="shared" si="80"/>
        <v>0</v>
      </c>
      <c r="M321" s="78">
        <f t="shared" si="80"/>
        <v>0</v>
      </c>
      <c r="N321" s="78">
        <f t="shared" si="80"/>
        <v>0</v>
      </c>
      <c r="O321" s="78">
        <f t="shared" si="80"/>
        <v>0</v>
      </c>
      <c r="P321" s="78">
        <f t="shared" si="80"/>
        <v>0</v>
      </c>
    </row>
    <row r="322" spans="1:16" hidden="1" x14ac:dyDescent="0.2">
      <c r="A322" s="74"/>
      <c r="B322" s="14" t="str">
        <f>IF(OR((B317="~"),(C322="~")),"~","")</f>
        <v>~</v>
      </c>
      <c r="C322" s="14" t="s">
        <v>205</v>
      </c>
      <c r="E322" s="78">
        <f t="shared" si="79"/>
        <v>0</v>
      </c>
      <c r="F322" s="78"/>
      <c r="G322" s="78">
        <f t="shared" si="80"/>
        <v>0</v>
      </c>
      <c r="H322" s="78">
        <f t="shared" si="80"/>
        <v>0</v>
      </c>
      <c r="I322" s="78">
        <f t="shared" si="80"/>
        <v>0</v>
      </c>
      <c r="J322" s="78">
        <f t="shared" si="80"/>
        <v>0</v>
      </c>
      <c r="K322" s="78">
        <f t="shared" si="80"/>
        <v>0</v>
      </c>
      <c r="L322" s="78">
        <f t="shared" si="80"/>
        <v>0</v>
      </c>
      <c r="M322" s="78">
        <f t="shared" si="80"/>
        <v>0</v>
      </c>
      <c r="N322" s="78">
        <f t="shared" si="80"/>
        <v>0</v>
      </c>
      <c r="O322" s="78">
        <f t="shared" si="80"/>
        <v>0</v>
      </c>
      <c r="P322" s="78">
        <f t="shared" si="80"/>
        <v>0</v>
      </c>
    </row>
    <row r="323" spans="1:16" hidden="1" x14ac:dyDescent="0.2">
      <c r="A323" s="31"/>
      <c r="B323" s="26" t="str">
        <f>IF(OR((B317="~"),(C323="~")),"~","")</f>
        <v>~</v>
      </c>
      <c r="C323" s="26" t="s">
        <v>205</v>
      </c>
      <c r="D323" s="26"/>
      <c r="E323" s="35">
        <f t="shared" si="79"/>
        <v>0</v>
      </c>
      <c r="F323" s="35"/>
      <c r="G323" s="35">
        <f t="shared" si="80"/>
        <v>0</v>
      </c>
      <c r="H323" s="35">
        <f t="shared" si="80"/>
        <v>0</v>
      </c>
      <c r="I323" s="35">
        <f t="shared" si="80"/>
        <v>0</v>
      </c>
      <c r="J323" s="35">
        <f t="shared" si="80"/>
        <v>0</v>
      </c>
      <c r="K323" s="35">
        <f t="shared" si="80"/>
        <v>0</v>
      </c>
      <c r="L323" s="35">
        <f t="shared" si="80"/>
        <v>0</v>
      </c>
      <c r="M323" s="35">
        <f t="shared" si="80"/>
        <v>0</v>
      </c>
      <c r="N323" s="35">
        <f t="shared" si="80"/>
        <v>0</v>
      </c>
      <c r="O323" s="35">
        <f t="shared" si="80"/>
        <v>0</v>
      </c>
      <c r="P323" s="35">
        <f t="shared" si="80"/>
        <v>0</v>
      </c>
    </row>
    <row r="324" spans="1:16" hidden="1" x14ac:dyDescent="0.2">
      <c r="A324" s="74"/>
      <c r="B324" s="14" t="str">
        <f>IF(OR((B317="~"),(C324="~")),"~","")</f>
        <v>~</v>
      </c>
      <c r="C324" s="14" t="str">
        <f>IF(B317="~","~","Sub-total")</f>
        <v>~</v>
      </c>
    </row>
    <row r="325" spans="1:16" hidden="1" x14ac:dyDescent="0.2">
      <c r="A325" s="74"/>
      <c r="B325" s="14" t="str">
        <f>IF(OR((B317="~"),(C325="~")),"~","")</f>
        <v>~</v>
      </c>
      <c r="C325" s="13"/>
    </row>
    <row r="326" spans="1:16" hidden="1" x14ac:dyDescent="0.2">
      <c r="A326" s="74"/>
      <c r="B326" s="14" t="s">
        <v>205</v>
      </c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</row>
    <row r="327" spans="1:16" hidden="1" x14ac:dyDescent="0.2">
      <c r="A327" s="74"/>
      <c r="B327" s="14" t="str">
        <f>IF(OR((B326="~"),(C327="~")),"~","")</f>
        <v>~</v>
      </c>
      <c r="C327" s="14" t="s">
        <v>205</v>
      </c>
      <c r="E327" s="78">
        <f t="shared" ref="E327:E332" si="81">ROUND(IF($C327=0,0,E219/E$372),6)</f>
        <v>0</v>
      </c>
      <c r="F327" s="78"/>
      <c r="G327" s="78">
        <f t="shared" ref="G327:P332" si="82">ROUND(IF($C327=0,0,G219/G$372),6)</f>
        <v>0</v>
      </c>
      <c r="H327" s="78">
        <f t="shared" si="82"/>
        <v>0</v>
      </c>
      <c r="I327" s="78">
        <f t="shared" si="82"/>
        <v>0</v>
      </c>
      <c r="J327" s="78">
        <f t="shared" si="82"/>
        <v>0</v>
      </c>
      <c r="K327" s="78">
        <f t="shared" si="82"/>
        <v>0</v>
      </c>
      <c r="L327" s="78">
        <f t="shared" si="82"/>
        <v>0</v>
      </c>
      <c r="M327" s="78">
        <f t="shared" si="82"/>
        <v>0</v>
      </c>
      <c r="N327" s="78">
        <f t="shared" si="82"/>
        <v>0</v>
      </c>
      <c r="O327" s="78">
        <f t="shared" si="82"/>
        <v>0</v>
      </c>
      <c r="P327" s="78">
        <f t="shared" si="82"/>
        <v>0</v>
      </c>
    </row>
    <row r="328" spans="1:16" hidden="1" x14ac:dyDescent="0.2">
      <c r="A328" s="74"/>
      <c r="B328" s="14" t="str">
        <f>IF(OR((B326="~"),(C328="~")),"~","")</f>
        <v>~</v>
      </c>
      <c r="C328" s="14" t="s">
        <v>205</v>
      </c>
      <c r="E328" s="78">
        <f t="shared" si="81"/>
        <v>0</v>
      </c>
      <c r="F328" s="78"/>
      <c r="G328" s="78">
        <f t="shared" si="82"/>
        <v>0</v>
      </c>
      <c r="H328" s="78">
        <f t="shared" si="82"/>
        <v>0</v>
      </c>
      <c r="I328" s="78">
        <f t="shared" si="82"/>
        <v>0</v>
      </c>
      <c r="J328" s="78">
        <f t="shared" si="82"/>
        <v>0</v>
      </c>
      <c r="K328" s="78">
        <f t="shared" si="82"/>
        <v>0</v>
      </c>
      <c r="L328" s="78">
        <f t="shared" si="82"/>
        <v>0</v>
      </c>
      <c r="M328" s="78">
        <f t="shared" si="82"/>
        <v>0</v>
      </c>
      <c r="N328" s="78">
        <f t="shared" si="82"/>
        <v>0</v>
      </c>
      <c r="O328" s="78">
        <f t="shared" si="82"/>
        <v>0</v>
      </c>
      <c r="P328" s="78">
        <f t="shared" si="82"/>
        <v>0</v>
      </c>
    </row>
    <row r="329" spans="1:16" hidden="1" x14ac:dyDescent="0.2">
      <c r="A329" s="74"/>
      <c r="B329" s="14" t="str">
        <f>IF(OR((B326="~"),(C329="~")),"~","")</f>
        <v>~</v>
      </c>
      <c r="C329" s="14" t="s">
        <v>205</v>
      </c>
      <c r="E329" s="78">
        <f t="shared" si="81"/>
        <v>0</v>
      </c>
      <c r="F329" s="78"/>
      <c r="G329" s="78">
        <f t="shared" si="82"/>
        <v>0</v>
      </c>
      <c r="H329" s="78">
        <f t="shared" si="82"/>
        <v>0</v>
      </c>
      <c r="I329" s="78">
        <f t="shared" si="82"/>
        <v>0</v>
      </c>
      <c r="J329" s="78">
        <f t="shared" si="82"/>
        <v>0</v>
      </c>
      <c r="K329" s="78">
        <f t="shared" si="82"/>
        <v>0</v>
      </c>
      <c r="L329" s="78">
        <f t="shared" si="82"/>
        <v>0</v>
      </c>
      <c r="M329" s="78">
        <f t="shared" si="82"/>
        <v>0</v>
      </c>
      <c r="N329" s="78">
        <f t="shared" si="82"/>
        <v>0</v>
      </c>
      <c r="O329" s="78">
        <f t="shared" si="82"/>
        <v>0</v>
      </c>
      <c r="P329" s="78">
        <f t="shared" si="82"/>
        <v>0</v>
      </c>
    </row>
    <row r="330" spans="1:16" hidden="1" x14ac:dyDescent="0.2">
      <c r="A330" s="74"/>
      <c r="B330" s="14" t="str">
        <f>IF(OR((B326="~"),(C330="~")),"~","")</f>
        <v>~</v>
      </c>
      <c r="C330" s="14" t="s">
        <v>205</v>
      </c>
      <c r="E330" s="78">
        <f t="shared" si="81"/>
        <v>0</v>
      </c>
      <c r="F330" s="78"/>
      <c r="G330" s="78">
        <f t="shared" si="82"/>
        <v>0</v>
      </c>
      <c r="H330" s="78">
        <f t="shared" si="82"/>
        <v>0</v>
      </c>
      <c r="I330" s="78">
        <f t="shared" si="82"/>
        <v>0</v>
      </c>
      <c r="J330" s="78">
        <f t="shared" si="82"/>
        <v>0</v>
      </c>
      <c r="K330" s="78">
        <f t="shared" si="82"/>
        <v>0</v>
      </c>
      <c r="L330" s="78">
        <f t="shared" si="82"/>
        <v>0</v>
      </c>
      <c r="M330" s="78">
        <f t="shared" si="82"/>
        <v>0</v>
      </c>
      <c r="N330" s="78">
        <f t="shared" si="82"/>
        <v>0</v>
      </c>
      <c r="O330" s="78">
        <f t="shared" si="82"/>
        <v>0</v>
      </c>
      <c r="P330" s="78">
        <f t="shared" si="82"/>
        <v>0</v>
      </c>
    </row>
    <row r="331" spans="1:16" hidden="1" x14ac:dyDescent="0.2">
      <c r="A331" s="74"/>
      <c r="B331" s="14" t="str">
        <f>IF(OR((B326="~"),(C331="~")),"~","")</f>
        <v>~</v>
      </c>
      <c r="C331" s="14" t="s">
        <v>205</v>
      </c>
      <c r="E331" s="78">
        <f t="shared" si="81"/>
        <v>0</v>
      </c>
      <c r="F331" s="78"/>
      <c r="G331" s="78">
        <f t="shared" si="82"/>
        <v>0</v>
      </c>
      <c r="H331" s="78">
        <f t="shared" si="82"/>
        <v>0</v>
      </c>
      <c r="I331" s="78">
        <f t="shared" si="82"/>
        <v>0</v>
      </c>
      <c r="J331" s="78">
        <f t="shared" si="82"/>
        <v>0</v>
      </c>
      <c r="K331" s="78">
        <f t="shared" si="82"/>
        <v>0</v>
      </c>
      <c r="L331" s="78">
        <f t="shared" si="82"/>
        <v>0</v>
      </c>
      <c r="M331" s="78">
        <f t="shared" si="82"/>
        <v>0</v>
      </c>
      <c r="N331" s="78">
        <f t="shared" si="82"/>
        <v>0</v>
      </c>
      <c r="O331" s="78">
        <f t="shared" si="82"/>
        <v>0</v>
      </c>
      <c r="P331" s="78">
        <f t="shared" si="82"/>
        <v>0</v>
      </c>
    </row>
    <row r="332" spans="1:16" hidden="1" x14ac:dyDescent="0.2">
      <c r="A332" s="31"/>
      <c r="B332" s="26" t="str">
        <f>IF(OR((B326="~"),(C332="~")),"~","")</f>
        <v>~</v>
      </c>
      <c r="C332" s="26" t="s">
        <v>205</v>
      </c>
      <c r="D332" s="26"/>
      <c r="E332" s="35">
        <f t="shared" si="81"/>
        <v>0</v>
      </c>
      <c r="F332" s="35"/>
      <c r="G332" s="35">
        <f t="shared" si="82"/>
        <v>0</v>
      </c>
      <c r="H332" s="35">
        <f t="shared" si="82"/>
        <v>0</v>
      </c>
      <c r="I332" s="35">
        <f t="shared" si="82"/>
        <v>0</v>
      </c>
      <c r="J332" s="35">
        <f t="shared" si="82"/>
        <v>0</v>
      </c>
      <c r="K332" s="35">
        <f t="shared" si="82"/>
        <v>0</v>
      </c>
      <c r="L332" s="35">
        <f t="shared" si="82"/>
        <v>0</v>
      </c>
      <c r="M332" s="35">
        <f t="shared" si="82"/>
        <v>0</v>
      </c>
      <c r="N332" s="35">
        <f t="shared" si="82"/>
        <v>0</v>
      </c>
      <c r="O332" s="35">
        <f t="shared" si="82"/>
        <v>0</v>
      </c>
      <c r="P332" s="35">
        <f t="shared" si="82"/>
        <v>0</v>
      </c>
    </row>
    <row r="333" spans="1:16" hidden="1" x14ac:dyDescent="0.2">
      <c r="A333" s="74"/>
      <c r="B333" s="14" t="str">
        <f>IF(OR((B326="~"),(C333="~")),"~","")</f>
        <v>~</v>
      </c>
      <c r="C333" s="14" t="str">
        <f>IF(B326="~","~","Sub-total")</f>
        <v>~</v>
      </c>
    </row>
    <row r="334" spans="1:16" hidden="1" x14ac:dyDescent="0.2">
      <c r="A334" s="74"/>
      <c r="B334" s="14" t="str">
        <f>IF(OR((B326="~"),(C334="~")),"~","")</f>
        <v>~</v>
      </c>
      <c r="C334" s="13"/>
    </row>
    <row r="335" spans="1:16" hidden="1" x14ac:dyDescent="0.2">
      <c r="A335" s="74"/>
      <c r="B335" s="14" t="s">
        <v>205</v>
      </c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</row>
    <row r="336" spans="1:16" hidden="1" x14ac:dyDescent="0.2">
      <c r="A336" s="74"/>
      <c r="B336" s="14" t="str">
        <f>IF(OR((B335="~"),(C336="~")),"~","")</f>
        <v>~</v>
      </c>
      <c r="C336" s="14" t="s">
        <v>205</v>
      </c>
      <c r="E336" s="78">
        <f t="shared" ref="E336:E341" si="83">ROUND(IF($C336=0,0,E228/E$372),6)</f>
        <v>0</v>
      </c>
      <c r="F336" s="78"/>
      <c r="G336" s="78">
        <f t="shared" ref="G336:P341" si="84">ROUND(IF($C336=0,0,G228/G$372),6)</f>
        <v>0</v>
      </c>
      <c r="H336" s="78">
        <f t="shared" si="84"/>
        <v>0</v>
      </c>
      <c r="I336" s="78">
        <f t="shared" si="84"/>
        <v>0</v>
      </c>
      <c r="J336" s="78">
        <f t="shared" si="84"/>
        <v>0</v>
      </c>
      <c r="K336" s="78">
        <f t="shared" si="84"/>
        <v>0</v>
      </c>
      <c r="L336" s="78">
        <f t="shared" si="84"/>
        <v>0</v>
      </c>
      <c r="M336" s="78">
        <f t="shared" si="84"/>
        <v>0</v>
      </c>
      <c r="N336" s="78">
        <f t="shared" si="84"/>
        <v>0</v>
      </c>
      <c r="O336" s="78">
        <f t="shared" si="84"/>
        <v>0</v>
      </c>
      <c r="P336" s="78">
        <f t="shared" si="84"/>
        <v>0</v>
      </c>
    </row>
    <row r="337" spans="1:16" hidden="1" x14ac:dyDescent="0.2">
      <c r="A337" s="74"/>
      <c r="B337" s="14" t="str">
        <f>IF(OR((B335="~"),(C337="~")),"~","")</f>
        <v>~</v>
      </c>
      <c r="C337" s="14" t="s">
        <v>205</v>
      </c>
      <c r="E337" s="78">
        <f t="shared" si="83"/>
        <v>0</v>
      </c>
      <c r="F337" s="78"/>
      <c r="G337" s="78">
        <f t="shared" si="84"/>
        <v>0</v>
      </c>
      <c r="H337" s="78">
        <f t="shared" si="84"/>
        <v>0</v>
      </c>
      <c r="I337" s="78">
        <f t="shared" si="84"/>
        <v>0</v>
      </c>
      <c r="J337" s="78">
        <f t="shared" si="84"/>
        <v>0</v>
      </c>
      <c r="K337" s="78">
        <f t="shared" si="84"/>
        <v>0</v>
      </c>
      <c r="L337" s="78">
        <f t="shared" si="84"/>
        <v>0</v>
      </c>
      <c r="M337" s="78">
        <f t="shared" si="84"/>
        <v>0</v>
      </c>
      <c r="N337" s="78">
        <f t="shared" si="84"/>
        <v>0</v>
      </c>
      <c r="O337" s="78">
        <f t="shared" si="84"/>
        <v>0</v>
      </c>
      <c r="P337" s="78">
        <f t="shared" si="84"/>
        <v>0</v>
      </c>
    </row>
    <row r="338" spans="1:16" hidden="1" x14ac:dyDescent="0.2">
      <c r="A338" s="74"/>
      <c r="B338" s="14" t="str">
        <f>IF(OR((B335="~"),(C338="~")),"~","")</f>
        <v>~</v>
      </c>
      <c r="C338" s="14" t="s">
        <v>205</v>
      </c>
      <c r="E338" s="78">
        <f t="shared" si="83"/>
        <v>0</v>
      </c>
      <c r="F338" s="78"/>
      <c r="G338" s="78">
        <f t="shared" si="84"/>
        <v>0</v>
      </c>
      <c r="H338" s="78">
        <f t="shared" si="84"/>
        <v>0</v>
      </c>
      <c r="I338" s="78">
        <f t="shared" si="84"/>
        <v>0</v>
      </c>
      <c r="J338" s="78">
        <f t="shared" si="84"/>
        <v>0</v>
      </c>
      <c r="K338" s="78">
        <f t="shared" si="84"/>
        <v>0</v>
      </c>
      <c r="L338" s="78">
        <f t="shared" si="84"/>
        <v>0</v>
      </c>
      <c r="M338" s="78">
        <f t="shared" si="84"/>
        <v>0</v>
      </c>
      <c r="N338" s="78">
        <f t="shared" si="84"/>
        <v>0</v>
      </c>
      <c r="O338" s="78">
        <f t="shared" si="84"/>
        <v>0</v>
      </c>
      <c r="P338" s="78">
        <f t="shared" si="84"/>
        <v>0</v>
      </c>
    </row>
    <row r="339" spans="1:16" hidden="1" x14ac:dyDescent="0.2">
      <c r="A339" s="74"/>
      <c r="B339" s="14" t="str">
        <f>IF(OR((B335="~"),(C339="~")),"~","")</f>
        <v>~</v>
      </c>
      <c r="C339" s="14" t="s">
        <v>205</v>
      </c>
      <c r="E339" s="78">
        <f t="shared" si="83"/>
        <v>0</v>
      </c>
      <c r="F339" s="78"/>
      <c r="G339" s="78">
        <f t="shared" si="84"/>
        <v>0</v>
      </c>
      <c r="H339" s="78">
        <f t="shared" si="84"/>
        <v>0</v>
      </c>
      <c r="I339" s="78">
        <f t="shared" si="84"/>
        <v>0</v>
      </c>
      <c r="J339" s="78">
        <f t="shared" si="84"/>
        <v>0</v>
      </c>
      <c r="K339" s="78">
        <f t="shared" si="84"/>
        <v>0</v>
      </c>
      <c r="L339" s="78">
        <f t="shared" si="84"/>
        <v>0</v>
      </c>
      <c r="M339" s="78">
        <f t="shared" si="84"/>
        <v>0</v>
      </c>
      <c r="N339" s="78">
        <f t="shared" si="84"/>
        <v>0</v>
      </c>
      <c r="O339" s="78">
        <f t="shared" si="84"/>
        <v>0</v>
      </c>
      <c r="P339" s="78">
        <f t="shared" si="84"/>
        <v>0</v>
      </c>
    </row>
    <row r="340" spans="1:16" hidden="1" x14ac:dyDescent="0.2">
      <c r="A340" s="74"/>
      <c r="B340" s="14" t="str">
        <f>IF(OR((B335="~"),(C340="~")),"~","")</f>
        <v>~</v>
      </c>
      <c r="C340" s="14" t="s">
        <v>205</v>
      </c>
      <c r="E340" s="78">
        <f t="shared" si="83"/>
        <v>0</v>
      </c>
      <c r="F340" s="78"/>
      <c r="G340" s="78">
        <f t="shared" si="84"/>
        <v>0</v>
      </c>
      <c r="H340" s="78">
        <f t="shared" si="84"/>
        <v>0</v>
      </c>
      <c r="I340" s="78">
        <f t="shared" si="84"/>
        <v>0</v>
      </c>
      <c r="J340" s="78">
        <f t="shared" si="84"/>
        <v>0</v>
      </c>
      <c r="K340" s="78">
        <f t="shared" si="84"/>
        <v>0</v>
      </c>
      <c r="L340" s="78">
        <f t="shared" si="84"/>
        <v>0</v>
      </c>
      <c r="M340" s="78">
        <f t="shared" si="84"/>
        <v>0</v>
      </c>
      <c r="N340" s="78">
        <f t="shared" si="84"/>
        <v>0</v>
      </c>
      <c r="O340" s="78">
        <f t="shared" si="84"/>
        <v>0</v>
      </c>
      <c r="P340" s="78">
        <f t="shared" si="84"/>
        <v>0</v>
      </c>
    </row>
    <row r="341" spans="1:16" hidden="1" x14ac:dyDescent="0.2">
      <c r="A341" s="31"/>
      <c r="B341" s="26" t="str">
        <f>IF(OR((B335="~"),(C341="~")),"~","")</f>
        <v>~</v>
      </c>
      <c r="C341" s="26" t="s">
        <v>205</v>
      </c>
      <c r="D341" s="26"/>
      <c r="E341" s="35">
        <f t="shared" si="83"/>
        <v>0</v>
      </c>
      <c r="F341" s="35"/>
      <c r="G341" s="35">
        <f t="shared" si="84"/>
        <v>0</v>
      </c>
      <c r="H341" s="35">
        <f t="shared" si="84"/>
        <v>0</v>
      </c>
      <c r="I341" s="35">
        <f t="shared" si="84"/>
        <v>0</v>
      </c>
      <c r="J341" s="35">
        <f t="shared" si="84"/>
        <v>0</v>
      </c>
      <c r="K341" s="35">
        <f t="shared" si="84"/>
        <v>0</v>
      </c>
      <c r="L341" s="35">
        <f t="shared" si="84"/>
        <v>0</v>
      </c>
      <c r="M341" s="35">
        <f t="shared" si="84"/>
        <v>0</v>
      </c>
      <c r="N341" s="35">
        <f t="shared" si="84"/>
        <v>0</v>
      </c>
      <c r="O341" s="35">
        <f t="shared" si="84"/>
        <v>0</v>
      </c>
      <c r="P341" s="35">
        <f t="shared" si="84"/>
        <v>0</v>
      </c>
    </row>
    <row r="342" spans="1:16" hidden="1" x14ac:dyDescent="0.2">
      <c r="A342" s="74"/>
      <c r="B342" s="14" t="str">
        <f>IF(OR((B335="~"),(C342="~")),"~","")</f>
        <v>~</v>
      </c>
      <c r="C342" s="14" t="str">
        <f>IF(B335="~","~","Sub-total")</f>
        <v>~</v>
      </c>
    </row>
    <row r="343" spans="1:16" hidden="1" x14ac:dyDescent="0.2">
      <c r="A343" s="74"/>
      <c r="B343" s="14" t="str">
        <f>IF(OR((B335="~"),(C343="~")),"~","")</f>
        <v>~</v>
      </c>
      <c r="C343" s="13"/>
    </row>
    <row r="344" spans="1:16" hidden="1" x14ac:dyDescent="0.2">
      <c r="A344" s="74"/>
      <c r="B344" s="14" t="s">
        <v>205</v>
      </c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</row>
    <row r="345" spans="1:16" hidden="1" x14ac:dyDescent="0.2">
      <c r="A345" s="74"/>
      <c r="B345" s="14" t="str">
        <f>IF(OR((B344="~"),(C345="~")),"~","")</f>
        <v>~</v>
      </c>
      <c r="C345" s="14" t="s">
        <v>205</v>
      </c>
      <c r="E345" s="78">
        <f t="shared" ref="E345:E350" si="85">ROUND(IF($C345=0,0,E237/E$372),6)</f>
        <v>0</v>
      </c>
      <c r="F345" s="78"/>
      <c r="G345" s="78">
        <f t="shared" ref="G345:P350" si="86">ROUND(IF($C345=0,0,G237/G$372),6)</f>
        <v>0</v>
      </c>
      <c r="H345" s="78">
        <f t="shared" si="86"/>
        <v>0</v>
      </c>
      <c r="I345" s="78">
        <f t="shared" si="86"/>
        <v>0</v>
      </c>
      <c r="J345" s="78">
        <f t="shared" si="86"/>
        <v>0</v>
      </c>
      <c r="K345" s="78">
        <f t="shared" si="86"/>
        <v>0</v>
      </c>
      <c r="L345" s="78">
        <f t="shared" si="86"/>
        <v>0</v>
      </c>
      <c r="M345" s="78">
        <f t="shared" si="86"/>
        <v>0</v>
      </c>
      <c r="N345" s="78">
        <f t="shared" si="86"/>
        <v>0</v>
      </c>
      <c r="O345" s="78">
        <f t="shared" si="86"/>
        <v>0</v>
      </c>
      <c r="P345" s="78">
        <f t="shared" si="86"/>
        <v>0</v>
      </c>
    </row>
    <row r="346" spans="1:16" hidden="1" x14ac:dyDescent="0.2">
      <c r="A346" s="74"/>
      <c r="B346" s="14" t="str">
        <f>IF(OR((B344="~"),(C346="~")),"~","")</f>
        <v>~</v>
      </c>
      <c r="C346" s="14" t="s">
        <v>205</v>
      </c>
      <c r="E346" s="78">
        <f t="shared" si="85"/>
        <v>0</v>
      </c>
      <c r="F346" s="78"/>
      <c r="G346" s="78">
        <f t="shared" si="86"/>
        <v>0</v>
      </c>
      <c r="H346" s="78">
        <f t="shared" si="86"/>
        <v>0</v>
      </c>
      <c r="I346" s="78">
        <f t="shared" si="86"/>
        <v>0</v>
      </c>
      <c r="J346" s="78">
        <f t="shared" si="86"/>
        <v>0</v>
      </c>
      <c r="K346" s="78">
        <f t="shared" si="86"/>
        <v>0</v>
      </c>
      <c r="L346" s="78">
        <f t="shared" si="86"/>
        <v>0</v>
      </c>
      <c r="M346" s="78">
        <f t="shared" si="86"/>
        <v>0</v>
      </c>
      <c r="N346" s="78">
        <f t="shared" si="86"/>
        <v>0</v>
      </c>
      <c r="O346" s="78">
        <f t="shared" si="86"/>
        <v>0</v>
      </c>
      <c r="P346" s="78">
        <f t="shared" si="86"/>
        <v>0</v>
      </c>
    </row>
    <row r="347" spans="1:16" hidden="1" x14ac:dyDescent="0.2">
      <c r="A347" s="74"/>
      <c r="B347" s="14" t="str">
        <f>IF(OR((B344="~"),(C347="~")),"~","")</f>
        <v>~</v>
      </c>
      <c r="C347" s="14" t="s">
        <v>205</v>
      </c>
      <c r="E347" s="78">
        <f t="shared" si="85"/>
        <v>0</v>
      </c>
      <c r="F347" s="78"/>
      <c r="G347" s="78">
        <f t="shared" si="86"/>
        <v>0</v>
      </c>
      <c r="H347" s="78">
        <f t="shared" si="86"/>
        <v>0</v>
      </c>
      <c r="I347" s="78">
        <f t="shared" si="86"/>
        <v>0</v>
      </c>
      <c r="J347" s="78">
        <f t="shared" si="86"/>
        <v>0</v>
      </c>
      <c r="K347" s="78">
        <f t="shared" si="86"/>
        <v>0</v>
      </c>
      <c r="L347" s="78">
        <f t="shared" si="86"/>
        <v>0</v>
      </c>
      <c r="M347" s="78">
        <f t="shared" si="86"/>
        <v>0</v>
      </c>
      <c r="N347" s="78">
        <f t="shared" si="86"/>
        <v>0</v>
      </c>
      <c r="O347" s="78">
        <f t="shared" si="86"/>
        <v>0</v>
      </c>
      <c r="P347" s="78">
        <f t="shared" si="86"/>
        <v>0</v>
      </c>
    </row>
    <row r="348" spans="1:16" hidden="1" x14ac:dyDescent="0.2">
      <c r="A348" s="74"/>
      <c r="B348" s="14" t="str">
        <f>IF(OR((B344="~"),(C348="~")),"~","")</f>
        <v>~</v>
      </c>
      <c r="C348" s="14" t="s">
        <v>205</v>
      </c>
      <c r="E348" s="78">
        <f t="shared" si="85"/>
        <v>0</v>
      </c>
      <c r="F348" s="78"/>
      <c r="G348" s="78">
        <f t="shared" si="86"/>
        <v>0</v>
      </c>
      <c r="H348" s="78">
        <f t="shared" si="86"/>
        <v>0</v>
      </c>
      <c r="I348" s="78">
        <f t="shared" si="86"/>
        <v>0</v>
      </c>
      <c r="J348" s="78">
        <f t="shared" si="86"/>
        <v>0</v>
      </c>
      <c r="K348" s="78">
        <f t="shared" si="86"/>
        <v>0</v>
      </c>
      <c r="L348" s="78">
        <f t="shared" si="86"/>
        <v>0</v>
      </c>
      <c r="M348" s="78">
        <f t="shared" si="86"/>
        <v>0</v>
      </c>
      <c r="N348" s="78">
        <f t="shared" si="86"/>
        <v>0</v>
      </c>
      <c r="O348" s="78">
        <f t="shared" si="86"/>
        <v>0</v>
      </c>
      <c r="P348" s="78">
        <f t="shared" si="86"/>
        <v>0</v>
      </c>
    </row>
    <row r="349" spans="1:16" hidden="1" x14ac:dyDescent="0.2">
      <c r="A349" s="74"/>
      <c r="B349" s="14" t="str">
        <f>IF(OR((B344="~"),(C349="~")),"~","")</f>
        <v>~</v>
      </c>
      <c r="C349" s="14" t="s">
        <v>205</v>
      </c>
      <c r="E349" s="78">
        <f t="shared" si="85"/>
        <v>0</v>
      </c>
      <c r="F349" s="78"/>
      <c r="G349" s="78">
        <f t="shared" si="86"/>
        <v>0</v>
      </c>
      <c r="H349" s="78">
        <f t="shared" si="86"/>
        <v>0</v>
      </c>
      <c r="I349" s="78">
        <f t="shared" si="86"/>
        <v>0</v>
      </c>
      <c r="J349" s="78">
        <f t="shared" si="86"/>
        <v>0</v>
      </c>
      <c r="K349" s="78">
        <f t="shared" si="86"/>
        <v>0</v>
      </c>
      <c r="L349" s="78">
        <f t="shared" si="86"/>
        <v>0</v>
      </c>
      <c r="M349" s="78">
        <f t="shared" si="86"/>
        <v>0</v>
      </c>
      <c r="N349" s="78">
        <f t="shared" si="86"/>
        <v>0</v>
      </c>
      <c r="O349" s="78">
        <f t="shared" si="86"/>
        <v>0</v>
      </c>
      <c r="P349" s="78">
        <f t="shared" si="86"/>
        <v>0</v>
      </c>
    </row>
    <row r="350" spans="1:16" hidden="1" x14ac:dyDescent="0.2">
      <c r="A350" s="31"/>
      <c r="B350" s="26" t="str">
        <f>IF(OR((B344="~"),(C350="~")),"~","")</f>
        <v>~</v>
      </c>
      <c r="C350" s="26" t="s">
        <v>205</v>
      </c>
      <c r="D350" s="26"/>
      <c r="E350" s="35">
        <f t="shared" si="85"/>
        <v>0</v>
      </c>
      <c r="F350" s="35"/>
      <c r="G350" s="35">
        <f t="shared" si="86"/>
        <v>0</v>
      </c>
      <c r="H350" s="35">
        <f t="shared" si="86"/>
        <v>0</v>
      </c>
      <c r="I350" s="35">
        <f t="shared" si="86"/>
        <v>0</v>
      </c>
      <c r="J350" s="35">
        <f t="shared" si="86"/>
        <v>0</v>
      </c>
      <c r="K350" s="35">
        <f t="shared" si="86"/>
        <v>0</v>
      </c>
      <c r="L350" s="35">
        <f t="shared" si="86"/>
        <v>0</v>
      </c>
      <c r="M350" s="35">
        <f t="shared" si="86"/>
        <v>0</v>
      </c>
      <c r="N350" s="35">
        <f t="shared" si="86"/>
        <v>0</v>
      </c>
      <c r="O350" s="35">
        <f t="shared" si="86"/>
        <v>0</v>
      </c>
      <c r="P350" s="35">
        <f t="shared" si="86"/>
        <v>0</v>
      </c>
    </row>
    <row r="351" spans="1:16" hidden="1" x14ac:dyDescent="0.2">
      <c r="A351" s="74"/>
      <c r="B351" s="14" t="str">
        <f>IF(OR((B344="~"),(C351="~")),"~","")</f>
        <v>~</v>
      </c>
      <c r="C351" s="14" t="str">
        <f>IF(B344="~","~","Sub-total")</f>
        <v>~</v>
      </c>
    </row>
    <row r="352" spans="1:16" hidden="1" x14ac:dyDescent="0.2">
      <c r="A352" s="74"/>
      <c r="B352" s="14" t="str">
        <f>IF(OR((B344="~"),(C352="~")),"~","")</f>
        <v>~</v>
      </c>
      <c r="C352" s="13"/>
    </row>
    <row r="353" spans="1:16" hidden="1" x14ac:dyDescent="0.2">
      <c r="A353" s="74"/>
      <c r="B353" s="14" t="s">
        <v>205</v>
      </c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</row>
    <row r="354" spans="1:16" hidden="1" x14ac:dyDescent="0.2">
      <c r="A354" s="74"/>
      <c r="B354" s="14" t="str">
        <f>IF(OR((B353="~"),(C354="~")),"~","")</f>
        <v>~</v>
      </c>
      <c r="C354" s="14" t="s">
        <v>205</v>
      </c>
      <c r="E354" s="78">
        <f t="shared" ref="E354:E359" si="87">ROUND(IF($C354=0,0,E246/E$372),6)</f>
        <v>0</v>
      </c>
      <c r="F354" s="78"/>
      <c r="G354" s="78">
        <f t="shared" ref="G354:P359" si="88">ROUND(IF($C354=0,0,G246/G$372),6)</f>
        <v>0</v>
      </c>
      <c r="H354" s="78">
        <f t="shared" si="88"/>
        <v>0</v>
      </c>
      <c r="I354" s="78">
        <f t="shared" si="88"/>
        <v>0</v>
      </c>
      <c r="J354" s="78">
        <f t="shared" si="88"/>
        <v>0</v>
      </c>
      <c r="K354" s="78">
        <f t="shared" si="88"/>
        <v>0</v>
      </c>
      <c r="L354" s="78">
        <f t="shared" si="88"/>
        <v>0</v>
      </c>
      <c r="M354" s="78">
        <f t="shared" si="88"/>
        <v>0</v>
      </c>
      <c r="N354" s="78">
        <f t="shared" si="88"/>
        <v>0</v>
      </c>
      <c r="O354" s="78">
        <f t="shared" si="88"/>
        <v>0</v>
      </c>
      <c r="P354" s="78">
        <f t="shared" si="88"/>
        <v>0</v>
      </c>
    </row>
    <row r="355" spans="1:16" hidden="1" x14ac:dyDescent="0.2">
      <c r="A355" s="74"/>
      <c r="B355" s="14" t="str">
        <f>IF(OR((B353="~"),(C355="~")),"~","")</f>
        <v>~</v>
      </c>
      <c r="C355" s="14" t="s">
        <v>205</v>
      </c>
      <c r="E355" s="78">
        <f t="shared" si="87"/>
        <v>0</v>
      </c>
      <c r="F355" s="78"/>
      <c r="G355" s="78">
        <f t="shared" si="88"/>
        <v>0</v>
      </c>
      <c r="H355" s="78">
        <f t="shared" si="88"/>
        <v>0</v>
      </c>
      <c r="I355" s="78">
        <f t="shared" si="88"/>
        <v>0</v>
      </c>
      <c r="J355" s="78">
        <f t="shared" si="88"/>
        <v>0</v>
      </c>
      <c r="K355" s="78">
        <f t="shared" si="88"/>
        <v>0</v>
      </c>
      <c r="L355" s="78">
        <f t="shared" si="88"/>
        <v>0</v>
      </c>
      <c r="M355" s="78">
        <f t="shared" si="88"/>
        <v>0</v>
      </c>
      <c r="N355" s="78">
        <f t="shared" si="88"/>
        <v>0</v>
      </c>
      <c r="O355" s="78">
        <f t="shared" si="88"/>
        <v>0</v>
      </c>
      <c r="P355" s="78">
        <f t="shared" si="88"/>
        <v>0</v>
      </c>
    </row>
    <row r="356" spans="1:16" hidden="1" x14ac:dyDescent="0.2">
      <c r="A356" s="74"/>
      <c r="B356" s="14" t="str">
        <f>IF(OR((B353="~"),(C356="~")),"~","")</f>
        <v>~</v>
      </c>
      <c r="C356" s="14" t="s">
        <v>205</v>
      </c>
      <c r="E356" s="78">
        <f t="shared" si="87"/>
        <v>0</v>
      </c>
      <c r="F356" s="78"/>
      <c r="G356" s="78">
        <f t="shared" si="88"/>
        <v>0</v>
      </c>
      <c r="H356" s="78">
        <f t="shared" si="88"/>
        <v>0</v>
      </c>
      <c r="I356" s="78">
        <f t="shared" si="88"/>
        <v>0</v>
      </c>
      <c r="J356" s="78">
        <f t="shared" si="88"/>
        <v>0</v>
      </c>
      <c r="K356" s="78">
        <f t="shared" si="88"/>
        <v>0</v>
      </c>
      <c r="L356" s="78">
        <f t="shared" si="88"/>
        <v>0</v>
      </c>
      <c r="M356" s="78">
        <f t="shared" si="88"/>
        <v>0</v>
      </c>
      <c r="N356" s="78">
        <f t="shared" si="88"/>
        <v>0</v>
      </c>
      <c r="O356" s="78">
        <f t="shared" si="88"/>
        <v>0</v>
      </c>
      <c r="P356" s="78">
        <f t="shared" si="88"/>
        <v>0</v>
      </c>
    </row>
    <row r="357" spans="1:16" hidden="1" x14ac:dyDescent="0.2">
      <c r="A357" s="74"/>
      <c r="B357" s="14" t="str">
        <f>IF(OR((B353="~"),(C357="~")),"~","")</f>
        <v>~</v>
      </c>
      <c r="C357" s="14" t="s">
        <v>205</v>
      </c>
      <c r="E357" s="78">
        <f t="shared" si="87"/>
        <v>0</v>
      </c>
      <c r="F357" s="78"/>
      <c r="G357" s="78">
        <f t="shared" si="88"/>
        <v>0</v>
      </c>
      <c r="H357" s="78">
        <f t="shared" si="88"/>
        <v>0</v>
      </c>
      <c r="I357" s="78">
        <f t="shared" si="88"/>
        <v>0</v>
      </c>
      <c r="J357" s="78">
        <f t="shared" si="88"/>
        <v>0</v>
      </c>
      <c r="K357" s="78">
        <f t="shared" si="88"/>
        <v>0</v>
      </c>
      <c r="L357" s="78">
        <f t="shared" si="88"/>
        <v>0</v>
      </c>
      <c r="M357" s="78">
        <f t="shared" si="88"/>
        <v>0</v>
      </c>
      <c r="N357" s="78">
        <f t="shared" si="88"/>
        <v>0</v>
      </c>
      <c r="O357" s="78">
        <f t="shared" si="88"/>
        <v>0</v>
      </c>
      <c r="P357" s="78">
        <f t="shared" si="88"/>
        <v>0</v>
      </c>
    </row>
    <row r="358" spans="1:16" hidden="1" x14ac:dyDescent="0.2">
      <c r="A358" s="74"/>
      <c r="B358" s="14" t="str">
        <f>IF(OR((B353="~"),(C358="~")),"~","")</f>
        <v>~</v>
      </c>
      <c r="C358" s="14" t="s">
        <v>205</v>
      </c>
      <c r="E358" s="78">
        <f t="shared" si="87"/>
        <v>0</v>
      </c>
      <c r="F358" s="78"/>
      <c r="G358" s="78">
        <f t="shared" si="88"/>
        <v>0</v>
      </c>
      <c r="H358" s="78">
        <f t="shared" si="88"/>
        <v>0</v>
      </c>
      <c r="I358" s="78">
        <f t="shared" si="88"/>
        <v>0</v>
      </c>
      <c r="J358" s="78">
        <f t="shared" si="88"/>
        <v>0</v>
      </c>
      <c r="K358" s="78">
        <f t="shared" si="88"/>
        <v>0</v>
      </c>
      <c r="L358" s="78">
        <f t="shared" si="88"/>
        <v>0</v>
      </c>
      <c r="M358" s="78">
        <f t="shared" si="88"/>
        <v>0</v>
      </c>
      <c r="N358" s="78">
        <f t="shared" si="88"/>
        <v>0</v>
      </c>
      <c r="O358" s="78">
        <f t="shared" si="88"/>
        <v>0</v>
      </c>
      <c r="P358" s="78">
        <f t="shared" si="88"/>
        <v>0</v>
      </c>
    </row>
    <row r="359" spans="1:16" hidden="1" x14ac:dyDescent="0.2">
      <c r="A359" s="31"/>
      <c r="B359" s="26" t="str">
        <f>IF(OR((B353="~"),(C359="~")),"~","")</f>
        <v>~</v>
      </c>
      <c r="C359" s="26" t="s">
        <v>205</v>
      </c>
      <c r="D359" s="26"/>
      <c r="E359" s="35">
        <f t="shared" si="87"/>
        <v>0</v>
      </c>
      <c r="F359" s="35"/>
      <c r="G359" s="35">
        <f t="shared" si="88"/>
        <v>0</v>
      </c>
      <c r="H359" s="35">
        <f t="shared" si="88"/>
        <v>0</v>
      </c>
      <c r="I359" s="35">
        <f t="shared" si="88"/>
        <v>0</v>
      </c>
      <c r="J359" s="35">
        <f t="shared" si="88"/>
        <v>0</v>
      </c>
      <c r="K359" s="35">
        <f t="shared" si="88"/>
        <v>0</v>
      </c>
      <c r="L359" s="35">
        <f t="shared" si="88"/>
        <v>0</v>
      </c>
      <c r="M359" s="35">
        <f t="shared" si="88"/>
        <v>0</v>
      </c>
      <c r="N359" s="35">
        <f t="shared" si="88"/>
        <v>0</v>
      </c>
      <c r="O359" s="35">
        <f t="shared" si="88"/>
        <v>0</v>
      </c>
      <c r="P359" s="35">
        <f t="shared" si="88"/>
        <v>0</v>
      </c>
    </row>
    <row r="360" spans="1:16" hidden="1" x14ac:dyDescent="0.2">
      <c r="A360" s="74"/>
      <c r="B360" s="14" t="str">
        <f>IF(OR((B353="~"),(C360="~")),"~","")</f>
        <v>~</v>
      </c>
      <c r="C360" s="14" t="str">
        <f>IF(B353="~","~","Sub-total")</f>
        <v>~</v>
      </c>
    </row>
    <row r="361" spans="1:16" hidden="1" x14ac:dyDescent="0.2">
      <c r="A361" s="74"/>
      <c r="B361" s="14" t="str">
        <f>IF(OR((B353="~"),(C361="~")),"~","")</f>
        <v>~</v>
      </c>
    </row>
    <row r="362" spans="1:16" x14ac:dyDescent="0.2">
      <c r="A362" s="74">
        <f>+A297+1</f>
        <v>27</v>
      </c>
    </row>
    <row r="363" spans="1:16" x14ac:dyDescent="0.2">
      <c r="A363" s="74">
        <f>+A362+1</f>
        <v>28</v>
      </c>
      <c r="C363" s="13" t="s">
        <v>49</v>
      </c>
    </row>
    <row r="364" spans="1:16" x14ac:dyDescent="0.2">
      <c r="A364" s="74">
        <f t="shared" ref="A364:A372" si="89">+A363+1</f>
        <v>29</v>
      </c>
      <c r="B364" s="14" t="str">
        <f>IF(OR((C363="~"),(C364="~")),"~","")</f>
        <v/>
      </c>
      <c r="C364" s="14" t="s">
        <v>189</v>
      </c>
      <c r="E364" s="78">
        <f t="shared" ref="E364:E370" si="90">ROUND(IF($C364=0,0,E256/E$372),6)</f>
        <v>2.4937999999999998E-2</v>
      </c>
      <c r="F364" s="78"/>
      <c r="G364" s="78">
        <f t="shared" ref="G364:P370" si="91">ROUND(IF($C364=0,0,G256/G$372),6)</f>
        <v>3.4279999999999998E-2</v>
      </c>
      <c r="H364" s="78">
        <f t="shared" si="91"/>
        <v>2.6284999999999999E-2</v>
      </c>
      <c r="I364" s="78">
        <f t="shared" si="91"/>
        <v>2.1409000000000001E-2</v>
      </c>
      <c r="J364" s="78">
        <f t="shared" si="91"/>
        <v>1.5351999999999999E-2</v>
      </c>
      <c r="K364" s="78">
        <f t="shared" si="91"/>
        <v>1.7884000000000001E-2</v>
      </c>
      <c r="L364" s="78">
        <f t="shared" si="91"/>
        <v>1.2949E-2</v>
      </c>
      <c r="M364" s="78">
        <f t="shared" si="91"/>
        <v>2.735E-3</v>
      </c>
      <c r="N364" s="78">
        <f t="shared" si="91"/>
        <v>1.8799999999999999E-4</v>
      </c>
      <c r="O364" s="78">
        <f t="shared" si="91"/>
        <v>3.6155E-2</v>
      </c>
      <c r="P364" s="78">
        <f t="shared" si="91"/>
        <v>3.0599000000000001E-2</v>
      </c>
    </row>
    <row r="365" spans="1:16" x14ac:dyDescent="0.2">
      <c r="A365" s="74">
        <f t="shared" si="89"/>
        <v>30</v>
      </c>
      <c r="B365" s="14" t="str">
        <f>IF(OR((C363="~"),(C365="~")),"~","")</f>
        <v/>
      </c>
      <c r="C365" s="14" t="s">
        <v>203</v>
      </c>
      <c r="E365" s="78">
        <f t="shared" si="90"/>
        <v>5.4024999999999997E-2</v>
      </c>
      <c r="F365" s="78"/>
      <c r="G365" s="78">
        <f t="shared" si="91"/>
        <v>5.9373000000000002E-2</v>
      </c>
      <c r="H365" s="78">
        <f t="shared" si="91"/>
        <v>5.9373000000000002E-2</v>
      </c>
      <c r="I365" s="78">
        <f t="shared" si="91"/>
        <v>5.9373000000000002E-2</v>
      </c>
      <c r="J365" s="78">
        <f t="shared" si="91"/>
        <v>5.9373000000000002E-2</v>
      </c>
      <c r="K365" s="78">
        <f t="shared" si="91"/>
        <v>5.9373000000000002E-2</v>
      </c>
      <c r="L365" s="78">
        <f t="shared" si="91"/>
        <v>5.2620000000000002E-3</v>
      </c>
      <c r="M365" s="78">
        <f t="shared" si="91"/>
        <v>5.9373000000000002E-2</v>
      </c>
      <c r="N365" s="78">
        <f t="shared" si="91"/>
        <v>5.2620000000000002E-3</v>
      </c>
      <c r="O365" s="78">
        <f t="shared" si="91"/>
        <v>5.9373000000000002E-2</v>
      </c>
      <c r="P365" s="78">
        <f t="shared" si="91"/>
        <v>5.9373000000000002E-2</v>
      </c>
    </row>
    <row r="366" spans="1:16" x14ac:dyDescent="0.2">
      <c r="A366" s="74">
        <f t="shared" si="89"/>
        <v>31</v>
      </c>
      <c r="B366" s="14" t="str">
        <f>IF(OR((C363="~"),(C366="~")),"~","")</f>
        <v/>
      </c>
      <c r="C366" s="14" t="s">
        <v>204</v>
      </c>
      <c r="E366" s="78">
        <f t="shared" si="90"/>
        <v>5.9430000000000004E-3</v>
      </c>
      <c r="F366" s="78"/>
      <c r="G366" s="78">
        <f t="shared" si="91"/>
        <v>9.9000000000000008E-3</v>
      </c>
      <c r="H366" s="78">
        <f t="shared" si="91"/>
        <v>3.7460000000000002E-3</v>
      </c>
      <c r="I366" s="78">
        <f t="shared" si="91"/>
        <v>8.9099999999999997E-4</v>
      </c>
      <c r="J366" s="78">
        <f t="shared" si="91"/>
        <v>5.1099999999999995E-4</v>
      </c>
      <c r="K366" s="78">
        <f t="shared" si="91"/>
        <v>3.5279999999999999E-3</v>
      </c>
      <c r="L366" s="78">
        <f t="shared" si="91"/>
        <v>-1.9269999999999999E-3</v>
      </c>
      <c r="M366" s="78">
        <f t="shared" si="91"/>
        <v>4.8799999999999999E-4</v>
      </c>
      <c r="N366" s="78">
        <f t="shared" si="91"/>
        <v>2.5500000000000002E-4</v>
      </c>
      <c r="O366" s="78">
        <f t="shared" si="91"/>
        <v>0.14513799999999999</v>
      </c>
      <c r="P366" s="78">
        <f t="shared" si="91"/>
        <v>3.6999999999999999E-4</v>
      </c>
    </row>
    <row r="367" spans="1:16" x14ac:dyDescent="0.2">
      <c r="A367" s="74">
        <f t="shared" si="89"/>
        <v>32</v>
      </c>
      <c r="B367" s="14" t="str">
        <f>IF(OR((C363="~"),(C367="~")),"~","")</f>
        <v>~</v>
      </c>
      <c r="C367" s="14" t="s">
        <v>205</v>
      </c>
      <c r="E367" s="78">
        <f t="shared" si="90"/>
        <v>0</v>
      </c>
      <c r="F367" s="78"/>
      <c r="G367" s="78">
        <f t="shared" si="91"/>
        <v>0</v>
      </c>
      <c r="H367" s="78">
        <f t="shared" si="91"/>
        <v>0</v>
      </c>
      <c r="I367" s="78">
        <f t="shared" si="91"/>
        <v>0</v>
      </c>
      <c r="J367" s="78">
        <f t="shared" si="91"/>
        <v>0</v>
      </c>
      <c r="K367" s="78">
        <f t="shared" si="91"/>
        <v>0</v>
      </c>
      <c r="L367" s="78">
        <f t="shared" si="91"/>
        <v>0</v>
      </c>
      <c r="M367" s="78">
        <f t="shared" si="91"/>
        <v>0</v>
      </c>
      <c r="N367" s="78">
        <f t="shared" si="91"/>
        <v>0</v>
      </c>
      <c r="O367" s="78">
        <f t="shared" si="91"/>
        <v>0</v>
      </c>
      <c r="P367" s="78">
        <f t="shared" si="91"/>
        <v>0</v>
      </c>
    </row>
    <row r="368" spans="1:16" x14ac:dyDescent="0.2">
      <c r="A368" s="74">
        <f t="shared" si="89"/>
        <v>33</v>
      </c>
      <c r="B368" s="14" t="str">
        <f>IF(OR((C363="~"),(C368="~")),"~","")</f>
        <v>~</v>
      </c>
      <c r="C368" s="14" t="s">
        <v>205</v>
      </c>
      <c r="E368" s="78">
        <f t="shared" si="90"/>
        <v>0</v>
      </c>
      <c r="F368" s="78"/>
      <c r="G368" s="78">
        <f t="shared" si="91"/>
        <v>0</v>
      </c>
      <c r="H368" s="78">
        <f t="shared" si="91"/>
        <v>0</v>
      </c>
      <c r="I368" s="78">
        <f t="shared" si="91"/>
        <v>0</v>
      </c>
      <c r="J368" s="78">
        <f t="shared" si="91"/>
        <v>0</v>
      </c>
      <c r="K368" s="78">
        <f t="shared" si="91"/>
        <v>0</v>
      </c>
      <c r="L368" s="78">
        <f t="shared" si="91"/>
        <v>0</v>
      </c>
      <c r="M368" s="78">
        <f t="shared" si="91"/>
        <v>0</v>
      </c>
      <c r="N368" s="78">
        <f t="shared" si="91"/>
        <v>0</v>
      </c>
      <c r="O368" s="78">
        <f t="shared" si="91"/>
        <v>0</v>
      </c>
      <c r="P368" s="78">
        <f t="shared" si="91"/>
        <v>0</v>
      </c>
    </row>
    <row r="369" spans="1:16" x14ac:dyDescent="0.2">
      <c r="A369" s="74">
        <f t="shared" si="89"/>
        <v>34</v>
      </c>
      <c r="B369" s="14" t="str">
        <f>IF(OR((C363="~"),(C369="~")),"~","")</f>
        <v>~</v>
      </c>
      <c r="C369" s="14" t="s">
        <v>205</v>
      </c>
      <c r="E369" s="78">
        <f t="shared" si="90"/>
        <v>0</v>
      </c>
      <c r="F369" s="78"/>
      <c r="G369" s="78">
        <f t="shared" si="91"/>
        <v>0</v>
      </c>
      <c r="H369" s="78">
        <f t="shared" si="91"/>
        <v>0</v>
      </c>
      <c r="I369" s="78">
        <f t="shared" si="91"/>
        <v>0</v>
      </c>
      <c r="J369" s="78">
        <f t="shared" si="91"/>
        <v>0</v>
      </c>
      <c r="K369" s="78">
        <f t="shared" si="91"/>
        <v>0</v>
      </c>
      <c r="L369" s="78">
        <f t="shared" si="91"/>
        <v>0</v>
      </c>
      <c r="M369" s="78">
        <f t="shared" si="91"/>
        <v>0</v>
      </c>
      <c r="N369" s="78">
        <f t="shared" si="91"/>
        <v>0</v>
      </c>
      <c r="O369" s="78">
        <f t="shared" si="91"/>
        <v>0</v>
      </c>
      <c r="P369" s="78">
        <f t="shared" si="91"/>
        <v>0</v>
      </c>
    </row>
    <row r="370" spans="1:16" x14ac:dyDescent="0.2">
      <c r="A370" s="31">
        <f t="shared" si="89"/>
        <v>35</v>
      </c>
      <c r="B370" s="26"/>
      <c r="C370" s="26" t="s">
        <v>53</v>
      </c>
      <c r="D370" s="26"/>
      <c r="E370" s="35">
        <f t="shared" si="90"/>
        <v>8.4905999999999995E-2</v>
      </c>
      <c r="F370" s="35"/>
      <c r="G370" s="35">
        <f t="shared" si="91"/>
        <v>0.10355399999999999</v>
      </c>
      <c r="H370" s="35">
        <f t="shared" si="91"/>
        <v>8.9404999999999998E-2</v>
      </c>
      <c r="I370" s="35">
        <f t="shared" si="91"/>
        <v>8.1673999999999997E-2</v>
      </c>
      <c r="J370" s="35">
        <f t="shared" si="91"/>
        <v>7.5236999999999998E-2</v>
      </c>
      <c r="K370" s="35">
        <f t="shared" si="91"/>
        <v>8.0785999999999997E-2</v>
      </c>
      <c r="L370" s="35">
        <f t="shared" si="91"/>
        <v>1.6284E-2</v>
      </c>
      <c r="M370" s="35">
        <f t="shared" si="91"/>
        <v>6.2597E-2</v>
      </c>
      <c r="N370" s="35">
        <f t="shared" si="91"/>
        <v>5.705E-3</v>
      </c>
      <c r="O370" s="35">
        <f t="shared" si="91"/>
        <v>0.24066699999999999</v>
      </c>
      <c r="P370" s="35">
        <f t="shared" si="91"/>
        <v>9.0343000000000007E-2</v>
      </c>
    </row>
    <row r="371" spans="1:16" x14ac:dyDescent="0.2">
      <c r="A371" s="74">
        <f t="shared" si="89"/>
        <v>36</v>
      </c>
      <c r="B371" s="14" t="str">
        <f>IF(OR((C363="~"),(C371="~")),"~","")</f>
        <v/>
      </c>
    </row>
    <row r="372" spans="1:16" x14ac:dyDescent="0.2">
      <c r="A372" s="31">
        <f t="shared" si="89"/>
        <v>37</v>
      </c>
      <c r="B372" s="26"/>
      <c r="C372" s="26" t="s">
        <v>54</v>
      </c>
      <c r="D372" s="26"/>
      <c r="E372" s="36">
        <f>SUM(G372:P372)</f>
        <v>24444937399.349434</v>
      </c>
      <c r="F372" s="36"/>
      <c r="G372" s="36">
        <v>11476152247.161776</v>
      </c>
      <c r="H372" s="36">
        <v>2915955626.4103169</v>
      </c>
      <c r="I372" s="36">
        <v>3242765959.9604325</v>
      </c>
      <c r="J372" s="36">
        <v>2092770306.5275679</v>
      </c>
      <c r="K372" s="36">
        <v>1587518179.2683547</v>
      </c>
      <c r="L372" s="36">
        <v>350081232.79927498</v>
      </c>
      <c r="M372" s="36">
        <v>630228919.26662493</v>
      </c>
      <c r="N372" s="36">
        <v>2066150549.7926297</v>
      </c>
      <c r="O372" s="36">
        <v>75887375.026475519</v>
      </c>
      <c r="P372" s="36">
        <v>7427003.1359829875</v>
      </c>
    </row>
    <row r="377" spans="1:16" x14ac:dyDescent="0.2">
      <c r="C377" s="13" t="s">
        <v>55</v>
      </c>
    </row>
    <row r="378" spans="1:16" x14ac:dyDescent="0.2">
      <c r="C378" s="14" t="s">
        <v>56</v>
      </c>
      <c r="E378" s="72">
        <v>886077.81672800006</v>
      </c>
    </row>
    <row r="379" spans="1:16" x14ac:dyDescent="0.2">
      <c r="C379" s="14" t="s">
        <v>57</v>
      </c>
      <c r="E379" s="72">
        <v>209005.264</v>
      </c>
    </row>
    <row r="380" spans="1:16" x14ac:dyDescent="0.2">
      <c r="C380" s="14" t="s">
        <v>58</v>
      </c>
      <c r="E380" s="72">
        <v>4013528.0845920001</v>
      </c>
    </row>
    <row r="381" spans="1:16" x14ac:dyDescent="0.2">
      <c r="C381" s="14" t="s">
        <v>59</v>
      </c>
      <c r="E381" s="72">
        <v>20872728.699887998</v>
      </c>
    </row>
    <row r="382" spans="1:16" ht="13.5" thickBot="1" x14ac:dyDescent="0.25">
      <c r="C382" s="21" t="s">
        <v>60</v>
      </c>
      <c r="D382" s="21"/>
      <c r="E382" s="22">
        <f>SUM(E378:E381)</f>
        <v>25981339.865208</v>
      </c>
    </row>
    <row r="383" spans="1:16" ht="13.5" thickTop="1" x14ac:dyDescent="0.2"/>
    <row r="384" spans="1:16" x14ac:dyDescent="0.2">
      <c r="C384" s="14" t="s">
        <v>61</v>
      </c>
    </row>
    <row r="385" spans="3:16" x14ac:dyDescent="0.2">
      <c r="C385" s="14" t="str">
        <f>+'Expense Summary'!C56</f>
        <v xml:space="preserve">CAE - Uncollect Accts </v>
      </c>
      <c r="E385" s="72">
        <f>SUM(G385:P385)</f>
        <v>16958952.817367498</v>
      </c>
      <c r="F385" s="72"/>
      <c r="G385" s="72">
        <f>+'Expense Summary'!F56</f>
        <v>15015160.314208854</v>
      </c>
      <c r="H385" s="72">
        <f>+'Expense Summary'!G56</f>
        <v>1080069.5070909716</v>
      </c>
      <c r="I385" s="72">
        <f>+'Expense Summary'!H56</f>
        <v>174629.9454600178</v>
      </c>
      <c r="J385" s="72">
        <f>+'Expense Summary'!I56</f>
        <v>272644.09992099757</v>
      </c>
      <c r="K385" s="72">
        <f>+'Expense Summary'!J56</f>
        <v>373242.03424914565</v>
      </c>
      <c r="L385" s="72">
        <f>+'Expense Summary'!K56</f>
        <v>0</v>
      </c>
      <c r="M385" s="72">
        <f>+'Expense Summary'!L56</f>
        <v>0</v>
      </c>
      <c r="N385" s="72">
        <f>+'Expense Summary'!M56</f>
        <v>0</v>
      </c>
      <c r="O385" s="72">
        <f>+'Expense Summary'!N56</f>
        <v>43206.916437510416</v>
      </c>
      <c r="P385" s="72">
        <f>+'Expense Summary'!O56</f>
        <v>0</v>
      </c>
    </row>
    <row r="386" spans="3:16" x14ac:dyDescent="0.2">
      <c r="C386" s="14" t="str">
        <f>+'Expense Summary'!C79</f>
        <v xml:space="preserve">A&amp;G Exp - Reg Comm Exp </v>
      </c>
      <c r="E386" s="72">
        <f>SUM(G386:P386)</f>
        <v>7659023.8861585986</v>
      </c>
      <c r="F386" s="72"/>
      <c r="G386" s="72">
        <f>+'Expense Summary'!F79</f>
        <v>4110717.3352914727</v>
      </c>
      <c r="H386" s="72">
        <f>+'Expense Summary'!G79</f>
        <v>1009517.4153417379</v>
      </c>
      <c r="I386" s="72">
        <f>+'Expense Summary'!H79</f>
        <v>1085722.3352739869</v>
      </c>
      <c r="J386" s="72">
        <f>+'Expense Summary'!I79</f>
        <v>671579.82005542796</v>
      </c>
      <c r="K386" s="72">
        <f>+'Expense Summary'!J79</f>
        <v>523696.30553544941</v>
      </c>
      <c r="L386" s="72">
        <f>+'Expense Summary'!K79</f>
        <v>6552.4685282178107</v>
      </c>
      <c r="M386" s="72">
        <f>+'Expense Summary'!L79</f>
        <v>193033.61837833369</v>
      </c>
      <c r="N386" s="72">
        <f>+'Expense Summary'!M79</f>
        <v>13470.975433954372</v>
      </c>
      <c r="O386" s="72">
        <f>+'Expense Summary'!N79</f>
        <v>42063.856141213008</v>
      </c>
      <c r="P386" s="72">
        <f>+'Expense Summary'!O79</f>
        <v>2669.7561788048511</v>
      </c>
    </row>
    <row r="387" spans="3:16" x14ac:dyDescent="0.2">
      <c r="C387" s="14" t="str">
        <f>+'Expense Summary'!C150</f>
        <v>Other Taxes - Wash Excise - Allocated</v>
      </c>
      <c r="E387" s="72">
        <f>SUM(G387:P387)</f>
        <v>78476383.807139218</v>
      </c>
      <c r="F387" s="72"/>
      <c r="G387" s="72">
        <f>+'Expense Summary'!F150</f>
        <v>44836727.996464066</v>
      </c>
      <c r="H387" s="72">
        <f>+'Expense Summary'!G150</f>
        <v>9908741.0799795203</v>
      </c>
      <c r="I387" s="72">
        <f>+'Expense Summary'!H150</f>
        <v>9963923.695887493</v>
      </c>
      <c r="J387" s="72">
        <f>+'Expense Summary'!I150</f>
        <v>5925330.9823050192</v>
      </c>
      <c r="K387" s="72">
        <f>+'Expense Summary'!J150</f>
        <v>4835400.3030083366</v>
      </c>
      <c r="L387" s="72">
        <f>+'Expense Summary'!K150</f>
        <v>245122.65962459461</v>
      </c>
      <c r="M387" s="72">
        <f>+'Expense Summary'!L150</f>
        <v>1599415.2281320756</v>
      </c>
      <c r="N387" s="72">
        <f>+'Expense Summary'!M150</f>
        <v>463966.23966692039</v>
      </c>
      <c r="O387" s="72">
        <f>+'Expense Summary'!N150</f>
        <v>672356.62378297723</v>
      </c>
      <c r="P387" s="72">
        <f>+'Expense Summary'!O150</f>
        <v>25398.998288223491</v>
      </c>
    </row>
    <row r="388" spans="3:16" x14ac:dyDescent="0.2">
      <c r="C388" s="14" t="str">
        <f>+'Expense Summary'!C156</f>
        <v>Current Federal Income Tax @ Rate</v>
      </c>
      <c r="E388" s="72">
        <f>SUM(G388:P388)</f>
        <v>74218132.810781255</v>
      </c>
      <c r="F388" s="72"/>
      <c r="G388" s="72">
        <f>+'Expense Summary'!F156</f>
        <v>42826580.085002027</v>
      </c>
      <c r="H388" s="72">
        <f>+'Expense Summary'!G156</f>
        <v>8911453.60387755</v>
      </c>
      <c r="I388" s="72">
        <f>+'Expense Summary'!H156</f>
        <v>9226441.3287920058</v>
      </c>
      <c r="J388" s="72">
        <f>+'Expense Summary'!I156</f>
        <v>5232221.4906988218</v>
      </c>
      <c r="K388" s="72">
        <f>+'Expense Summary'!J156</f>
        <v>4465386.9706069753</v>
      </c>
      <c r="L388" s="72">
        <f>+'Expense Summary'!K156</f>
        <v>521855.1877097885</v>
      </c>
      <c r="M388" s="72">
        <f>+'Expense Summary'!L156</f>
        <v>1306972.1476525906</v>
      </c>
      <c r="N388" s="72">
        <f>+'Expense Summary'!M156</f>
        <v>914397.23041310057</v>
      </c>
      <c r="O388" s="72">
        <f>+'Expense Summary'!N156</f>
        <v>788265.82567263837</v>
      </c>
      <c r="P388" s="72">
        <f>+'Expense Summary'!O156</f>
        <v>24558.94035574275</v>
      </c>
    </row>
    <row r="389" spans="3:16" x14ac:dyDescent="0.2"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</row>
    <row r="390" spans="3:16" x14ac:dyDescent="0.2">
      <c r="C390" s="14" t="str">
        <f>+C385</f>
        <v xml:space="preserve">CAE - Uncollect Accts </v>
      </c>
      <c r="E390" s="72">
        <f>SUM(G390:P390)</f>
        <v>886077.81672800018</v>
      </c>
      <c r="F390" s="72"/>
      <c r="G390" s="72">
        <f>+G385/$E385*$E378</f>
        <v>784517.80674865621</v>
      </c>
      <c r="H390" s="72">
        <f t="shared" ref="H390:P390" si="92">+H385/$E385*$E378</f>
        <v>56431.88238471745</v>
      </c>
      <c r="I390" s="72">
        <f t="shared" si="92"/>
        <v>9124.1318066572458</v>
      </c>
      <c r="J390" s="72">
        <f t="shared" si="92"/>
        <v>14245.212626239781</v>
      </c>
      <c r="K390" s="72">
        <f t="shared" si="92"/>
        <v>19501.291759000105</v>
      </c>
      <c r="L390" s="72">
        <f t="shared" si="92"/>
        <v>0</v>
      </c>
      <c r="M390" s="72">
        <f t="shared" si="92"/>
        <v>0</v>
      </c>
      <c r="N390" s="72">
        <f t="shared" si="92"/>
        <v>0</v>
      </c>
      <c r="O390" s="72">
        <f t="shared" si="92"/>
        <v>2257.4914027292648</v>
      </c>
      <c r="P390" s="72">
        <f t="shared" si="92"/>
        <v>0</v>
      </c>
    </row>
    <row r="391" spans="3:16" x14ac:dyDescent="0.2">
      <c r="C391" s="14" t="str">
        <f>+C386</f>
        <v xml:space="preserve">A&amp;G Exp - Reg Comm Exp </v>
      </c>
      <c r="E391" s="72">
        <f>SUM(G391:P391)</f>
        <v>209005.264</v>
      </c>
      <c r="F391" s="72"/>
      <c r="G391" s="72">
        <f t="shared" ref="G391:P393" si="93">+G386/$E386*$E379</f>
        <v>112176.37843441761</v>
      </c>
      <c r="H391" s="72">
        <f t="shared" si="93"/>
        <v>27548.478375606992</v>
      </c>
      <c r="I391" s="72">
        <f t="shared" si="93"/>
        <v>29628.016139854244</v>
      </c>
      <c r="J391" s="72">
        <f t="shared" si="93"/>
        <v>18326.580472143814</v>
      </c>
      <c r="K391" s="72">
        <f t="shared" si="93"/>
        <v>14291.022749265614</v>
      </c>
      <c r="L391" s="72">
        <f t="shared" si="93"/>
        <v>178.80874050632201</v>
      </c>
      <c r="M391" s="72">
        <f t="shared" si="93"/>
        <v>5267.6480671317022</v>
      </c>
      <c r="N391" s="72">
        <f t="shared" si="93"/>
        <v>367.60621441582566</v>
      </c>
      <c r="O391" s="72">
        <f t="shared" si="93"/>
        <v>1147.8704712672827</v>
      </c>
      <c r="P391" s="72">
        <f t="shared" si="93"/>
        <v>72.854335390590066</v>
      </c>
    </row>
    <row r="392" spans="3:16" x14ac:dyDescent="0.2">
      <c r="C392" s="14" t="str">
        <f>+C387</f>
        <v>Other Taxes - Wash Excise - Allocated</v>
      </c>
      <c r="E392" s="72">
        <f>SUM(G392:P392)</f>
        <v>4013528.0845920015</v>
      </c>
      <c r="F392" s="72"/>
      <c r="G392" s="72">
        <f t="shared" si="93"/>
        <v>2293090.7147463397</v>
      </c>
      <c r="H392" s="72">
        <f t="shared" si="93"/>
        <v>506764.0566260441</v>
      </c>
      <c r="I392" s="72">
        <f t="shared" si="93"/>
        <v>509586.26845568442</v>
      </c>
      <c r="J392" s="72">
        <f t="shared" si="93"/>
        <v>303039.98673573986</v>
      </c>
      <c r="K392" s="72">
        <f t="shared" si="93"/>
        <v>247297.51773556002</v>
      </c>
      <c r="L392" s="72">
        <f t="shared" si="93"/>
        <v>12536.340626894384</v>
      </c>
      <c r="M392" s="72">
        <f t="shared" si="93"/>
        <v>81799.104719300594</v>
      </c>
      <c r="N392" s="72">
        <f t="shared" si="93"/>
        <v>23728.686808276754</v>
      </c>
      <c r="O392" s="72">
        <f t="shared" si="93"/>
        <v>34386.423806762417</v>
      </c>
      <c r="P392" s="72">
        <f t="shared" si="93"/>
        <v>1298.9843313985039</v>
      </c>
    </row>
    <row r="393" spans="3:16" x14ac:dyDescent="0.2">
      <c r="C393" s="14" t="str">
        <f>+C388</f>
        <v>Current Federal Income Tax @ Rate</v>
      </c>
      <c r="E393" s="72">
        <f>SUM(G393:P393)</f>
        <v>20872728.699887995</v>
      </c>
      <c r="F393" s="72"/>
      <c r="G393" s="72">
        <f>+G388/$E388*$E381</f>
        <v>12044328.702492239</v>
      </c>
      <c r="H393" s="72">
        <f t="shared" si="93"/>
        <v>2506211.707987824</v>
      </c>
      <c r="I393" s="72">
        <f t="shared" si="93"/>
        <v>2594797.2473558979</v>
      </c>
      <c r="J393" s="72">
        <f t="shared" si="93"/>
        <v>1471483.2553321205</v>
      </c>
      <c r="K393" s="72">
        <f t="shared" si="93"/>
        <v>1255822.6305035094</v>
      </c>
      <c r="L393" s="72">
        <f t="shared" si="93"/>
        <v>146763.88830026242</v>
      </c>
      <c r="M393" s="72">
        <f t="shared" si="93"/>
        <v>367566.17315896228</v>
      </c>
      <c r="N393" s="72">
        <f t="shared" si="93"/>
        <v>257160.40799626679</v>
      </c>
      <c r="O393" s="72">
        <f t="shared" si="93"/>
        <v>221687.85577785532</v>
      </c>
      <c r="P393" s="72">
        <f t="shared" si="93"/>
        <v>6906.8309830570806</v>
      </c>
    </row>
    <row r="394" spans="3:16" ht="13.5" thickBot="1" x14ac:dyDescent="0.25">
      <c r="C394" s="21" t="s">
        <v>60</v>
      </c>
      <c r="D394" s="79"/>
      <c r="E394" s="79">
        <f>SUM(E390:E393)</f>
        <v>25981339.865207996</v>
      </c>
      <c r="F394" s="79">
        <f t="shared" ref="F394:P394" si="94">SUM(F390:F393)</f>
        <v>0</v>
      </c>
      <c r="G394" s="79">
        <f t="shared" si="94"/>
        <v>15234113.602421653</v>
      </c>
      <c r="H394" s="79">
        <f t="shared" si="94"/>
        <v>3096956.1253741924</v>
      </c>
      <c r="I394" s="79">
        <f t="shared" si="94"/>
        <v>3143135.663758094</v>
      </c>
      <c r="J394" s="79">
        <f t="shared" si="94"/>
        <v>1807095.035166244</v>
      </c>
      <c r="K394" s="79">
        <f t="shared" si="94"/>
        <v>1536912.4627473352</v>
      </c>
      <c r="L394" s="79">
        <f t="shared" si="94"/>
        <v>159479.03766766313</v>
      </c>
      <c r="M394" s="79">
        <f t="shared" si="94"/>
        <v>454632.92594539456</v>
      </c>
      <c r="N394" s="79">
        <f t="shared" si="94"/>
        <v>281256.70101895934</v>
      </c>
      <c r="O394" s="79">
        <f t="shared" si="94"/>
        <v>259479.64145861429</v>
      </c>
      <c r="P394" s="79">
        <f t="shared" si="94"/>
        <v>8278.6696498461752</v>
      </c>
    </row>
    <row r="395" spans="3:16" ht="13.5" thickTop="1" x14ac:dyDescent="0.2"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</row>
  </sheetData>
  <mergeCells count="16">
    <mergeCell ref="A47:P47"/>
    <mergeCell ref="A1:P1"/>
    <mergeCell ref="A2:P2"/>
    <mergeCell ref="A3:P3"/>
    <mergeCell ref="C31:H31"/>
    <mergeCell ref="A46:P46"/>
    <mergeCell ref="A264:P264"/>
    <mergeCell ref="A265:P265"/>
    <mergeCell ref="A266:P266"/>
    <mergeCell ref="A267:P267"/>
    <mergeCell ref="A48:P48"/>
    <mergeCell ref="A49:P49"/>
    <mergeCell ref="A156:P156"/>
    <mergeCell ref="A157:P157"/>
    <mergeCell ref="A158:P158"/>
    <mergeCell ref="A159:P159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/>
  <rowBreaks count="3" manualBreakCount="3">
    <brk id="45" max="16383" man="1"/>
    <brk id="155" max="16383" man="1"/>
    <brk id="26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8"/>
  <dimension ref="A1:C34"/>
  <sheetViews>
    <sheetView showGridLines="0" zoomScaleNormal="100" workbookViewId="0">
      <selection activeCell="A3" sqref="A3:C3"/>
    </sheetView>
  </sheetViews>
  <sheetFormatPr defaultColWidth="8.85546875" defaultRowHeight="12.75" x14ac:dyDescent="0.2"/>
  <cols>
    <col min="1" max="1" width="4.7109375" style="14" bestFit="1" customWidth="1"/>
    <col min="2" max="2" width="43.28515625" style="14" bestFit="1" customWidth="1"/>
    <col min="3" max="3" width="16.140625" style="14" bestFit="1" customWidth="1"/>
    <col min="4" max="16384" width="8.85546875" style="14"/>
  </cols>
  <sheetData>
    <row r="1" spans="1:3" x14ac:dyDescent="0.2">
      <c r="A1" s="103" t="str">
        <f>+'SC Feeder '!A1</f>
        <v>Puget Sound Energy</v>
      </c>
      <c r="B1" s="103"/>
      <c r="C1" s="103"/>
    </row>
    <row r="2" spans="1:3" s="87" customFormat="1" ht="40.9" customHeight="1" x14ac:dyDescent="0.2">
      <c r="A2" s="109" t="str">
        <f>+'SC Feeder '!A2</f>
        <v>Adjusted Test Year Twelve Months ended December 2018 @ Revenue Requirement Before Attrition and Riders</v>
      </c>
      <c r="B2" s="109"/>
      <c r="C2" s="109"/>
    </row>
    <row r="3" spans="1:3" x14ac:dyDescent="0.2">
      <c r="A3" s="103" t="s">
        <v>614</v>
      </c>
      <c r="B3" s="103"/>
      <c r="C3" s="103"/>
    </row>
    <row r="4" spans="1:3" x14ac:dyDescent="0.2">
      <c r="B4" s="88"/>
      <c r="C4" s="88"/>
    </row>
    <row r="5" spans="1:3" x14ac:dyDescent="0.2">
      <c r="B5" s="46"/>
      <c r="C5" s="46"/>
    </row>
    <row r="6" spans="1:3" s="13" customFormat="1" ht="38.25" x14ac:dyDescent="0.2">
      <c r="A6" s="47" t="s">
        <v>2</v>
      </c>
      <c r="B6" s="48" t="s">
        <v>77</v>
      </c>
      <c r="C6" s="19" t="s">
        <v>153</v>
      </c>
    </row>
    <row r="7" spans="1:3" s="13" customFormat="1" x14ac:dyDescent="0.2">
      <c r="B7" s="13" t="s">
        <v>15</v>
      </c>
      <c r="C7" s="39" t="s">
        <v>16</v>
      </c>
    </row>
    <row r="8" spans="1:3" s="89" customFormat="1" x14ac:dyDescent="0.2">
      <c r="A8" s="74">
        <v>1</v>
      </c>
      <c r="B8" s="89" t="s">
        <v>154</v>
      </c>
      <c r="C8" s="90">
        <f>+'Expense Summary'!E82</f>
        <v>111069454.02204834</v>
      </c>
    </row>
    <row r="9" spans="1:3" s="89" customFormat="1" x14ac:dyDescent="0.2">
      <c r="A9" s="74">
        <f t="shared" ref="A9:A33" si="0">+A8+1</f>
        <v>2</v>
      </c>
      <c r="B9" s="89" t="s">
        <v>155</v>
      </c>
      <c r="C9" s="90">
        <f>+'Expense Summary'!E98</f>
        <v>16720545.192083759</v>
      </c>
    </row>
    <row r="10" spans="1:3" s="89" customFormat="1" x14ac:dyDescent="0.2">
      <c r="A10" s="49">
        <f t="shared" si="0"/>
        <v>3</v>
      </c>
      <c r="B10" s="50" t="s">
        <v>156</v>
      </c>
      <c r="C10" s="51">
        <f>SUM(C8:C9)</f>
        <v>127789999.2141321</v>
      </c>
    </row>
    <row r="11" spans="1:3" x14ac:dyDescent="0.2">
      <c r="A11" s="74">
        <f t="shared" si="0"/>
        <v>4</v>
      </c>
      <c r="C11" s="90"/>
    </row>
    <row r="12" spans="1:3" x14ac:dyDescent="0.2">
      <c r="A12" s="74">
        <f t="shared" si="0"/>
        <v>5</v>
      </c>
      <c r="B12" s="89" t="s">
        <v>157</v>
      </c>
      <c r="C12" s="90">
        <f>+'Ratebase Summary'!E67</f>
        <v>10754417110.815203</v>
      </c>
    </row>
    <row r="13" spans="1:3" ht="12.6" customHeight="1" x14ac:dyDescent="0.2">
      <c r="A13" s="74">
        <f t="shared" si="0"/>
        <v>6</v>
      </c>
      <c r="B13" s="89" t="s">
        <v>158</v>
      </c>
      <c r="C13" s="90">
        <f>+'Ratebase Summary'!E14</f>
        <v>432490524.03740108</v>
      </c>
    </row>
    <row r="14" spans="1:3" ht="12.6" customHeight="1" x14ac:dyDescent="0.2">
      <c r="A14" s="74">
        <f t="shared" si="0"/>
        <v>7</v>
      </c>
      <c r="B14" s="89" t="s">
        <v>159</v>
      </c>
      <c r="C14" s="90">
        <f>+'Ratebase Summary'!E118</f>
        <v>-4292153131.7526517</v>
      </c>
    </row>
    <row r="15" spans="1:3" x14ac:dyDescent="0.2">
      <c r="A15" s="49">
        <f>+A14+1</f>
        <v>8</v>
      </c>
      <c r="B15" s="52" t="s">
        <v>160</v>
      </c>
      <c r="C15" s="51">
        <f>SUM(C12:C14)</f>
        <v>6894754503.0999527</v>
      </c>
    </row>
    <row r="16" spans="1:3" x14ac:dyDescent="0.2">
      <c r="A16" s="74">
        <f t="shared" si="0"/>
        <v>9</v>
      </c>
      <c r="C16" s="72"/>
    </row>
    <row r="17" spans="1:3" x14ac:dyDescent="0.2">
      <c r="A17" s="31">
        <f t="shared" si="0"/>
        <v>10</v>
      </c>
      <c r="B17" s="27" t="s">
        <v>161</v>
      </c>
      <c r="C17" s="53">
        <f>+C10/C15</f>
        <v>1.8534379890781667E-2</v>
      </c>
    </row>
    <row r="18" spans="1:3" x14ac:dyDescent="0.2">
      <c r="A18" s="74">
        <f t="shared" si="0"/>
        <v>11</v>
      </c>
      <c r="C18" s="72"/>
    </row>
    <row r="19" spans="1:3" x14ac:dyDescent="0.2">
      <c r="A19" s="74">
        <f t="shared" si="0"/>
        <v>12</v>
      </c>
      <c r="B19" s="14" t="s">
        <v>162</v>
      </c>
      <c r="C19" s="72">
        <f>+'Expense Summary'!E50</f>
        <v>32659118.59287579</v>
      </c>
    </row>
    <row r="20" spans="1:3" x14ac:dyDescent="0.2">
      <c r="A20" s="74">
        <f t="shared" si="0"/>
        <v>13</v>
      </c>
      <c r="B20" s="14" t="s">
        <v>163</v>
      </c>
      <c r="C20" s="72">
        <f>+'Expense Summary'!E95</f>
        <v>52909688.306705572</v>
      </c>
    </row>
    <row r="21" spans="1:3" x14ac:dyDescent="0.2">
      <c r="A21" s="49">
        <f t="shared" si="0"/>
        <v>14</v>
      </c>
      <c r="B21" s="50" t="s">
        <v>164</v>
      </c>
      <c r="C21" s="51">
        <f>SUM(C19:C20)</f>
        <v>85568806.899581358</v>
      </c>
    </row>
    <row r="22" spans="1:3" x14ac:dyDescent="0.2">
      <c r="A22" s="74">
        <f t="shared" si="0"/>
        <v>15</v>
      </c>
      <c r="C22" s="72"/>
    </row>
    <row r="23" spans="1:3" x14ac:dyDescent="0.2">
      <c r="A23" s="74">
        <f t="shared" si="0"/>
        <v>16</v>
      </c>
      <c r="B23" s="14" t="s">
        <v>165</v>
      </c>
      <c r="C23" s="72">
        <f>+'Ratebase Summary'!E51</f>
        <v>4089276603.8939037</v>
      </c>
    </row>
    <row r="24" spans="1:3" x14ac:dyDescent="0.2">
      <c r="A24" s="74">
        <f t="shared" si="0"/>
        <v>17</v>
      </c>
      <c r="B24" s="73" t="s">
        <v>166</v>
      </c>
      <c r="C24" s="72">
        <f>SUM('Ratebase Summary'!E111)</f>
        <v>-1498751943.7972682</v>
      </c>
    </row>
    <row r="25" spans="1:3" x14ac:dyDescent="0.2">
      <c r="A25" s="49">
        <f>+A24+1</f>
        <v>18</v>
      </c>
      <c r="B25" s="52" t="s">
        <v>167</v>
      </c>
      <c r="C25" s="51">
        <f>SUM(C23:C24)</f>
        <v>2590524660.0966358</v>
      </c>
    </row>
    <row r="26" spans="1:3" x14ac:dyDescent="0.2">
      <c r="A26" s="74">
        <f t="shared" si="0"/>
        <v>19</v>
      </c>
      <c r="C26" s="54"/>
    </row>
    <row r="27" spans="1:3" x14ac:dyDescent="0.2">
      <c r="A27" s="31">
        <f t="shared" si="0"/>
        <v>20</v>
      </c>
      <c r="B27" s="27" t="s">
        <v>168</v>
      </c>
      <c r="C27" s="53">
        <f>+C21/C25</f>
        <v>3.3031458151179818E-2</v>
      </c>
    </row>
    <row r="28" spans="1:3" x14ac:dyDescent="0.2">
      <c r="A28" s="74">
        <f t="shared" si="0"/>
        <v>21</v>
      </c>
      <c r="C28" s="72"/>
    </row>
    <row r="29" spans="1:3" x14ac:dyDescent="0.2">
      <c r="A29" s="31">
        <f t="shared" si="0"/>
        <v>22</v>
      </c>
      <c r="B29" s="26" t="s">
        <v>169</v>
      </c>
      <c r="C29" s="53">
        <f>+C27+C17</f>
        <v>5.1565838041961486E-2</v>
      </c>
    </row>
    <row r="30" spans="1:3" x14ac:dyDescent="0.2">
      <c r="A30" s="74">
        <f t="shared" si="0"/>
        <v>23</v>
      </c>
      <c r="C30" s="72"/>
    </row>
    <row r="31" spans="1:3" x14ac:dyDescent="0.2">
      <c r="A31" s="74">
        <f t="shared" si="0"/>
        <v>24</v>
      </c>
      <c r="B31" s="14" t="s">
        <v>170</v>
      </c>
      <c r="C31" s="11">
        <v>0.75138099999999997</v>
      </c>
    </row>
    <row r="32" spans="1:3" x14ac:dyDescent="0.2">
      <c r="A32" s="74">
        <f t="shared" si="0"/>
        <v>25</v>
      </c>
      <c r="C32" s="54"/>
    </row>
    <row r="33" spans="1:3" ht="13.5" thickBot="1" x14ac:dyDescent="0.25">
      <c r="A33" s="32">
        <f t="shared" si="0"/>
        <v>26</v>
      </c>
      <c r="B33" s="21" t="s">
        <v>171</v>
      </c>
      <c r="C33" s="55">
        <f>ROUND(+C29/C31,4)</f>
        <v>6.8599999999999994E-2</v>
      </c>
    </row>
    <row r="34" spans="1:3" ht="13.5" thickTop="1" x14ac:dyDescent="0.2">
      <c r="C34" s="72"/>
    </row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1"/>
  <dimension ref="A1:C26"/>
  <sheetViews>
    <sheetView showGridLines="0" zoomScaleNormal="100" workbookViewId="0">
      <selection activeCell="A2" sqref="A2:C2"/>
    </sheetView>
  </sheetViews>
  <sheetFormatPr defaultColWidth="8.85546875" defaultRowHeight="12.75" x14ac:dyDescent="0.2"/>
  <cols>
    <col min="1" max="1" width="4.7109375" style="14" bestFit="1" customWidth="1"/>
    <col min="2" max="2" width="28.28515625" style="14" bestFit="1" customWidth="1"/>
    <col min="3" max="3" width="14.28515625" style="14" bestFit="1" customWidth="1"/>
    <col min="4" max="16384" width="8.85546875" style="14"/>
  </cols>
  <sheetData>
    <row r="1" spans="1:3" ht="13.15" customHeight="1" x14ac:dyDescent="0.2">
      <c r="A1" s="109" t="str">
        <f>+'SC Substation O&amp;M'!A1</f>
        <v>Puget Sound Energy</v>
      </c>
      <c r="B1" s="109"/>
      <c r="C1" s="109"/>
    </row>
    <row r="2" spans="1:3" ht="44.45" customHeight="1" x14ac:dyDescent="0.2">
      <c r="A2" s="109" t="str">
        <f>+'SC Substation O&amp;M'!A2</f>
        <v>Adjusted Test Year Twelve Months ended December 2018 @ Revenue Requirement Before Attrition and Riders</v>
      </c>
      <c r="B2" s="109"/>
      <c r="C2" s="109"/>
    </row>
    <row r="3" spans="1:3" ht="29.45" customHeight="1" x14ac:dyDescent="0.2">
      <c r="A3" s="110" t="s">
        <v>613</v>
      </c>
      <c r="B3" s="109"/>
      <c r="C3" s="109"/>
    </row>
    <row r="6" spans="1:3" s="13" customFormat="1" ht="38.25" x14ac:dyDescent="0.2">
      <c r="A6" s="19" t="s">
        <v>2</v>
      </c>
      <c r="B6" s="26" t="s">
        <v>77</v>
      </c>
      <c r="C6" s="19" t="s">
        <v>172</v>
      </c>
    </row>
    <row r="7" spans="1:3" s="13" customFormat="1" x14ac:dyDescent="0.2">
      <c r="A7" s="39"/>
      <c r="B7" s="39" t="s">
        <v>15</v>
      </c>
      <c r="C7" s="39" t="s">
        <v>16</v>
      </c>
    </row>
    <row r="8" spans="1:3" s="13" customFormat="1" x14ac:dyDescent="0.2">
      <c r="A8" s="39"/>
    </row>
    <row r="9" spans="1:3" x14ac:dyDescent="0.2">
      <c r="A9" s="74">
        <v>1</v>
      </c>
      <c r="B9" s="13" t="s">
        <v>173</v>
      </c>
    </row>
    <row r="10" spans="1:3" x14ac:dyDescent="0.2">
      <c r="A10" s="74">
        <f t="shared" ref="A10:A25" si="0">+A9+1</f>
        <v>2</v>
      </c>
      <c r="B10" s="85" t="s">
        <v>174</v>
      </c>
      <c r="C10" s="72">
        <f>SUM('Expense Summary'!E14,'Expense Summary'!E19,'Expense Summary'!E23,'Expense Summary'!E30)</f>
        <v>848862278.23967004</v>
      </c>
    </row>
    <row r="11" spans="1:3" x14ac:dyDescent="0.2">
      <c r="A11" s="74">
        <f t="shared" si="0"/>
        <v>3</v>
      </c>
      <c r="B11" s="85" t="s">
        <v>175</v>
      </c>
      <c r="C11" s="72">
        <f>SUM('Expense Summary'!E37,'Expense Summary'!E22)</f>
        <v>137142576.83900285</v>
      </c>
    </row>
    <row r="12" spans="1:3" x14ac:dyDescent="0.2">
      <c r="A12" s="74">
        <f t="shared" si="0"/>
        <v>4</v>
      </c>
      <c r="B12" s="85" t="s">
        <v>176</v>
      </c>
      <c r="C12" s="72">
        <f>SUM('Expense Summary'!E50,'Expense Summary'!E95)</f>
        <v>85568806.899581358</v>
      </c>
    </row>
    <row r="13" spans="1:3" x14ac:dyDescent="0.2">
      <c r="A13" s="74">
        <f t="shared" si="0"/>
        <v>5</v>
      </c>
      <c r="B13" s="85" t="s">
        <v>177</v>
      </c>
      <c r="C13" s="72">
        <f>+'Expense Summary'!E58</f>
        <v>52087545.219702169</v>
      </c>
    </row>
    <row r="14" spans="1:3" x14ac:dyDescent="0.2">
      <c r="A14" s="74">
        <f t="shared" si="0"/>
        <v>6</v>
      </c>
      <c r="B14" s="85" t="s">
        <v>178</v>
      </c>
      <c r="C14" s="72">
        <f>+'Expense Summary'!E69</f>
        <v>4083540.0869522369</v>
      </c>
    </row>
    <row r="15" spans="1:3" x14ac:dyDescent="0.2">
      <c r="A15" s="74">
        <f t="shared" si="0"/>
        <v>7</v>
      </c>
      <c r="B15" s="85" t="s">
        <v>179</v>
      </c>
      <c r="C15" s="72"/>
    </row>
    <row r="16" spans="1:3" x14ac:dyDescent="0.2">
      <c r="A16" s="74">
        <f t="shared" si="0"/>
        <v>8</v>
      </c>
      <c r="B16" s="86" t="s">
        <v>180</v>
      </c>
      <c r="C16" s="72">
        <f>-'Expense Summary'!E14</f>
        <v>-180672605.83404735</v>
      </c>
    </row>
    <row r="17" spans="1:3" x14ac:dyDescent="0.2">
      <c r="A17" s="74">
        <f t="shared" si="0"/>
        <v>9</v>
      </c>
      <c r="B17" s="86" t="s">
        <v>181</v>
      </c>
      <c r="C17" s="72">
        <f>-'Expense Summary'!E19</f>
        <v>-446679558.91286945</v>
      </c>
    </row>
    <row r="18" spans="1:3" x14ac:dyDescent="0.2">
      <c r="A18" s="74">
        <f t="shared" si="0"/>
        <v>10</v>
      </c>
      <c r="B18" s="86" t="s">
        <v>182</v>
      </c>
      <c r="C18" s="72">
        <f>-'Expense Summary'!E30</f>
        <v>-109175792.16812748</v>
      </c>
    </row>
    <row r="19" spans="1:3" x14ac:dyDescent="0.2">
      <c r="A19" s="74">
        <f t="shared" si="0"/>
        <v>11</v>
      </c>
      <c r="B19" s="86" t="s">
        <v>183</v>
      </c>
      <c r="C19" s="72">
        <f>-'Expense Summary'!E23</f>
        <v>-112334321.32462588</v>
      </c>
    </row>
    <row r="20" spans="1:3" x14ac:dyDescent="0.2">
      <c r="A20" s="74">
        <f t="shared" si="0"/>
        <v>12</v>
      </c>
      <c r="B20" s="86" t="s">
        <v>184</v>
      </c>
      <c r="C20" s="72">
        <f>-'Expense Summary'!E62</f>
        <v>0</v>
      </c>
    </row>
    <row r="21" spans="1:3" x14ac:dyDescent="0.2">
      <c r="A21" s="31">
        <f t="shared" si="0"/>
        <v>13</v>
      </c>
      <c r="B21" s="26" t="s">
        <v>185</v>
      </c>
      <c r="C21" s="28">
        <f>SUM(C10:C14,C16:C20)</f>
        <v>278882469.04523838</v>
      </c>
    </row>
    <row r="22" spans="1:3" x14ac:dyDescent="0.2">
      <c r="A22" s="74">
        <f t="shared" si="0"/>
        <v>14</v>
      </c>
      <c r="C22" s="72"/>
    </row>
    <row r="23" spans="1:3" x14ac:dyDescent="0.2">
      <c r="A23" s="43">
        <f t="shared" si="0"/>
        <v>15</v>
      </c>
      <c r="B23" s="10" t="s">
        <v>156</v>
      </c>
      <c r="C23" s="44">
        <f>SUM('Expense Summary'!E82,'Expense Summary'!E98)</f>
        <v>127789999.2141321</v>
      </c>
    </row>
    <row r="24" spans="1:3" x14ac:dyDescent="0.2">
      <c r="A24" s="74">
        <f t="shared" si="0"/>
        <v>16</v>
      </c>
      <c r="C24" s="72"/>
    </row>
    <row r="25" spans="1:3" ht="13.5" thickBot="1" x14ac:dyDescent="0.25">
      <c r="A25" s="32">
        <f t="shared" si="0"/>
        <v>17</v>
      </c>
      <c r="B25" s="21" t="s">
        <v>186</v>
      </c>
      <c r="C25" s="45">
        <f>ROUND(+C23/C21,2)</f>
        <v>0.46</v>
      </c>
    </row>
    <row r="26" spans="1:3" ht="13.5" thickTop="1" x14ac:dyDescent="0.2"/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Q47"/>
  <sheetViews>
    <sheetView showGridLines="0" zoomScale="90" zoomScaleNormal="90" workbookViewId="0">
      <selection activeCell="F92" sqref="F92"/>
    </sheetView>
  </sheetViews>
  <sheetFormatPr defaultColWidth="8.85546875" defaultRowHeight="12.75" x14ac:dyDescent="0.2"/>
  <cols>
    <col min="1" max="1" width="5.28515625" style="14" customWidth="1"/>
    <col min="2" max="2" width="37.28515625" style="14" bestFit="1" customWidth="1"/>
    <col min="3" max="3" width="15.28515625" style="14" customWidth="1"/>
    <col min="4" max="4" width="3.28515625" style="14" customWidth="1"/>
    <col min="5" max="7" width="15.28515625" style="14" customWidth="1"/>
    <col min="8" max="8" width="15.5703125" style="14" customWidth="1"/>
    <col min="9" max="9" width="14.28515625" style="14" customWidth="1"/>
    <col min="10" max="10" width="11.85546875" style="14" customWidth="1"/>
    <col min="11" max="11" width="14.42578125" style="14" customWidth="1"/>
    <col min="12" max="12" width="12.5703125" style="14" customWidth="1"/>
    <col min="13" max="15" width="15.28515625" style="14" customWidth="1"/>
    <col min="16" max="16" width="12.42578125" style="14" customWidth="1"/>
    <col min="17" max="16384" width="8.85546875" style="14"/>
  </cols>
  <sheetData>
    <row r="1" spans="1:17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7" x14ac:dyDescent="0.2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7" x14ac:dyDescent="0.2">
      <c r="A3" s="103" t="str">
        <f>+'Class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7" x14ac:dyDescent="0.2">
      <c r="A4" s="103" t="s">
        <v>187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6" spans="1:17" ht="38.25" x14ac:dyDescent="0.2">
      <c r="A6" s="37" t="s">
        <v>2</v>
      </c>
      <c r="B6" s="37" t="s">
        <v>3</v>
      </c>
      <c r="C6" s="37" t="s">
        <v>4</v>
      </c>
      <c r="D6" s="37"/>
      <c r="E6" s="37" t="s">
        <v>213</v>
      </c>
      <c r="F6" s="37" t="s">
        <v>214</v>
      </c>
      <c r="G6" s="37" t="s">
        <v>215</v>
      </c>
      <c r="H6" s="37" t="s">
        <v>216</v>
      </c>
      <c r="I6" s="37" t="s">
        <v>217</v>
      </c>
      <c r="J6" s="37" t="s">
        <v>218</v>
      </c>
      <c r="K6" s="37" t="s">
        <v>219</v>
      </c>
      <c r="L6" s="37" t="s">
        <v>10</v>
      </c>
      <c r="M6" s="37" t="s">
        <v>220</v>
      </c>
      <c r="N6" s="37" t="s">
        <v>221</v>
      </c>
      <c r="O6" s="37" t="s">
        <v>222</v>
      </c>
      <c r="P6" s="37" t="s">
        <v>14</v>
      </c>
    </row>
    <row r="7" spans="1:17" x14ac:dyDescent="0.2">
      <c r="A7" s="38"/>
      <c r="B7" s="20" t="s">
        <v>15</v>
      </c>
      <c r="C7" s="20" t="s">
        <v>16</v>
      </c>
      <c r="D7" s="20"/>
      <c r="E7" s="20" t="s">
        <v>17</v>
      </c>
      <c r="F7" s="20" t="s">
        <v>18</v>
      </c>
      <c r="G7" s="20" t="s">
        <v>19</v>
      </c>
      <c r="H7" s="20" t="s">
        <v>20</v>
      </c>
      <c r="I7" s="20" t="s">
        <v>21</v>
      </c>
      <c r="J7" s="20" t="s">
        <v>64</v>
      </c>
      <c r="K7" s="20" t="s">
        <v>65</v>
      </c>
      <c r="L7" s="20" t="s">
        <v>22</v>
      </c>
      <c r="M7" s="20" t="s">
        <v>23</v>
      </c>
      <c r="N7" s="20" t="s">
        <v>24</v>
      </c>
      <c r="O7" s="20" t="s">
        <v>25</v>
      </c>
      <c r="P7" s="20" t="s">
        <v>26</v>
      </c>
    </row>
    <row r="8" spans="1:17" x14ac:dyDescent="0.2">
      <c r="C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</row>
    <row r="9" spans="1:17" x14ac:dyDescent="0.2">
      <c r="A9" s="39">
        <v>1</v>
      </c>
      <c r="B9" s="13" t="s">
        <v>188</v>
      </c>
      <c r="C9" s="81">
        <f>SUM(E9:P9)</f>
        <v>22028705616.757526</v>
      </c>
      <c r="D9" s="40"/>
      <c r="E9" s="81">
        <v>11476152247.161776</v>
      </c>
      <c r="F9" s="81">
        <v>2915955626.4103169</v>
      </c>
      <c r="G9" s="81">
        <v>3242765959.9604325</v>
      </c>
      <c r="H9" s="81">
        <v>2092770306.5275679</v>
      </c>
      <c r="I9" s="81">
        <v>1456029850.0547175</v>
      </c>
      <c r="J9" s="81">
        <v>4597572.0317007378</v>
      </c>
      <c r="K9" s="81">
        <v>126890757.18193617</v>
      </c>
      <c r="L9" s="81">
        <v>0</v>
      </c>
      <c r="M9" s="81">
        <v>630228919.26662493</v>
      </c>
      <c r="N9" s="81">
        <v>0</v>
      </c>
      <c r="O9" s="81">
        <v>75887375.026475519</v>
      </c>
      <c r="P9" s="81">
        <v>7427003.1359829875</v>
      </c>
      <c r="Q9" s="12"/>
    </row>
    <row r="10" spans="1:17" x14ac:dyDescent="0.2">
      <c r="A10" s="39">
        <f>+A9+1</f>
        <v>2</v>
      </c>
      <c r="B10" s="13" t="s">
        <v>189</v>
      </c>
      <c r="C10" s="81">
        <f>SUM(E10:P10)</f>
        <v>3877885.5466519948</v>
      </c>
      <c r="D10" s="40"/>
      <c r="E10" s="81">
        <v>2236474.2253660602</v>
      </c>
      <c r="F10" s="81">
        <v>515625.82524854271</v>
      </c>
      <c r="G10" s="81">
        <v>551893.91878041346</v>
      </c>
      <c r="H10" s="81">
        <v>289974.91765494185</v>
      </c>
      <c r="I10" s="81">
        <v>204844.84270926949</v>
      </c>
      <c r="J10" s="81">
        <v>7.0004300675974864</v>
      </c>
      <c r="K10" s="81">
        <v>0</v>
      </c>
      <c r="L10" s="81">
        <v>0</v>
      </c>
      <c r="M10" s="81">
        <v>69577.130407689765</v>
      </c>
      <c r="N10" s="81">
        <v>0</v>
      </c>
      <c r="O10" s="81">
        <v>8059.2720272472116</v>
      </c>
      <c r="P10" s="81">
        <v>1428.4140277629981</v>
      </c>
    </row>
    <row r="11" spans="1:17" x14ac:dyDescent="0.2">
      <c r="A11" s="39">
        <f t="shared" ref="A11:A30" si="0">+A10+1</f>
        <v>3</v>
      </c>
      <c r="B11" s="41" t="s">
        <v>190</v>
      </c>
      <c r="C11" s="82">
        <f>SUM(E11:P11)</f>
        <v>1</v>
      </c>
      <c r="D11" s="15"/>
      <c r="E11" s="82">
        <f t="shared" ref="E11:P11" si="1">(E9/$C$9*$C$12+E10/$C$10*$C$13)</f>
        <v>0.52709731139948457</v>
      </c>
      <c r="F11" s="82">
        <f t="shared" si="1"/>
        <v>0.1324361696054952</v>
      </c>
      <c r="G11" s="82">
        <f t="shared" si="1"/>
        <v>0.14666868464792659</v>
      </c>
      <c r="H11" s="82">
        <f t="shared" si="1"/>
        <v>9.2777169236386001E-2</v>
      </c>
      <c r="I11" s="82">
        <f t="shared" si="1"/>
        <v>6.4636892642454535E-2</v>
      </c>
      <c r="J11" s="82">
        <f t="shared" si="1"/>
        <v>1.8594889359473013E-4</v>
      </c>
      <c r="K11" s="82">
        <f t="shared" si="1"/>
        <v>5.1266186882089771E-3</v>
      </c>
      <c r="L11" s="82">
        <f t="shared" si="1"/>
        <v>0</v>
      </c>
      <c r="M11" s="82">
        <f t="shared" si="1"/>
        <v>2.7436024162419342E-2</v>
      </c>
      <c r="N11" s="82">
        <f t="shared" si="1"/>
        <v>0</v>
      </c>
      <c r="O11" s="82">
        <f t="shared" si="1"/>
        <v>3.2945978575228446E-3</v>
      </c>
      <c r="P11" s="82">
        <f t="shared" si="1"/>
        <v>3.4058286650739451E-4</v>
      </c>
    </row>
    <row r="12" spans="1:17" x14ac:dyDescent="0.2">
      <c r="A12" s="39">
        <f t="shared" si="0"/>
        <v>4</v>
      </c>
      <c r="B12" s="42" t="s">
        <v>604</v>
      </c>
      <c r="C12" s="83">
        <v>0.89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</row>
    <row r="13" spans="1:17" x14ac:dyDescent="0.2">
      <c r="A13" s="39">
        <f t="shared" si="0"/>
        <v>5</v>
      </c>
      <c r="B13" s="42" t="s">
        <v>484</v>
      </c>
      <c r="C13" s="83">
        <v>0.11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</row>
    <row r="14" spans="1:17" x14ac:dyDescent="0.2">
      <c r="A14" s="39">
        <f t="shared" si="0"/>
        <v>6</v>
      </c>
      <c r="C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</row>
    <row r="15" spans="1:17" x14ac:dyDescent="0.2">
      <c r="A15" s="39">
        <f t="shared" si="0"/>
        <v>7</v>
      </c>
      <c r="B15" s="41" t="s">
        <v>191</v>
      </c>
      <c r="C15" s="84">
        <f>SUM(E15:P15)</f>
        <v>2183805682.7408457</v>
      </c>
      <c r="E15" s="84">
        <v>1248408581.5438199</v>
      </c>
      <c r="F15" s="84">
        <v>275434197.15899944</v>
      </c>
      <c r="G15" s="84">
        <v>276965967.35293627</v>
      </c>
      <c r="H15" s="84">
        <v>164582928.85837889</v>
      </c>
      <c r="I15" s="84">
        <v>120723938.71455948</v>
      </c>
      <c r="J15" s="84">
        <v>528913.06313382031</v>
      </c>
      <c r="K15" s="84">
        <v>13162686.087205939</v>
      </c>
      <c r="L15" s="84">
        <v>6970878.964125284</v>
      </c>
      <c r="M15" s="84">
        <v>44366783.363342077</v>
      </c>
      <c r="N15" s="84">
        <v>13144874.817254214</v>
      </c>
      <c r="O15" s="84">
        <v>18809449.242601223</v>
      </c>
      <c r="P15" s="84">
        <v>706483.57448899955</v>
      </c>
    </row>
    <row r="16" spans="1:17" ht="10.15" customHeight="1" x14ac:dyDescent="0.2">
      <c r="A16" s="39">
        <f t="shared" si="0"/>
        <v>8</v>
      </c>
      <c r="B16" s="13"/>
    </row>
    <row r="17" spans="1:16" ht="10.9" customHeight="1" x14ac:dyDescent="0.2">
      <c r="A17" s="39">
        <f t="shared" si="0"/>
        <v>9</v>
      </c>
      <c r="B17" s="13" t="s">
        <v>44</v>
      </c>
      <c r="C17" s="84">
        <f>SUM(E17:P17)</f>
        <v>82300667.00581263</v>
      </c>
      <c r="E17" s="84">
        <v>44774403.145353243</v>
      </c>
      <c r="F17" s="84">
        <v>11637354.159992099</v>
      </c>
      <c r="G17" s="84">
        <v>8972754.1885492373</v>
      </c>
      <c r="H17" s="84">
        <v>5323116.7144631036</v>
      </c>
      <c r="I17" s="84">
        <v>4242331.592676946</v>
      </c>
      <c r="J17" s="84">
        <v>17150.614727296965</v>
      </c>
      <c r="K17" s="84">
        <v>370120.97276047437</v>
      </c>
      <c r="L17" s="84">
        <v>1110812.9075238416</v>
      </c>
      <c r="M17" s="84">
        <v>4461904.9807481915</v>
      </c>
      <c r="N17" s="84">
        <v>1077072.9172933849</v>
      </c>
      <c r="O17" s="84">
        <v>286414.50666749151</v>
      </c>
      <c r="P17" s="84">
        <v>27230.30505731501</v>
      </c>
    </row>
    <row r="18" spans="1:16" x14ac:dyDescent="0.2">
      <c r="A18" s="39">
        <f t="shared" si="0"/>
        <v>10</v>
      </c>
      <c r="C18" s="84"/>
    </row>
    <row r="19" spans="1:16" x14ac:dyDescent="0.2">
      <c r="A19" s="39">
        <f t="shared" si="0"/>
        <v>11</v>
      </c>
      <c r="B19" s="13" t="s">
        <v>192</v>
      </c>
      <c r="C19" s="84">
        <v>497557351.32673275</v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</row>
    <row r="20" spans="1:16" x14ac:dyDescent="0.2">
      <c r="A20" s="39">
        <f t="shared" si="0"/>
        <v>12</v>
      </c>
      <c r="B20" s="13" t="s">
        <v>193</v>
      </c>
      <c r="C20" s="84">
        <v>741768714.85178101</v>
      </c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</row>
    <row r="21" spans="1:16" x14ac:dyDescent="0.2">
      <c r="A21" s="39">
        <f t="shared" si="0"/>
        <v>13</v>
      </c>
      <c r="B21" s="13" t="s">
        <v>194</v>
      </c>
      <c r="C21" s="84">
        <f>SUM(C19:C20)</f>
        <v>1239326066.1785138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x14ac:dyDescent="0.2">
      <c r="A22" s="39">
        <f t="shared" si="0"/>
        <v>14</v>
      </c>
      <c r="B22" s="13"/>
      <c r="C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</row>
    <row r="23" spans="1:16" x14ac:dyDescent="0.2">
      <c r="A23" s="39">
        <f t="shared" si="0"/>
        <v>15</v>
      </c>
      <c r="B23" s="41" t="s">
        <v>195</v>
      </c>
      <c r="C23" s="84">
        <f>SUM(E23:P23)</f>
        <v>497557351.32673287</v>
      </c>
      <c r="E23" s="84">
        <f>+$C$19*E$11</f>
        <v>262261142.1513696</v>
      </c>
      <c r="F23" s="84">
        <f t="shared" ref="F23:P23" si="2">+$C$19*F$11</f>
        <v>65894589.768768139</v>
      </c>
      <c r="G23" s="84">
        <f t="shared" si="2"/>
        <v>72976082.255998194</v>
      </c>
      <c r="H23" s="84">
        <f t="shared" si="2"/>
        <v>46161962.588848248</v>
      </c>
      <c r="I23" s="84">
        <f t="shared" si="2"/>
        <v>32160561.101170059</v>
      </c>
      <c r="J23" s="84">
        <f t="shared" si="2"/>
        <v>92520.238979130387</v>
      </c>
      <c r="K23" s="84">
        <f t="shared" si="2"/>
        <v>2550786.8157673879</v>
      </c>
      <c r="L23" s="84">
        <f t="shared" si="2"/>
        <v>0</v>
      </c>
      <c r="M23" s="84">
        <f t="shared" si="2"/>
        <v>13650995.513189608</v>
      </c>
      <c r="N23" s="84">
        <f t="shared" si="2"/>
        <v>0</v>
      </c>
      <c r="O23" s="84">
        <f t="shared" si="2"/>
        <v>1639251.383675795</v>
      </c>
      <c r="P23" s="84">
        <f t="shared" si="2"/>
        <v>169459.50896668542</v>
      </c>
    </row>
    <row r="24" spans="1:16" x14ac:dyDescent="0.2">
      <c r="A24" s="39">
        <f t="shared" si="0"/>
        <v>16</v>
      </c>
      <c r="B24" s="41" t="s">
        <v>196</v>
      </c>
      <c r="C24" s="84">
        <f>SUM(E24:P24)</f>
        <v>741768714.85178125</v>
      </c>
      <c r="E24" s="84">
        <f t="shared" ref="E24:P24" si="3">+$C$20*E$11</f>
        <v>390984295.27862471</v>
      </c>
      <c r="F24" s="84">
        <f t="shared" si="3"/>
        <v>98237007.328160673</v>
      </c>
      <c r="G24" s="84">
        <f t="shared" si="3"/>
        <v>108794241.72029366</v>
      </c>
      <c r="H24" s="84">
        <f t="shared" si="3"/>
        <v>68819201.592060238</v>
      </c>
      <c r="I24" s="84">
        <f t="shared" si="3"/>
        <v>47945624.787406042</v>
      </c>
      <c r="J24" s="84">
        <f t="shared" si="3"/>
        <v>137931.07182987354</v>
      </c>
      <c r="K24" s="84">
        <f t="shared" si="3"/>
        <v>3802765.3558878964</v>
      </c>
      <c r="L24" s="84">
        <f t="shared" si="3"/>
        <v>0</v>
      </c>
      <c r="M24" s="84">
        <f t="shared" si="3"/>
        <v>20351184.383600205</v>
      </c>
      <c r="N24" s="84">
        <f t="shared" si="3"/>
        <v>0</v>
      </c>
      <c r="O24" s="84">
        <f t="shared" si="3"/>
        <v>2443829.6187281515</v>
      </c>
      <c r="P24" s="84">
        <f t="shared" si="3"/>
        <v>252633.71518972571</v>
      </c>
    </row>
    <row r="25" spans="1:16" x14ac:dyDescent="0.2">
      <c r="A25" s="39">
        <f t="shared" si="0"/>
        <v>17</v>
      </c>
      <c r="B25" s="42" t="s">
        <v>197</v>
      </c>
      <c r="C25" s="84">
        <f>SUM(E25:P25)</f>
        <v>1239326066.1785138</v>
      </c>
      <c r="E25" s="84">
        <f>SUM(E23:E24)</f>
        <v>653245437.42999434</v>
      </c>
      <c r="F25" s="84">
        <f t="shared" ref="F25:P25" si="4">SUM(F23:F24)</f>
        <v>164131597.09692881</v>
      </c>
      <c r="G25" s="84">
        <f t="shared" si="4"/>
        <v>181770323.97629184</v>
      </c>
      <c r="H25" s="84">
        <f t="shared" si="4"/>
        <v>114981164.18090849</v>
      </c>
      <c r="I25" s="84">
        <f t="shared" si="4"/>
        <v>80106185.888576105</v>
      </c>
      <c r="J25" s="84">
        <f t="shared" si="4"/>
        <v>230451.31080900395</v>
      </c>
      <c r="K25" s="84">
        <f t="shared" si="4"/>
        <v>6353552.1716552842</v>
      </c>
      <c r="L25" s="84">
        <f t="shared" si="4"/>
        <v>0</v>
      </c>
      <c r="M25" s="84">
        <f t="shared" si="4"/>
        <v>34002179.896789812</v>
      </c>
      <c r="N25" s="84">
        <f t="shared" si="4"/>
        <v>0</v>
      </c>
      <c r="O25" s="84">
        <f t="shared" si="4"/>
        <v>4083081.0024039466</v>
      </c>
      <c r="P25" s="84">
        <f t="shared" si="4"/>
        <v>422093.22415641113</v>
      </c>
    </row>
    <row r="26" spans="1:16" x14ac:dyDescent="0.2">
      <c r="A26" s="39">
        <f t="shared" si="0"/>
        <v>18</v>
      </c>
      <c r="B26" s="13"/>
      <c r="C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7" spans="1:16" x14ac:dyDescent="0.2">
      <c r="A27" s="39">
        <f t="shared" si="0"/>
        <v>19</v>
      </c>
      <c r="B27" s="13" t="s">
        <v>198</v>
      </c>
    </row>
    <row r="28" spans="1:16" x14ac:dyDescent="0.2">
      <c r="A28" s="39">
        <f t="shared" si="0"/>
        <v>20</v>
      </c>
      <c r="B28" s="13" t="s">
        <v>199</v>
      </c>
      <c r="C28" s="15">
        <f>SUM(E28:P28)</f>
        <v>0.89</v>
      </c>
      <c r="D28" s="15"/>
      <c r="E28" s="15">
        <f>ROUND(+$C$12*E9/$C$9,6)-0.000001</f>
        <v>0.46365700000000004</v>
      </c>
      <c r="F28" s="15">
        <f t="shared" ref="F28:P28" si="5">ROUND(+$C$12*F9/$C$9,6)</f>
        <v>0.11781</v>
      </c>
      <c r="G28" s="15">
        <f t="shared" si="5"/>
        <v>0.13101399999999999</v>
      </c>
      <c r="H28" s="15">
        <f t="shared" si="5"/>
        <v>8.4552000000000002E-2</v>
      </c>
      <c r="I28" s="15">
        <f t="shared" si="5"/>
        <v>5.8826000000000003E-2</v>
      </c>
      <c r="J28" s="15">
        <f t="shared" si="5"/>
        <v>1.8599999999999999E-4</v>
      </c>
      <c r="K28" s="15">
        <f t="shared" si="5"/>
        <v>5.1269999999999996E-3</v>
      </c>
      <c r="L28" s="15">
        <f t="shared" si="5"/>
        <v>0</v>
      </c>
      <c r="M28" s="15">
        <f t="shared" si="5"/>
        <v>2.5461999999999999E-2</v>
      </c>
      <c r="N28" s="15">
        <f t="shared" si="5"/>
        <v>0</v>
      </c>
      <c r="O28" s="15">
        <f t="shared" si="5"/>
        <v>3.0660000000000001E-3</v>
      </c>
      <c r="P28" s="15">
        <f t="shared" si="5"/>
        <v>2.9999999999999997E-4</v>
      </c>
    </row>
    <row r="29" spans="1:16" x14ac:dyDescent="0.2">
      <c r="A29" s="39">
        <f t="shared" si="0"/>
        <v>21</v>
      </c>
      <c r="B29" s="13" t="s">
        <v>200</v>
      </c>
      <c r="C29" s="15">
        <f>SUM(E29:P29)</f>
        <v>0.10999999999999999</v>
      </c>
      <c r="D29" s="15"/>
      <c r="E29" s="15">
        <f>ROUND(+$C$13*E10/$C$10,6)-0.000001</f>
        <v>6.3438999999999995E-2</v>
      </c>
      <c r="F29" s="15">
        <f t="shared" ref="F29:P29" si="6">ROUND(+$C$13*F10/$C$10,6)</f>
        <v>1.4626E-2</v>
      </c>
      <c r="G29" s="15">
        <f t="shared" si="6"/>
        <v>1.5654999999999999E-2</v>
      </c>
      <c r="H29" s="15">
        <f t="shared" si="6"/>
        <v>8.2249999999999997E-3</v>
      </c>
      <c r="I29" s="15">
        <f t="shared" si="6"/>
        <v>5.8110000000000002E-3</v>
      </c>
      <c r="J29" s="15">
        <f t="shared" si="6"/>
        <v>0</v>
      </c>
      <c r="K29" s="15">
        <f t="shared" si="6"/>
        <v>0</v>
      </c>
      <c r="L29" s="15">
        <f t="shared" si="6"/>
        <v>0</v>
      </c>
      <c r="M29" s="15">
        <f t="shared" si="6"/>
        <v>1.9740000000000001E-3</v>
      </c>
      <c r="N29" s="15">
        <f t="shared" si="6"/>
        <v>0</v>
      </c>
      <c r="O29" s="15">
        <f t="shared" si="6"/>
        <v>2.2900000000000001E-4</v>
      </c>
      <c r="P29" s="15">
        <f t="shared" si="6"/>
        <v>4.1E-5</v>
      </c>
    </row>
    <row r="30" spans="1:16" x14ac:dyDescent="0.2">
      <c r="A30" s="39">
        <f t="shared" si="0"/>
        <v>22</v>
      </c>
      <c r="B30" s="13" t="s">
        <v>201</v>
      </c>
      <c r="C30" s="15">
        <f>SUM(E30:P30)</f>
        <v>1</v>
      </c>
      <c r="E30" s="16">
        <f>SUM(E28:E29)</f>
        <v>0.52709600000000001</v>
      </c>
      <c r="F30" s="16">
        <f t="shared" ref="F30:P30" si="7">SUM(F28:F29)</f>
        <v>0.132436</v>
      </c>
      <c r="G30" s="16">
        <f t="shared" si="7"/>
        <v>0.14666899999999999</v>
      </c>
      <c r="H30" s="16">
        <f t="shared" si="7"/>
        <v>9.2776999999999998E-2</v>
      </c>
      <c r="I30" s="16">
        <f t="shared" si="7"/>
        <v>6.4637E-2</v>
      </c>
      <c r="J30" s="16">
        <f t="shared" si="7"/>
        <v>1.8599999999999999E-4</v>
      </c>
      <c r="K30" s="16">
        <f t="shared" si="7"/>
        <v>5.1269999999999996E-3</v>
      </c>
      <c r="L30" s="16">
        <f t="shared" si="7"/>
        <v>0</v>
      </c>
      <c r="M30" s="16">
        <f t="shared" si="7"/>
        <v>2.7435999999999999E-2</v>
      </c>
      <c r="N30" s="16">
        <f t="shared" si="7"/>
        <v>0</v>
      </c>
      <c r="O30" s="16">
        <f t="shared" si="7"/>
        <v>3.2950000000000002E-3</v>
      </c>
      <c r="P30" s="16">
        <f t="shared" si="7"/>
        <v>3.4099999999999999E-4</v>
      </c>
    </row>
    <row r="31" spans="1:16" x14ac:dyDescent="0.2">
      <c r="A31" s="39"/>
    </row>
    <row r="32" spans="1:16" x14ac:dyDescent="0.2">
      <c r="A32" s="74"/>
    </row>
    <row r="33" spans="1:1" x14ac:dyDescent="0.2">
      <c r="A33" s="74"/>
    </row>
    <row r="34" spans="1:1" x14ac:dyDescent="0.2">
      <c r="A34" s="74"/>
    </row>
    <row r="35" spans="1:1" x14ac:dyDescent="0.2">
      <c r="A35" s="74"/>
    </row>
    <row r="36" spans="1:1" x14ac:dyDescent="0.2">
      <c r="A36" s="74"/>
    </row>
    <row r="37" spans="1:1" x14ac:dyDescent="0.2">
      <c r="A37" s="74"/>
    </row>
    <row r="38" spans="1:1" x14ac:dyDescent="0.2">
      <c r="A38" s="74"/>
    </row>
    <row r="39" spans="1:1" x14ac:dyDescent="0.2">
      <c r="A39" s="74"/>
    </row>
    <row r="40" spans="1:1" x14ac:dyDescent="0.2">
      <c r="A40" s="74"/>
    </row>
    <row r="41" spans="1:1" x14ac:dyDescent="0.2">
      <c r="A41" s="74"/>
    </row>
    <row r="42" spans="1:1" x14ac:dyDescent="0.2">
      <c r="A42" s="74"/>
    </row>
    <row r="43" spans="1:1" x14ac:dyDescent="0.2">
      <c r="A43" s="74"/>
    </row>
    <row r="44" spans="1:1" x14ac:dyDescent="0.2">
      <c r="A44" s="74"/>
    </row>
    <row r="45" spans="1:1" x14ac:dyDescent="0.2">
      <c r="A45" s="74"/>
    </row>
    <row r="46" spans="1:1" x14ac:dyDescent="0.2">
      <c r="A46" s="74"/>
    </row>
    <row r="47" spans="1:1" x14ac:dyDescent="0.2">
      <c r="A47" s="74"/>
    </row>
  </sheetData>
  <mergeCells count="4">
    <mergeCell ref="A1:P1"/>
    <mergeCell ref="A2:P2"/>
    <mergeCell ref="A3:P3"/>
    <mergeCell ref="A4:P4"/>
  </mergeCells>
  <printOptions horizontalCentered="1"/>
  <pageMargins left="0.25" right="0.25" top="0.53" bottom="0.79" header="0.22" footer="0.46"/>
  <pageSetup scale="55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/>
  <dimension ref="A1:M35"/>
  <sheetViews>
    <sheetView showGridLines="0" topLeftCell="A21" zoomScale="90" zoomScaleNormal="90" workbookViewId="0">
      <selection activeCell="K21" sqref="K21"/>
    </sheetView>
  </sheetViews>
  <sheetFormatPr defaultColWidth="8.85546875" defaultRowHeight="12.75" x14ac:dyDescent="0.2"/>
  <cols>
    <col min="1" max="1" width="4.7109375" style="14" bestFit="1" customWidth="1"/>
    <col min="2" max="2" width="31.140625" style="14" bestFit="1" customWidth="1"/>
    <col min="3" max="3" width="15.7109375" style="14" bestFit="1" customWidth="1"/>
    <col min="4" max="4" width="15.7109375" style="14" customWidth="1"/>
    <col min="5" max="5" width="14.28515625" style="14" bestFit="1" customWidth="1"/>
    <col min="6" max="6" width="16.7109375" style="14" bestFit="1" customWidth="1"/>
    <col min="7" max="8" width="14.28515625" style="14" bestFit="1" customWidth="1"/>
    <col min="9" max="10" width="13.5703125" style="14" bestFit="1" customWidth="1"/>
    <col min="11" max="11" width="14.7109375" style="14" bestFit="1" customWidth="1"/>
    <col min="12" max="12" width="12.42578125" style="14" bestFit="1" customWidth="1"/>
    <col min="13" max="13" width="11.42578125" style="14" bestFit="1" customWidth="1"/>
    <col min="14" max="16384" width="8.85546875" style="14"/>
  </cols>
  <sheetData>
    <row r="1" spans="1:13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x14ac:dyDescent="0.2">
      <c r="A2" s="103" t="s">
        <v>62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x14ac:dyDescent="0.2">
      <c r="A3" s="103" t="str">
        <f>+'Class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6" spans="1:13" s="33" customFormat="1" ht="51" x14ac:dyDescent="0.2">
      <c r="A6" s="18" t="s">
        <v>2</v>
      </c>
      <c r="B6" s="18" t="s">
        <v>3</v>
      </c>
      <c r="C6" s="18" t="s">
        <v>4</v>
      </c>
      <c r="D6" s="18" t="str">
        <f>+'Class Summary'!G6</f>
        <v>Residential
Sch 7</v>
      </c>
      <c r="E6" s="18" t="str">
        <f>+'Class Summary'!H6</f>
        <v>Sec Volt
Sch 24
(kW&lt; 50)</v>
      </c>
      <c r="F6" s="18" t="str">
        <f>+'Class Summary'!I6</f>
        <v>Sec Volt
Sch 25
(kW &gt; 50 &amp; &lt; 350)</v>
      </c>
      <c r="G6" s="18" t="str">
        <f>+'Class Summary'!J6</f>
        <v>Sec Volt
Sch 26
(kW &gt; 350)</v>
      </c>
      <c r="H6" s="18" t="str">
        <f>+'Class Summary'!K6</f>
        <v>Pri Volt
Sch 31/35/43</v>
      </c>
      <c r="I6" s="18" t="str">
        <f>+'Class Summary'!L6</f>
        <v>Special Contract</v>
      </c>
      <c r="J6" s="18" t="str">
        <f>+'Class Summary'!M6</f>
        <v>High Volt
Sch 46/49</v>
      </c>
      <c r="K6" s="18" t="str">
        <f>+'Class Summary'!N6</f>
        <v>Choice /
Retail Wheeling
Sch 448/449</v>
      </c>
      <c r="L6" s="18" t="str">
        <f>+'Class Summary'!O6</f>
        <v>Lighting
Sch 50-59</v>
      </c>
      <c r="M6" s="18" t="str">
        <f>+'Class Summary'!P6</f>
        <v>Firm Resale</v>
      </c>
    </row>
    <row r="7" spans="1:13" s="33" customFormat="1" x14ac:dyDescent="0.2">
      <c r="B7" s="33" t="s">
        <v>15</v>
      </c>
      <c r="C7" s="33" t="s">
        <v>16</v>
      </c>
      <c r="D7" s="33" t="s">
        <v>17</v>
      </c>
      <c r="E7" s="33" t="s">
        <v>18</v>
      </c>
      <c r="F7" s="33" t="s">
        <v>19</v>
      </c>
      <c r="G7" s="33" t="s">
        <v>63</v>
      </c>
      <c r="H7" s="33" t="s">
        <v>20</v>
      </c>
      <c r="I7" s="33" t="s">
        <v>21</v>
      </c>
      <c r="J7" s="33" t="s">
        <v>64</v>
      </c>
      <c r="K7" s="33" t="s">
        <v>65</v>
      </c>
      <c r="L7" s="33" t="s">
        <v>22</v>
      </c>
      <c r="M7" s="33" t="s">
        <v>23</v>
      </c>
    </row>
    <row r="9" spans="1:13" x14ac:dyDescent="0.2">
      <c r="A9" s="74">
        <v>1</v>
      </c>
      <c r="B9" s="13" t="s">
        <v>66</v>
      </c>
    </row>
    <row r="10" spans="1:13" x14ac:dyDescent="0.2">
      <c r="A10" s="74">
        <f>+A9+1</f>
        <v>2</v>
      </c>
      <c r="B10" s="14" t="s">
        <v>36</v>
      </c>
      <c r="C10" s="72">
        <v>837234281.21274686</v>
      </c>
      <c r="D10" s="72">
        <v>434809340.19551748</v>
      </c>
      <c r="E10" s="72">
        <v>110479951.3506318</v>
      </c>
      <c r="F10" s="72">
        <v>122862166.43802281</v>
      </c>
      <c r="G10" s="72">
        <v>79291042.551920518</v>
      </c>
      <c r="H10" s="72">
        <v>60148011.041486137</v>
      </c>
      <c r="I10" s="72">
        <v>378008.89858363406</v>
      </c>
      <c r="J10" s="72">
        <v>23878161.831307773</v>
      </c>
      <c r="K10" s="72">
        <v>2230977.3288615416</v>
      </c>
      <c r="L10" s="72">
        <v>2875226.7095961673</v>
      </c>
      <c r="M10" s="72">
        <v>281394.86681918701</v>
      </c>
    </row>
    <row r="11" spans="1:13" x14ac:dyDescent="0.2">
      <c r="A11" s="74">
        <f t="shared" ref="A11:A26" si="0">+A10+1</f>
        <v>3</v>
      </c>
      <c r="B11" s="14" t="s">
        <v>37</v>
      </c>
      <c r="C11" s="72">
        <v>255685137.36692163</v>
      </c>
      <c r="D11" s="72">
        <v>131033253.71915494</v>
      </c>
      <c r="E11" s="72">
        <v>33294012.243843861</v>
      </c>
      <c r="F11" s="72">
        <v>37025491.265020557</v>
      </c>
      <c r="G11" s="72">
        <v>23894986.459330022</v>
      </c>
      <c r="H11" s="72">
        <v>18126081.624552082</v>
      </c>
      <c r="I11" s="72">
        <v>603334.50990201894</v>
      </c>
      <c r="J11" s="72">
        <v>7195874.026491412</v>
      </c>
      <c r="K11" s="72">
        <v>3560830.4946117206</v>
      </c>
      <c r="L11" s="72">
        <v>866472.44231045048</v>
      </c>
      <c r="M11" s="72">
        <v>84800.58170463024</v>
      </c>
    </row>
    <row r="12" spans="1:13" x14ac:dyDescent="0.2">
      <c r="A12" s="74">
        <f t="shared" si="0"/>
        <v>4</v>
      </c>
      <c r="B12" s="14" t="s">
        <v>38</v>
      </c>
      <c r="C12" s="72">
        <v>53876585.027109765</v>
      </c>
      <c r="D12" s="72">
        <v>27794676.484940927</v>
      </c>
      <c r="E12" s="72">
        <v>7062301.1559089795</v>
      </c>
      <c r="F12" s="72">
        <v>7853819.7152072489</v>
      </c>
      <c r="G12" s="72">
        <v>5068586.7854018928</v>
      </c>
      <c r="H12" s="72">
        <v>3844890.9753387976</v>
      </c>
      <c r="I12" s="72">
        <v>75941.668137717119</v>
      </c>
      <c r="J12" s="72">
        <v>1526383.455465399</v>
      </c>
      <c r="K12" s="72">
        <v>448201.45918784197</v>
      </c>
      <c r="L12" s="72">
        <v>183795.49109536479</v>
      </c>
      <c r="M12" s="72">
        <v>17987.836425605314</v>
      </c>
    </row>
    <row r="13" spans="1:13" x14ac:dyDescent="0.2">
      <c r="A13" s="74">
        <f t="shared" si="0"/>
        <v>5</v>
      </c>
      <c r="B13" s="14" t="s">
        <v>39</v>
      </c>
      <c r="C13" s="72">
        <v>6942391.7341296077</v>
      </c>
      <c r="D13" s="72">
        <v>3527900.7616054462</v>
      </c>
      <c r="E13" s="72">
        <v>896398.18762118835</v>
      </c>
      <c r="F13" s="72">
        <v>996863.43065742683</v>
      </c>
      <c r="G13" s="72">
        <v>643341.58342050726</v>
      </c>
      <c r="H13" s="72">
        <v>488021.28736906854</v>
      </c>
      <c r="I13" s="72">
        <v>24705.466878345524</v>
      </c>
      <c r="J13" s="72">
        <v>193739.59462906045</v>
      </c>
      <c r="K13" s="72">
        <v>145809.62699832828</v>
      </c>
      <c r="L13" s="72">
        <v>23328.649044225869</v>
      </c>
      <c r="M13" s="72">
        <v>2283.1459060122261</v>
      </c>
    </row>
    <row r="14" spans="1:13" ht="13.5" thickBot="1" x14ac:dyDescent="0.25">
      <c r="A14" s="32">
        <f t="shared" si="0"/>
        <v>6</v>
      </c>
      <c r="B14" s="21" t="s">
        <v>67</v>
      </c>
      <c r="C14" s="22">
        <f>SUM(C10:C13)</f>
        <v>1153738395.3409081</v>
      </c>
      <c r="D14" s="22">
        <f t="shared" ref="D14:J14" si="1">SUM(D10:D13)</f>
        <v>597165171.16121876</v>
      </c>
      <c r="E14" s="22">
        <f t="shared" si="1"/>
        <v>151732662.93800581</v>
      </c>
      <c r="F14" s="22">
        <f t="shared" si="1"/>
        <v>168738340.84890804</v>
      </c>
      <c r="G14" s="22">
        <f t="shared" si="1"/>
        <v>108897957.38007294</v>
      </c>
      <c r="H14" s="22">
        <f t="shared" si="1"/>
        <v>82607004.928746089</v>
      </c>
      <c r="I14" s="22">
        <f t="shared" si="1"/>
        <v>1081990.5435017156</v>
      </c>
      <c r="J14" s="22">
        <f t="shared" si="1"/>
        <v>32794158.907893643</v>
      </c>
      <c r="K14" s="22">
        <f>SUM(K10:K13)</f>
        <v>6385818.9096594322</v>
      </c>
      <c r="L14" s="22">
        <f>SUM(L10:L13)</f>
        <v>3948823.2920462089</v>
      </c>
      <c r="M14" s="22">
        <f>SUM(M10:M13)</f>
        <v>386466.43085543474</v>
      </c>
    </row>
    <row r="15" spans="1:13" ht="13.5" thickTop="1" x14ac:dyDescent="0.2">
      <c r="A15" s="74">
        <f t="shared" si="0"/>
        <v>7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x14ac:dyDescent="0.2">
      <c r="A16" s="74">
        <f t="shared" si="0"/>
        <v>8</v>
      </c>
      <c r="B16" s="14" t="s">
        <v>68</v>
      </c>
      <c r="C16" s="72">
        <v>214264521.39012292</v>
      </c>
      <c r="D16" s="72">
        <v>108882355.98707703</v>
      </c>
      <c r="E16" s="72">
        <v>27665729.045713026</v>
      </c>
      <c r="F16" s="72">
        <v>30766409.33571697</v>
      </c>
      <c r="G16" s="72">
        <v>19855588.929719325</v>
      </c>
      <c r="H16" s="72">
        <v>15061905.402466441</v>
      </c>
      <c r="I16" s="72">
        <v>762490.10991194134</v>
      </c>
      <c r="J16" s="72">
        <v>5979426.5589244375</v>
      </c>
      <c r="K16" s="72">
        <v>4500153.7134933881</v>
      </c>
      <c r="L16" s="72">
        <v>719997.08653229487</v>
      </c>
      <c r="M16" s="72">
        <v>70465.220568090066</v>
      </c>
    </row>
    <row r="17" spans="1:13" x14ac:dyDescent="0.2">
      <c r="A17" s="74">
        <f t="shared" si="0"/>
        <v>9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3.5" thickBot="1" x14ac:dyDescent="0.25">
      <c r="A18" s="32">
        <f t="shared" si="0"/>
        <v>10</v>
      </c>
      <c r="B18" s="21" t="s">
        <v>69</v>
      </c>
      <c r="C18" s="22">
        <f>+C16+C14</f>
        <v>1368002916.7310309</v>
      </c>
      <c r="D18" s="22">
        <f t="shared" ref="D18:J18" si="2">+D16+D14</f>
        <v>706047527.14829576</v>
      </c>
      <c r="E18" s="22">
        <f t="shared" si="2"/>
        <v>179398391.98371884</v>
      </c>
      <c r="F18" s="22">
        <f t="shared" si="2"/>
        <v>199504750.184625</v>
      </c>
      <c r="G18" s="22">
        <f t="shared" si="2"/>
        <v>128753546.30979227</v>
      </c>
      <c r="H18" s="22">
        <f t="shared" si="2"/>
        <v>97668910.331212536</v>
      </c>
      <c r="I18" s="22">
        <f t="shared" si="2"/>
        <v>1844480.6534136571</v>
      </c>
      <c r="J18" s="22">
        <f t="shared" si="2"/>
        <v>38773585.466818079</v>
      </c>
      <c r="K18" s="22">
        <f>+K16+K14</f>
        <v>10885972.62315282</v>
      </c>
      <c r="L18" s="22">
        <f>+L16+L14</f>
        <v>4668820.3785785036</v>
      </c>
      <c r="M18" s="22">
        <f>+M16+M14</f>
        <v>456931.65142352483</v>
      </c>
    </row>
    <row r="19" spans="1:13" ht="13.5" thickTop="1" x14ac:dyDescent="0.2">
      <c r="A19" s="74">
        <f t="shared" si="0"/>
        <v>11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x14ac:dyDescent="0.2">
      <c r="A20" s="74">
        <f t="shared" si="0"/>
        <v>12</v>
      </c>
      <c r="B20" s="14" t="s">
        <v>27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x14ac:dyDescent="0.2">
      <c r="A21" s="74">
        <f t="shared" si="0"/>
        <v>13</v>
      </c>
      <c r="B21" s="14" t="s">
        <v>28</v>
      </c>
      <c r="C21" s="72">
        <v>5519562415.0122395</v>
      </c>
      <c r="D21" s="72">
        <v>2815075505.8587723</v>
      </c>
      <c r="E21" s="72">
        <v>715277654.32955766</v>
      </c>
      <c r="F21" s="72">
        <v>795443527.4571116</v>
      </c>
      <c r="G21" s="72">
        <v>513352062.8180337</v>
      </c>
      <c r="H21" s="72">
        <v>389414800.82482409</v>
      </c>
      <c r="I21" s="72">
        <v>16802319.808082424</v>
      </c>
      <c r="J21" s="72">
        <v>154593800.73579046</v>
      </c>
      <c r="K21" s="72">
        <v>99165905.100563258</v>
      </c>
      <c r="L21" s="72">
        <v>18615010.156717248</v>
      </c>
      <c r="M21" s="72">
        <v>1821827.922787688</v>
      </c>
    </row>
    <row r="22" spans="1:13" x14ac:dyDescent="0.2">
      <c r="A22" s="74">
        <f t="shared" si="0"/>
        <v>14</v>
      </c>
      <c r="B22" s="14" t="s">
        <v>29</v>
      </c>
      <c r="C22" s="72">
        <v>-2327989158.0290608</v>
      </c>
      <c r="D22" s="72">
        <v>-1195283762.0948882</v>
      </c>
      <c r="E22" s="72">
        <v>-303707578.65289479</v>
      </c>
      <c r="F22" s="72">
        <v>-337746085.33738708</v>
      </c>
      <c r="G22" s="72">
        <v>-217969778.66038603</v>
      </c>
      <c r="H22" s="72">
        <v>-165345898.24557224</v>
      </c>
      <c r="I22" s="72">
        <v>-4870802.6197426748</v>
      </c>
      <c r="J22" s="72">
        <v>-65640676.19339139</v>
      </c>
      <c r="K22" s="72">
        <v>-28747075.158076145</v>
      </c>
      <c r="L22" s="72">
        <v>-7903951.1818592781</v>
      </c>
      <c r="M22" s="72">
        <v>-773549.88486352528</v>
      </c>
    </row>
    <row r="23" spans="1:13" x14ac:dyDescent="0.2">
      <c r="A23" s="74">
        <f t="shared" si="0"/>
        <v>15</v>
      </c>
      <c r="B23" s="14" t="s">
        <v>70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</row>
    <row r="24" spans="1:13" x14ac:dyDescent="0.2">
      <c r="A24" s="74">
        <f t="shared" si="0"/>
        <v>16</v>
      </c>
      <c r="B24" s="14" t="s">
        <v>71</v>
      </c>
      <c r="C24" s="72">
        <v>70506013.569170743</v>
      </c>
      <c r="D24" s="72">
        <v>35959327.368866913</v>
      </c>
      <c r="E24" s="72">
        <v>9136843.1426230334</v>
      </c>
      <c r="F24" s="72">
        <v>10160869.272510219</v>
      </c>
      <c r="G24" s="72">
        <v>6557477.7102560978</v>
      </c>
      <c r="H24" s="72">
        <v>4974322.8115901444</v>
      </c>
      <c r="I24" s="72">
        <v>214630.1643695751</v>
      </c>
      <c r="J24" s="72">
        <v>1974756.6551184929</v>
      </c>
      <c r="K24" s="72">
        <v>1266729.5203697605</v>
      </c>
      <c r="L24" s="72">
        <v>237785.18295763253</v>
      </c>
      <c r="M24" s="72">
        <v>23271.740508885618</v>
      </c>
    </row>
    <row r="25" spans="1:13" x14ac:dyDescent="0.2">
      <c r="A25" s="74">
        <f t="shared" si="0"/>
        <v>17</v>
      </c>
      <c r="B25" s="14" t="s">
        <v>72</v>
      </c>
      <c r="C25" s="72">
        <v>-450208911.10191756</v>
      </c>
      <c r="D25" s="72">
        <v>-226848761.59105775</v>
      </c>
      <c r="E25" s="72">
        <v>-57639608.508091345</v>
      </c>
      <c r="F25" s="72">
        <v>-64099658.692537025</v>
      </c>
      <c r="G25" s="72">
        <v>-41367728.669487454</v>
      </c>
      <c r="H25" s="72">
        <v>-31380424.833539631</v>
      </c>
      <c r="I25" s="72">
        <v>-2139715.4641011702</v>
      </c>
      <c r="J25" s="72">
        <v>-12457716.382236248</v>
      </c>
      <c r="K25" s="72">
        <v>-12628424.115174621</v>
      </c>
      <c r="L25" s="72">
        <v>-1500063.4946621286</v>
      </c>
      <c r="M25" s="72">
        <v>-146809.35103029161</v>
      </c>
    </row>
    <row r="26" spans="1:13" ht="13.5" thickBot="1" x14ac:dyDescent="0.25">
      <c r="A26" s="32">
        <f t="shared" si="0"/>
        <v>18</v>
      </c>
      <c r="B26" s="21" t="s">
        <v>31</v>
      </c>
      <c r="C26" s="22">
        <f>SUM(C21:C25)</f>
        <v>2811870359.4504318</v>
      </c>
      <c r="D26" s="22">
        <f t="shared" ref="D26:J26" si="3">SUM(D21:D25)</f>
        <v>1428902309.5416932</v>
      </c>
      <c r="E26" s="22">
        <f t="shared" si="3"/>
        <v>363067310.31119454</v>
      </c>
      <c r="F26" s="22">
        <f t="shared" si="3"/>
        <v>403758652.69969773</v>
      </c>
      <c r="G26" s="22">
        <f t="shared" si="3"/>
        <v>260572033.19841632</v>
      </c>
      <c r="H26" s="22">
        <f t="shared" si="3"/>
        <v>197662800.55730236</v>
      </c>
      <c r="I26" s="22">
        <f t="shared" si="3"/>
        <v>10006431.888608154</v>
      </c>
      <c r="J26" s="22">
        <f t="shared" si="3"/>
        <v>78470164.815281332</v>
      </c>
      <c r="K26" s="22">
        <f>SUM(K21:K25)</f>
        <v>59057135.347682253</v>
      </c>
      <c r="L26" s="22">
        <f>SUM(L21:L25)</f>
        <v>9448780.6631534752</v>
      </c>
      <c r="M26" s="22">
        <f>SUM(M21:M25)</f>
        <v>924740.42740275676</v>
      </c>
    </row>
    <row r="27" spans="1:13" ht="13.5" thickTop="1" x14ac:dyDescent="0.2"/>
    <row r="29" spans="1:13" x14ac:dyDescent="0.2">
      <c r="C29" s="75"/>
    </row>
    <row r="30" spans="1:13" x14ac:dyDescent="0.2">
      <c r="C30" s="75"/>
    </row>
    <row r="31" spans="1:13" x14ac:dyDescent="0.2">
      <c r="C31" s="75"/>
    </row>
    <row r="33" spans="3:3" x14ac:dyDescent="0.2">
      <c r="C33" s="75"/>
    </row>
    <row r="35" spans="3:3" x14ac:dyDescent="0.2">
      <c r="C35" s="75"/>
    </row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/>
  <dimension ref="A1:M27"/>
  <sheetViews>
    <sheetView showGridLines="0" topLeftCell="A3" zoomScale="90" zoomScaleNormal="90" workbookViewId="0">
      <selection activeCell="A3" sqref="A3:M3"/>
    </sheetView>
  </sheetViews>
  <sheetFormatPr defaultColWidth="6.28515625" defaultRowHeight="12.75" x14ac:dyDescent="0.2"/>
  <cols>
    <col min="1" max="1" width="4.7109375" style="14" bestFit="1" customWidth="1"/>
    <col min="2" max="2" width="31.140625" style="14" bestFit="1" customWidth="1"/>
    <col min="3" max="3" width="15.7109375" style="14" bestFit="1" customWidth="1"/>
    <col min="4" max="4" width="17.28515625" style="14" customWidth="1"/>
    <col min="5" max="5" width="14.42578125" style="14" bestFit="1" customWidth="1"/>
    <col min="6" max="6" width="15.7109375" style="14" bestFit="1" customWidth="1"/>
    <col min="7" max="8" width="13.7109375" style="14" bestFit="1" customWidth="1"/>
    <col min="9" max="10" width="13.42578125" style="14" bestFit="1" customWidth="1"/>
    <col min="11" max="11" width="14.7109375" style="14" bestFit="1" customWidth="1"/>
    <col min="12" max="12" width="13.28515625" style="14" bestFit="1" customWidth="1"/>
    <col min="13" max="13" width="11.42578125" style="14" customWidth="1"/>
    <col min="14" max="16384" width="6.28515625" style="14"/>
  </cols>
  <sheetData>
    <row r="1" spans="1:13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x14ac:dyDescent="0.2">
      <c r="A2" s="103" t="s">
        <v>73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x14ac:dyDescent="0.2">
      <c r="A3" s="103" t="str">
        <f>+'Class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6" spans="1:13" s="33" customFormat="1" ht="51" x14ac:dyDescent="0.2">
      <c r="A6" s="18" t="s">
        <v>2</v>
      </c>
      <c r="B6" s="18" t="s">
        <v>3</v>
      </c>
      <c r="C6" s="18" t="s">
        <v>4</v>
      </c>
      <c r="D6" s="18" t="str">
        <f>+'Class Summary'!G6</f>
        <v>Residential
Sch 7</v>
      </c>
      <c r="E6" s="18" t="str">
        <f>+'Class Summary'!H6</f>
        <v>Sec Volt
Sch 24
(kW&lt; 50)</v>
      </c>
      <c r="F6" s="18" t="str">
        <f>+'Class Summary'!I6</f>
        <v>Sec Volt
Sch 25
(kW &gt; 50 &amp; &lt; 350)</v>
      </c>
      <c r="G6" s="18" t="str">
        <f>+'Class Summary'!J6</f>
        <v>Sec Volt
Sch 26
(kW &gt; 350)</v>
      </c>
      <c r="H6" s="18" t="str">
        <f>+'Class Summary'!K6</f>
        <v>Pri Volt
Sch 31/35/43</v>
      </c>
      <c r="I6" s="18" t="str">
        <f>+'Class Summary'!L6</f>
        <v>Special Contract</v>
      </c>
      <c r="J6" s="18" t="str">
        <f>+'Class Summary'!M6</f>
        <v>High Volt
Sch 46/49</v>
      </c>
      <c r="K6" s="18" t="str">
        <f>+'Class Summary'!N6</f>
        <v>Choice /
Retail Wheeling
Sch 448/449</v>
      </c>
      <c r="L6" s="18" t="str">
        <f>+'Class Summary'!O6</f>
        <v>Lighting
Sch 50-59</v>
      </c>
      <c r="M6" s="18" t="str">
        <f>+'Class Summary'!P6</f>
        <v>Firm Resale</v>
      </c>
    </row>
    <row r="7" spans="1:13" s="33" customFormat="1" x14ac:dyDescent="0.2">
      <c r="B7" s="33" t="s">
        <v>15</v>
      </c>
      <c r="C7" s="33" t="s">
        <v>16</v>
      </c>
      <c r="D7" s="33" t="s">
        <v>17</v>
      </c>
      <c r="E7" s="33" t="s">
        <v>18</v>
      </c>
      <c r="F7" s="33" t="s">
        <v>19</v>
      </c>
      <c r="G7" s="33" t="s">
        <v>63</v>
      </c>
      <c r="H7" s="33" t="s">
        <v>20</v>
      </c>
      <c r="I7" s="33" t="s">
        <v>21</v>
      </c>
      <c r="J7" s="33" t="s">
        <v>64</v>
      </c>
      <c r="K7" s="33" t="s">
        <v>65</v>
      </c>
      <c r="L7" s="33" t="s">
        <v>22</v>
      </c>
      <c r="M7" s="33" t="s">
        <v>23</v>
      </c>
    </row>
    <row r="9" spans="1:13" x14ac:dyDescent="0.2">
      <c r="A9" s="74">
        <v>1</v>
      </c>
      <c r="B9" s="13" t="s">
        <v>66</v>
      </c>
    </row>
    <row r="10" spans="1:13" x14ac:dyDescent="0.2">
      <c r="A10" s="74">
        <f>+A9+1</f>
        <v>2</v>
      </c>
      <c r="B10" s="14" t="s">
        <v>36</v>
      </c>
      <c r="C10" s="72">
        <v>210991207.00400954</v>
      </c>
      <c r="D10" s="72">
        <v>131110263.68092209</v>
      </c>
      <c r="E10" s="72">
        <v>26941790.714197636</v>
      </c>
      <c r="F10" s="72">
        <v>25920763.833809711</v>
      </c>
      <c r="G10" s="72">
        <v>12493317.132721284</v>
      </c>
      <c r="H10" s="72">
        <v>10575762.201372191</v>
      </c>
      <c r="I10" s="72">
        <v>919122.3918078047</v>
      </c>
      <c r="J10" s="72">
        <v>2225919.0256591607</v>
      </c>
      <c r="K10" s="72">
        <v>315325.70593671175</v>
      </c>
      <c r="L10" s="72">
        <v>398938.48466513416</v>
      </c>
      <c r="M10" s="72">
        <v>90003.832917827589</v>
      </c>
    </row>
    <row r="11" spans="1:13" x14ac:dyDescent="0.2">
      <c r="A11" s="74">
        <f t="shared" ref="A11:A26" si="0">+A10+1</f>
        <v>3</v>
      </c>
      <c r="B11" s="14" t="s">
        <v>37</v>
      </c>
      <c r="C11" s="72">
        <v>201634679.70148891</v>
      </c>
      <c r="D11" s="72">
        <v>132573649.49257258</v>
      </c>
      <c r="E11" s="72">
        <v>24889387.227370605</v>
      </c>
      <c r="F11" s="72">
        <v>21398377.388065197</v>
      </c>
      <c r="G11" s="72">
        <v>9553791.3868307881</v>
      </c>
      <c r="H11" s="72">
        <v>8859774.4985078014</v>
      </c>
      <c r="I11" s="72">
        <v>1358917.5023181401</v>
      </c>
      <c r="J11" s="72">
        <v>1104233.4437844027</v>
      </c>
      <c r="K11" s="72">
        <v>528533.56128940149</v>
      </c>
      <c r="L11" s="72">
        <v>1297076.2694169341</v>
      </c>
      <c r="M11" s="72">
        <v>70938.93133304143</v>
      </c>
    </row>
    <row r="12" spans="1:13" x14ac:dyDescent="0.2">
      <c r="A12" s="74">
        <f t="shared" si="0"/>
        <v>4</v>
      </c>
      <c r="B12" s="14" t="s">
        <v>38</v>
      </c>
      <c r="C12" s="72">
        <v>25594689.110735826</v>
      </c>
      <c r="D12" s="72">
        <v>16410734.737656336</v>
      </c>
      <c r="E12" s="72">
        <v>3190765.6191692641</v>
      </c>
      <c r="F12" s="72">
        <v>2882000.1391621311</v>
      </c>
      <c r="G12" s="72">
        <v>1330724.618356558</v>
      </c>
      <c r="H12" s="72">
        <v>1200443.3074331528</v>
      </c>
      <c r="I12" s="72">
        <v>199490.68196585902</v>
      </c>
      <c r="J12" s="72">
        <v>194370.82231027487</v>
      </c>
      <c r="K12" s="72">
        <v>61070.752377933663</v>
      </c>
      <c r="L12" s="72">
        <v>115467.81611116922</v>
      </c>
      <c r="M12" s="72">
        <v>9620.6161931470742</v>
      </c>
    </row>
    <row r="13" spans="1:13" x14ac:dyDescent="0.2">
      <c r="A13" s="74">
        <f t="shared" si="0"/>
        <v>5</v>
      </c>
      <c r="B13" s="14" t="s">
        <v>39</v>
      </c>
      <c r="C13" s="72">
        <v>5977554.4246818824</v>
      </c>
      <c r="D13" s="72">
        <v>3847015.9864787236</v>
      </c>
      <c r="E13" s="72">
        <v>736912.01811711129</v>
      </c>
      <c r="F13" s="72">
        <v>656151.04910100589</v>
      </c>
      <c r="G13" s="72">
        <v>299038.68482033501</v>
      </c>
      <c r="H13" s="72">
        <v>280785.96415222966</v>
      </c>
      <c r="I13" s="72">
        <v>67583.886341111342</v>
      </c>
      <c r="J13" s="72">
        <v>40912.451445613391</v>
      </c>
      <c r="K13" s="72">
        <v>17064.76988705332</v>
      </c>
      <c r="L13" s="72">
        <v>29957.974543486511</v>
      </c>
      <c r="M13" s="72">
        <v>2131.6397952115235</v>
      </c>
    </row>
    <row r="14" spans="1:13" ht="13.5" thickBot="1" x14ac:dyDescent="0.25">
      <c r="A14" s="32">
        <f t="shared" si="0"/>
        <v>6</v>
      </c>
      <c r="B14" s="21" t="s">
        <v>67</v>
      </c>
      <c r="C14" s="22">
        <f>SUM(C10:C13)</f>
        <v>444198130.24091619</v>
      </c>
      <c r="D14" s="22">
        <f>SUM(D10:D13)</f>
        <v>283941663.89762974</v>
      </c>
      <c r="E14" s="22">
        <f t="shared" ref="E14:J14" si="1">SUM(E10:E13)</f>
        <v>55758855.57885462</v>
      </c>
      <c r="F14" s="22">
        <f t="shared" si="1"/>
        <v>50857292.410138041</v>
      </c>
      <c r="G14" s="22">
        <f t="shared" si="1"/>
        <v>23676871.822728969</v>
      </c>
      <c r="H14" s="22">
        <f t="shared" si="1"/>
        <v>20916765.971465375</v>
      </c>
      <c r="I14" s="22">
        <f t="shared" si="1"/>
        <v>2545114.4624329153</v>
      </c>
      <c r="J14" s="22">
        <f t="shared" si="1"/>
        <v>3565435.7431994518</v>
      </c>
      <c r="K14" s="22">
        <f>SUM(K10:K13)</f>
        <v>921994.78949110024</v>
      </c>
      <c r="L14" s="22">
        <f>SUM(L10:L13)</f>
        <v>1841440.5447367241</v>
      </c>
      <c r="M14" s="22">
        <f>SUM(M10:M13)</f>
        <v>172695.02023922763</v>
      </c>
    </row>
    <row r="15" spans="1:13" ht="13.5" thickTop="1" x14ac:dyDescent="0.2">
      <c r="A15" s="74">
        <f t="shared" si="0"/>
        <v>7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x14ac:dyDescent="0.2">
      <c r="A16" s="74">
        <f t="shared" si="0"/>
        <v>8</v>
      </c>
      <c r="B16" s="14" t="s">
        <v>68</v>
      </c>
      <c r="C16" s="72">
        <v>184486541.08517405</v>
      </c>
      <c r="D16" s="72">
        <v>118731277.44589278</v>
      </c>
      <c r="E16" s="72">
        <v>22743473.274817746</v>
      </c>
      <c r="F16" s="72">
        <v>20250930.209555548</v>
      </c>
      <c r="G16" s="72">
        <v>9229294.9078584369</v>
      </c>
      <c r="H16" s="72">
        <v>8665957.2847749256</v>
      </c>
      <c r="I16" s="72">
        <v>2085855.9434745272</v>
      </c>
      <c r="J16" s="72">
        <v>1262689.7420374425</v>
      </c>
      <c r="K16" s="72">
        <v>526673.64397011662</v>
      </c>
      <c r="L16" s="72">
        <v>924599.37773626461</v>
      </c>
      <c r="M16" s="72">
        <v>65789.255056261856</v>
      </c>
    </row>
    <row r="17" spans="1:13" x14ac:dyDescent="0.2">
      <c r="A17" s="74">
        <f t="shared" si="0"/>
        <v>9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3.5" thickBot="1" x14ac:dyDescent="0.25">
      <c r="A18" s="32">
        <f t="shared" si="0"/>
        <v>10</v>
      </c>
      <c r="B18" s="21" t="s">
        <v>69</v>
      </c>
      <c r="C18" s="22">
        <f>+C16+C14</f>
        <v>628684671.32609022</v>
      </c>
      <c r="D18" s="22">
        <f>+D16+D14</f>
        <v>402672941.34352255</v>
      </c>
      <c r="E18" s="22">
        <f t="shared" ref="E18:J18" si="2">+E16+E14</f>
        <v>78502328.85367237</v>
      </c>
      <c r="F18" s="22">
        <f t="shared" si="2"/>
        <v>71108222.619693592</v>
      </c>
      <c r="G18" s="22">
        <f t="shared" si="2"/>
        <v>32906166.730587408</v>
      </c>
      <c r="H18" s="22">
        <f t="shared" si="2"/>
        <v>29582723.256240301</v>
      </c>
      <c r="I18" s="22">
        <f t="shared" si="2"/>
        <v>4630970.4059074428</v>
      </c>
      <c r="J18" s="22">
        <f t="shared" si="2"/>
        <v>4828125.4852368943</v>
      </c>
      <c r="K18" s="22">
        <f>+K16+K14</f>
        <v>1448668.4334612167</v>
      </c>
      <c r="L18" s="22">
        <f>+L16+L14</f>
        <v>2766039.9224729887</v>
      </c>
      <c r="M18" s="22">
        <f>+M16+M14</f>
        <v>238484.27529548947</v>
      </c>
    </row>
    <row r="19" spans="1:13" ht="13.5" thickTop="1" x14ac:dyDescent="0.2">
      <c r="A19" s="74">
        <f t="shared" si="0"/>
        <v>11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x14ac:dyDescent="0.2">
      <c r="A20" s="74">
        <f t="shared" si="0"/>
        <v>12</v>
      </c>
      <c r="B20" s="14" t="s">
        <v>27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x14ac:dyDescent="0.2">
      <c r="A21" s="74">
        <f t="shared" si="0"/>
        <v>13</v>
      </c>
      <c r="B21" s="14" t="s">
        <v>28</v>
      </c>
      <c r="C21" s="72">
        <v>4646380191.9887314</v>
      </c>
      <c r="D21" s="72">
        <v>3004997661.8813539</v>
      </c>
      <c r="E21" s="72">
        <v>570802143.61367512</v>
      </c>
      <c r="F21" s="72">
        <v>502697441.60202944</v>
      </c>
      <c r="G21" s="72">
        <v>227464107.27359185</v>
      </c>
      <c r="H21" s="72">
        <v>212002932.83921787</v>
      </c>
      <c r="I21" s="72">
        <v>54352834.682484917</v>
      </c>
      <c r="J21" s="72">
        <v>31811646.418230493</v>
      </c>
      <c r="K21" s="72">
        <v>15157160.875296403</v>
      </c>
      <c r="L21" s="72">
        <v>25491163.921579022</v>
      </c>
      <c r="M21" s="72">
        <v>1603098.8812724892</v>
      </c>
    </row>
    <row r="22" spans="1:13" x14ac:dyDescent="0.2">
      <c r="A22" s="74">
        <f t="shared" si="0"/>
        <v>14</v>
      </c>
      <c r="B22" s="14" t="s">
        <v>29</v>
      </c>
      <c r="C22" s="72">
        <v>-1724242507.7138314</v>
      </c>
      <c r="D22" s="72">
        <v>-1120606920.7995868</v>
      </c>
      <c r="E22" s="72">
        <v>-211093312.0472869</v>
      </c>
      <c r="F22" s="72">
        <v>-183793002.01504248</v>
      </c>
      <c r="G22" s="72">
        <v>-82621735.759985745</v>
      </c>
      <c r="H22" s="72">
        <v>-75639309.191823348</v>
      </c>
      <c r="I22" s="72">
        <v>-20752877.381078251</v>
      </c>
      <c r="J22" s="72">
        <v>-12156831.235313769</v>
      </c>
      <c r="K22" s="72">
        <v>-6508932.2433353886</v>
      </c>
      <c r="L22" s="72">
        <v>-10502010.177827228</v>
      </c>
      <c r="M22" s="72">
        <v>-567576.86255117739</v>
      </c>
    </row>
    <row r="23" spans="1:13" x14ac:dyDescent="0.2">
      <c r="A23" s="74">
        <f t="shared" si="0"/>
        <v>15</v>
      </c>
      <c r="B23" s="14" t="s">
        <v>70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</row>
    <row r="24" spans="1:13" x14ac:dyDescent="0.2">
      <c r="A24" s="74">
        <f t="shared" si="0"/>
        <v>16</v>
      </c>
      <c r="B24" s="14" t="s">
        <v>71</v>
      </c>
      <c r="C24" s="72">
        <v>59352122.54740981</v>
      </c>
      <c r="D24" s="72">
        <v>38385362.822908364</v>
      </c>
      <c r="E24" s="72">
        <v>7291335.9170426708</v>
      </c>
      <c r="F24" s="72">
        <v>6421377.2712091915</v>
      </c>
      <c r="G24" s="72">
        <v>2905590.3762065913</v>
      </c>
      <c r="H24" s="72">
        <v>2708091.7898149621</v>
      </c>
      <c r="I24" s="72">
        <v>694294.47689970152</v>
      </c>
      <c r="J24" s="72">
        <v>406356.91842547036</v>
      </c>
      <c r="K24" s="72">
        <v>193615.16547709558</v>
      </c>
      <c r="L24" s="72">
        <v>325620.07895055588</v>
      </c>
      <c r="M24" s="72">
        <v>20477.730475210126</v>
      </c>
    </row>
    <row r="25" spans="1:13" x14ac:dyDescent="0.2">
      <c r="A25" s="74">
        <f t="shared" si="0"/>
        <v>17</v>
      </c>
      <c r="B25" s="14" t="s">
        <v>72</v>
      </c>
      <c r="C25" s="72">
        <v>-560406590.48144341</v>
      </c>
      <c r="D25" s="72">
        <v>-364622856.58324784</v>
      </c>
      <c r="E25" s="72">
        <v>-68529389.598683596</v>
      </c>
      <c r="F25" s="72">
        <v>-59565577.887650892</v>
      </c>
      <c r="G25" s="72">
        <v>-26628606.14363898</v>
      </c>
      <c r="H25" s="72">
        <v>-25345241.883732785</v>
      </c>
      <c r="I25" s="72">
        <v>-6920814.1999004958</v>
      </c>
      <c r="J25" s="72">
        <v>-3490440.5785411117</v>
      </c>
      <c r="K25" s="72">
        <v>-1930116.1862817232</v>
      </c>
      <c r="L25" s="72">
        <v>-3180923.721176568</v>
      </c>
      <c r="M25" s="72">
        <v>-192623.69858941098</v>
      </c>
    </row>
    <row r="26" spans="1:13" ht="13.5" thickBot="1" x14ac:dyDescent="0.25">
      <c r="A26" s="32">
        <f t="shared" si="0"/>
        <v>18</v>
      </c>
      <c r="B26" s="21" t="s">
        <v>31</v>
      </c>
      <c r="C26" s="22">
        <f>SUM(C21:C25)</f>
        <v>2421083216.3408666</v>
      </c>
      <c r="D26" s="22">
        <f>SUM(D21:D25)</f>
        <v>1558153247.3214276</v>
      </c>
      <c r="E26" s="22">
        <f t="shared" ref="E26:J26" si="3">SUM(E21:E25)</f>
        <v>298470777.88474733</v>
      </c>
      <c r="F26" s="22">
        <f t="shared" si="3"/>
        <v>265760238.97054523</v>
      </c>
      <c r="G26" s="22">
        <f t="shared" si="3"/>
        <v>121119355.74617369</v>
      </c>
      <c r="H26" s="22">
        <f t="shared" si="3"/>
        <v>113726473.55347671</v>
      </c>
      <c r="I26" s="22">
        <f t="shared" si="3"/>
        <v>27373437.578405868</v>
      </c>
      <c r="J26" s="22">
        <f t="shared" si="3"/>
        <v>16570731.522801083</v>
      </c>
      <c r="K26" s="22">
        <f>SUM(K21:K25)</f>
        <v>6911727.6111563863</v>
      </c>
      <c r="L26" s="22">
        <f>SUM(L21:L25)</f>
        <v>12133850.101525782</v>
      </c>
      <c r="M26" s="22">
        <f>SUM(M21:M25)</f>
        <v>863376.05060711096</v>
      </c>
    </row>
    <row r="27" spans="1:13" ht="13.5" thickTop="1" x14ac:dyDescent="0.2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1"/>
  <dimension ref="A1:M27"/>
  <sheetViews>
    <sheetView showGridLines="0" topLeftCell="A3" zoomScale="90" zoomScaleNormal="90" workbookViewId="0">
      <selection activeCell="A3" sqref="A3:M3"/>
    </sheetView>
  </sheetViews>
  <sheetFormatPr defaultColWidth="8.85546875" defaultRowHeight="12.75" x14ac:dyDescent="0.2"/>
  <cols>
    <col min="1" max="1" width="5" style="14" bestFit="1" customWidth="1"/>
    <col min="2" max="2" width="33.140625" style="14" bestFit="1" customWidth="1"/>
    <col min="3" max="3" width="15.42578125" style="14" customWidth="1"/>
    <col min="4" max="4" width="15.28515625" style="14" customWidth="1"/>
    <col min="5" max="13" width="13.42578125" style="14" customWidth="1"/>
    <col min="14" max="16384" width="8.85546875" style="14"/>
  </cols>
  <sheetData>
    <row r="1" spans="1:13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x14ac:dyDescent="0.2">
      <c r="A2" s="103" t="s">
        <v>74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x14ac:dyDescent="0.2">
      <c r="A3" s="103" t="str">
        <f>+'Class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6" spans="1:13" s="33" customFormat="1" ht="51" x14ac:dyDescent="0.2">
      <c r="A6" s="18" t="s">
        <v>2</v>
      </c>
      <c r="B6" s="18" t="s">
        <v>3</v>
      </c>
      <c r="C6" s="18" t="s">
        <v>4</v>
      </c>
      <c r="D6" s="18" t="str">
        <f>+'Class Summary'!G6</f>
        <v>Residential
Sch 7</v>
      </c>
      <c r="E6" s="18" t="str">
        <f>+'Class Summary'!H6</f>
        <v>Sec Volt
Sch 24
(kW&lt; 50)</v>
      </c>
      <c r="F6" s="18" t="str">
        <f>+'Class Summary'!I6</f>
        <v>Sec Volt
Sch 25
(kW &gt; 50 &amp; &lt; 350)</v>
      </c>
      <c r="G6" s="18" t="str">
        <f>+'Class Summary'!J6</f>
        <v>Sec Volt
Sch 26
(kW &gt; 350)</v>
      </c>
      <c r="H6" s="18" t="str">
        <f>+'Class Summary'!K6</f>
        <v>Pri Volt
Sch 31/35/43</v>
      </c>
      <c r="I6" s="18" t="str">
        <f>+'Class Summary'!L6</f>
        <v>Special Contract</v>
      </c>
      <c r="J6" s="18" t="str">
        <f>+'Class Summary'!M6</f>
        <v>High Volt
Sch 46/49</v>
      </c>
      <c r="K6" s="18" t="str">
        <f>+'Class Summary'!N6</f>
        <v>Choice /
Retail Wheeling
Sch 448/449</v>
      </c>
      <c r="L6" s="18" t="str">
        <f>+'Class Summary'!O6</f>
        <v>Lighting
Sch 50-59</v>
      </c>
      <c r="M6" s="18" t="str">
        <f>+'Class Summary'!P6</f>
        <v>Firm Resale</v>
      </c>
    </row>
    <row r="7" spans="1:13" s="33" customFormat="1" x14ac:dyDescent="0.2">
      <c r="B7" s="33" t="s">
        <v>15</v>
      </c>
      <c r="C7" s="33" t="s">
        <v>16</v>
      </c>
      <c r="D7" s="33" t="s">
        <v>17</v>
      </c>
      <c r="E7" s="33" t="s">
        <v>18</v>
      </c>
      <c r="F7" s="33" t="s">
        <v>19</v>
      </c>
      <c r="G7" s="33" t="s">
        <v>63</v>
      </c>
      <c r="H7" s="33" t="s">
        <v>20</v>
      </c>
      <c r="I7" s="33" t="s">
        <v>21</v>
      </c>
      <c r="J7" s="33" t="s">
        <v>64</v>
      </c>
      <c r="K7" s="33" t="s">
        <v>65</v>
      </c>
      <c r="L7" s="33" t="s">
        <v>22</v>
      </c>
      <c r="M7" s="33" t="s">
        <v>23</v>
      </c>
    </row>
    <row r="9" spans="1:13" x14ac:dyDescent="0.2">
      <c r="A9" s="74">
        <v>1</v>
      </c>
      <c r="B9" s="13" t="s">
        <v>66</v>
      </c>
    </row>
    <row r="10" spans="1:13" x14ac:dyDescent="0.2">
      <c r="A10" s="74">
        <f>+A9+1</f>
        <v>2</v>
      </c>
      <c r="B10" s="14" t="s">
        <v>36</v>
      </c>
      <c r="C10" s="72">
        <v>94974936.957658619</v>
      </c>
      <c r="D10" s="72">
        <v>76277008.548153847</v>
      </c>
      <c r="E10" s="72">
        <v>9783722.4140421581</v>
      </c>
      <c r="F10" s="72">
        <v>1529521.8862323379</v>
      </c>
      <c r="G10" s="72">
        <v>770064.4691673721</v>
      </c>
      <c r="H10" s="72">
        <v>2280347.6998340646</v>
      </c>
      <c r="I10" s="72">
        <v>158185.19843606677</v>
      </c>
      <c r="J10" s="72">
        <v>178137.06350893815</v>
      </c>
      <c r="K10" s="72">
        <v>309700.80657888821</v>
      </c>
      <c r="L10" s="72">
        <v>3687239.1851576129</v>
      </c>
      <c r="M10" s="72">
        <v>1009.686547328388</v>
      </c>
    </row>
    <row r="11" spans="1:13" x14ac:dyDescent="0.2">
      <c r="A11" s="74">
        <f t="shared" ref="A11:A26" si="0">+A10+1</f>
        <v>3</v>
      </c>
      <c r="B11" s="14" t="s">
        <v>37</v>
      </c>
      <c r="C11" s="72">
        <v>43747166.791588947</v>
      </c>
      <c r="D11" s="72">
        <v>31276582.946933385</v>
      </c>
      <c r="E11" s="72">
        <v>4784629.7360489517</v>
      </c>
      <c r="F11" s="72">
        <v>1128654.8942531862</v>
      </c>
      <c r="G11" s="72">
        <v>217699.26017638404</v>
      </c>
      <c r="H11" s="72">
        <v>1923111.7820543211</v>
      </c>
      <c r="I11" s="72">
        <v>101821.1768258715</v>
      </c>
      <c r="J11" s="72">
        <v>75473.870140254294</v>
      </c>
      <c r="K11" s="72">
        <v>125015.06169329541</v>
      </c>
      <c r="L11" s="72">
        <v>4113155.6727955556</v>
      </c>
      <c r="M11" s="72">
        <v>1022.3906677407697</v>
      </c>
    </row>
    <row r="12" spans="1:13" x14ac:dyDescent="0.2">
      <c r="A12" s="74">
        <f t="shared" si="0"/>
        <v>4</v>
      </c>
      <c r="B12" s="14" t="s">
        <v>38</v>
      </c>
      <c r="C12" s="72">
        <v>7024288.3671027357</v>
      </c>
      <c r="D12" s="72">
        <v>5458910.2741576293</v>
      </c>
      <c r="E12" s="72">
        <v>632947.59071273671</v>
      </c>
      <c r="F12" s="72">
        <v>131820.33977775738</v>
      </c>
      <c r="G12" s="72">
        <v>48697.145876234208</v>
      </c>
      <c r="H12" s="72">
        <v>225749.83800945527</v>
      </c>
      <c r="I12" s="72">
        <v>13751.181315821343</v>
      </c>
      <c r="J12" s="72">
        <v>13098.921531897038</v>
      </c>
      <c r="K12" s="72">
        <v>22395.18082437446</v>
      </c>
      <c r="L12" s="72">
        <v>476807.26230405399</v>
      </c>
      <c r="M12" s="72">
        <v>110.63259277630533</v>
      </c>
    </row>
    <row r="13" spans="1:13" x14ac:dyDescent="0.2">
      <c r="A13" s="74">
        <f t="shared" si="0"/>
        <v>5</v>
      </c>
      <c r="B13" s="14" t="s">
        <v>39</v>
      </c>
      <c r="C13" s="72">
        <v>483013.50667443918</v>
      </c>
      <c r="D13" s="72">
        <v>359081.72036831395</v>
      </c>
      <c r="E13" s="72">
        <v>-24001.958680517255</v>
      </c>
      <c r="F13" s="72">
        <v>13177.006101853498</v>
      </c>
      <c r="G13" s="72">
        <v>2500.0587745793819</v>
      </c>
      <c r="H13" s="72">
        <v>37591.389770546943</v>
      </c>
      <c r="I13" s="72">
        <v>1951.8216418278244</v>
      </c>
      <c r="J13" s="72">
        <v>1372.4174288941854</v>
      </c>
      <c r="K13" s="72">
        <v>2255.453911383901</v>
      </c>
      <c r="L13" s="72">
        <v>89065.314773590682</v>
      </c>
      <c r="M13" s="72">
        <v>20.282583965975146</v>
      </c>
    </row>
    <row r="14" spans="1:13" ht="13.5" thickBot="1" x14ac:dyDescent="0.25">
      <c r="A14" s="32">
        <f t="shared" si="0"/>
        <v>6</v>
      </c>
      <c r="B14" s="21" t="s">
        <v>67</v>
      </c>
      <c r="C14" s="22">
        <f>SUM(C10:C13)</f>
        <v>146229405.62302473</v>
      </c>
      <c r="D14" s="22">
        <f t="shared" ref="D14:J14" si="1">SUM(D10:D13)</f>
        <v>113371583.48961318</v>
      </c>
      <c r="E14" s="22">
        <f t="shared" si="1"/>
        <v>15177297.782123329</v>
      </c>
      <c r="F14" s="22">
        <f t="shared" si="1"/>
        <v>2803174.126365135</v>
      </c>
      <c r="G14" s="22">
        <f t="shared" si="1"/>
        <v>1038960.9339945697</v>
      </c>
      <c r="H14" s="22">
        <f t="shared" si="1"/>
        <v>4466800.7096683877</v>
      </c>
      <c r="I14" s="22">
        <f t="shared" si="1"/>
        <v>275709.37821958744</v>
      </c>
      <c r="J14" s="22">
        <f t="shared" si="1"/>
        <v>268082.27260998369</v>
      </c>
      <c r="K14" s="22">
        <f>SUM(K10:K13)</f>
        <v>459366.50300794205</v>
      </c>
      <c r="L14" s="22">
        <f>SUM(L10:L13)</f>
        <v>8366267.4350308124</v>
      </c>
      <c r="M14" s="22">
        <f>SUM(M10:M13)</f>
        <v>2162.9923918114382</v>
      </c>
    </row>
    <row r="15" spans="1:13" ht="13.5" thickTop="1" x14ac:dyDescent="0.2">
      <c r="A15" s="74">
        <f t="shared" si="0"/>
        <v>7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x14ac:dyDescent="0.2">
      <c r="A16" s="74">
        <f t="shared" si="0"/>
        <v>8</v>
      </c>
      <c r="B16" s="14" t="s">
        <v>68</v>
      </c>
      <c r="C16" s="72">
        <v>14907349.19549147</v>
      </c>
      <c r="D16" s="72">
        <v>11082415.959966684</v>
      </c>
      <c r="E16" s="72">
        <v>-740777.5858893235</v>
      </c>
      <c r="F16" s="72">
        <v>406684.75849445042</v>
      </c>
      <c r="G16" s="72">
        <v>77159.848838404345</v>
      </c>
      <c r="H16" s="72">
        <v>1160191.1050306968</v>
      </c>
      <c r="I16" s="72">
        <v>60239.488916935145</v>
      </c>
      <c r="J16" s="72">
        <v>42357.21273172192</v>
      </c>
      <c r="K16" s="72">
        <v>69610.556613273642</v>
      </c>
      <c r="L16" s="72">
        <v>2748841.8650603024</v>
      </c>
      <c r="M16" s="72">
        <v>625.98572832760181</v>
      </c>
    </row>
    <row r="17" spans="1:13" x14ac:dyDescent="0.2">
      <c r="A17" s="74">
        <f t="shared" si="0"/>
        <v>9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3.5" thickBot="1" x14ac:dyDescent="0.25">
      <c r="A18" s="32">
        <f t="shared" si="0"/>
        <v>10</v>
      </c>
      <c r="B18" s="21" t="s">
        <v>69</v>
      </c>
      <c r="C18" s="22">
        <f>+C16+C14</f>
        <v>161136754.81851619</v>
      </c>
      <c r="D18" s="22">
        <f t="shared" ref="D18:J18" si="2">+D16+D14</f>
        <v>124453999.44957986</v>
      </c>
      <c r="E18" s="22">
        <f t="shared" si="2"/>
        <v>14436520.196234006</v>
      </c>
      <c r="F18" s="22">
        <f t="shared" si="2"/>
        <v>3209858.8848595852</v>
      </c>
      <c r="G18" s="22">
        <f t="shared" si="2"/>
        <v>1116120.7828329741</v>
      </c>
      <c r="H18" s="22">
        <f t="shared" si="2"/>
        <v>5626991.8146990845</v>
      </c>
      <c r="I18" s="22">
        <f t="shared" si="2"/>
        <v>335948.8671365226</v>
      </c>
      <c r="J18" s="22">
        <f t="shared" si="2"/>
        <v>310439.48534170561</v>
      </c>
      <c r="K18" s="22">
        <f>+K16+K14</f>
        <v>528977.05962121568</v>
      </c>
      <c r="L18" s="22">
        <f>+L16+L14</f>
        <v>11115109.300091114</v>
      </c>
      <c r="M18" s="22">
        <f>+M16+M14</f>
        <v>2788.9781201390401</v>
      </c>
    </row>
    <row r="19" spans="1:13" ht="13.5" thickTop="1" x14ac:dyDescent="0.2">
      <c r="A19" s="74">
        <f t="shared" si="0"/>
        <v>11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x14ac:dyDescent="0.2">
      <c r="A20" s="74">
        <f t="shared" si="0"/>
        <v>12</v>
      </c>
      <c r="B20" s="14" t="s">
        <v>27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x14ac:dyDescent="0.2">
      <c r="A21" s="74">
        <f t="shared" si="0"/>
        <v>13</v>
      </c>
      <c r="B21" s="14" t="s">
        <v>28</v>
      </c>
      <c r="C21" s="72">
        <v>588474503.81422961</v>
      </c>
      <c r="D21" s="72">
        <v>425611091.43339598</v>
      </c>
      <c r="E21" s="72">
        <v>55302425.457209252</v>
      </c>
      <c r="F21" s="72">
        <v>13136836.69655877</v>
      </c>
      <c r="G21" s="72">
        <v>2164990.4067870104</v>
      </c>
      <c r="H21" s="72">
        <v>22478247.10226234</v>
      </c>
      <c r="I21" s="72">
        <v>1162198.3280404571</v>
      </c>
      <c r="J21" s="72">
        <v>816335.51795632031</v>
      </c>
      <c r="K21" s="72">
        <v>1341362.0607061901</v>
      </c>
      <c r="L21" s="72">
        <v>66448931.769645274</v>
      </c>
      <c r="M21" s="72">
        <v>12085.041667982407</v>
      </c>
    </row>
    <row r="22" spans="1:13" x14ac:dyDescent="0.2">
      <c r="A22" s="74">
        <f t="shared" si="0"/>
        <v>14</v>
      </c>
      <c r="B22" s="14" t="s">
        <v>29</v>
      </c>
      <c r="C22" s="72">
        <v>-239921466.00975984</v>
      </c>
      <c r="D22" s="72">
        <v>-190741286.14523202</v>
      </c>
      <c r="E22" s="72">
        <v>-16408790.96540645</v>
      </c>
      <c r="F22" s="72">
        <v>-2994214.3514030711</v>
      </c>
      <c r="G22" s="72">
        <v>-607228.31137781637</v>
      </c>
      <c r="H22" s="72">
        <v>-4802076.9512318084</v>
      </c>
      <c r="I22" s="72">
        <v>-258667.1279737849</v>
      </c>
      <c r="J22" s="72">
        <v>-198868.64185839807</v>
      </c>
      <c r="K22" s="72">
        <v>-331116.43646142312</v>
      </c>
      <c r="L22" s="72">
        <v>-23576685.451085296</v>
      </c>
      <c r="M22" s="72">
        <v>-2531.6277297698521</v>
      </c>
    </row>
    <row r="23" spans="1:13" x14ac:dyDescent="0.2">
      <c r="A23" s="74">
        <f t="shared" si="0"/>
        <v>15</v>
      </c>
      <c r="B23" s="14" t="s">
        <v>70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</row>
    <row r="24" spans="1:13" x14ac:dyDescent="0.2">
      <c r="A24" s="74">
        <f t="shared" si="0"/>
        <v>16</v>
      </c>
      <c r="B24" s="14" t="s">
        <v>71</v>
      </c>
      <c r="C24" s="72">
        <v>7517079.8391895872</v>
      </c>
      <c r="D24" s="72">
        <v>5436688.4784517912</v>
      </c>
      <c r="E24" s="72">
        <v>706424.39862425264</v>
      </c>
      <c r="F24" s="72">
        <v>167807.86532359538</v>
      </c>
      <c r="G24" s="72">
        <v>27655.243572005336</v>
      </c>
      <c r="H24" s="72">
        <v>287133.55806843739</v>
      </c>
      <c r="I24" s="72">
        <v>14845.736840301011</v>
      </c>
      <c r="J24" s="72">
        <v>10427.740240690204</v>
      </c>
      <c r="K24" s="72">
        <v>17134.345903236201</v>
      </c>
      <c r="L24" s="72">
        <v>848808.09976258257</v>
      </c>
      <c r="M24" s="72">
        <v>154.37240269433062</v>
      </c>
    </row>
    <row r="25" spans="1:13" x14ac:dyDescent="0.2">
      <c r="A25" s="74">
        <f t="shared" si="0"/>
        <v>17</v>
      </c>
      <c r="B25" s="14" t="s">
        <v>72</v>
      </c>
      <c r="C25" s="72">
        <v>-160435613.76581854</v>
      </c>
      <c r="D25" s="72">
        <v>-94867964.108260334</v>
      </c>
      <c r="E25" s="72">
        <v>-49321549.518895872</v>
      </c>
      <c r="F25" s="72">
        <v>-4973359.8890298149</v>
      </c>
      <c r="G25" s="72">
        <v>-572820.89753232338</v>
      </c>
      <c r="H25" s="72">
        <v>-2737698.6562026865</v>
      </c>
      <c r="I25" s="72">
        <v>-127832.46293144641</v>
      </c>
      <c r="J25" s="72">
        <v>-72025.682851448088</v>
      </c>
      <c r="K25" s="72">
        <v>-113855.60514441214</v>
      </c>
      <c r="L25" s="72">
        <v>-7647014.1944340784</v>
      </c>
      <c r="M25" s="72">
        <v>-1492.7505360827149</v>
      </c>
    </row>
    <row r="26" spans="1:13" ht="13.5" thickBot="1" x14ac:dyDescent="0.25">
      <c r="A26" s="32">
        <f t="shared" si="0"/>
        <v>18</v>
      </c>
      <c r="B26" s="21" t="s">
        <v>31</v>
      </c>
      <c r="C26" s="22">
        <f>SUM(C21:C25)</f>
        <v>195634503.87784082</v>
      </c>
      <c r="D26" s="22">
        <f t="shared" ref="D26:J26" si="3">SUM(D21:D25)</f>
        <v>145438529.65835541</v>
      </c>
      <c r="E26" s="22">
        <f t="shared" si="3"/>
        <v>-9721490.6284688115</v>
      </c>
      <c r="F26" s="22">
        <f t="shared" si="3"/>
        <v>5337070.32144948</v>
      </c>
      <c r="G26" s="22">
        <f t="shared" si="3"/>
        <v>1012596.4414488759</v>
      </c>
      <c r="H26" s="22">
        <f t="shared" si="3"/>
        <v>15225605.052896282</v>
      </c>
      <c r="I26" s="22">
        <f t="shared" si="3"/>
        <v>790544.47397552675</v>
      </c>
      <c r="J26" s="22">
        <f t="shared" si="3"/>
        <v>555868.93348716432</v>
      </c>
      <c r="K26" s="22">
        <f>SUM(K21:K25)</f>
        <v>913524.36500359105</v>
      </c>
      <c r="L26" s="22">
        <f>SUM(L21:L25)</f>
        <v>36074040.223888479</v>
      </c>
      <c r="M26" s="22">
        <f>SUM(M21:M25)</f>
        <v>8215.0358048241706</v>
      </c>
    </row>
    <row r="27" spans="1:13" ht="13.5" thickTop="1" x14ac:dyDescent="0.2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5"/>
  <dimension ref="A1:U55"/>
  <sheetViews>
    <sheetView showGridLines="0" topLeftCell="A3" zoomScale="90" zoomScaleNormal="90" workbookViewId="0">
      <selection activeCell="A3" sqref="A3:O3"/>
    </sheetView>
  </sheetViews>
  <sheetFormatPr defaultColWidth="8.85546875" defaultRowHeight="12.75" x14ac:dyDescent="0.2"/>
  <cols>
    <col min="1" max="1" width="4.7109375" style="14" bestFit="1" customWidth="1"/>
    <col min="2" max="2" width="7.28515625" style="14" bestFit="1" customWidth="1"/>
    <col min="3" max="3" width="46.42578125" style="14" bestFit="1" customWidth="1"/>
    <col min="4" max="4" width="19.28515625" style="74" bestFit="1" customWidth="1"/>
    <col min="5" max="6" width="15.140625" style="14" bestFit="1" customWidth="1"/>
    <col min="7" max="10" width="13.5703125" style="14" bestFit="1" customWidth="1"/>
    <col min="11" max="12" width="12.42578125" style="14" bestFit="1" customWidth="1"/>
    <col min="13" max="13" width="14.7109375" style="14" bestFit="1" customWidth="1"/>
    <col min="14" max="14" width="12.42578125" style="14" bestFit="1" customWidth="1"/>
    <col min="15" max="15" width="12.28515625" style="14" bestFit="1" customWidth="1"/>
    <col min="16" max="16" width="8.85546875" style="14"/>
    <col min="17" max="17" width="13.5703125" style="14" bestFit="1" customWidth="1"/>
    <col min="18" max="18" width="9.85546875" style="14" bestFit="1" customWidth="1"/>
    <col min="19" max="19" width="12.42578125" style="14" bestFit="1" customWidth="1"/>
    <col min="20" max="21" width="13.5703125" style="14" bestFit="1" customWidth="1"/>
    <col min="22" max="16384" width="8.85546875" style="14"/>
  </cols>
  <sheetData>
    <row r="1" spans="1:21" x14ac:dyDescent="0.2">
      <c r="A1" s="103" t="str">
        <f>+'Customer Summary'!A1</f>
        <v>Puget Sound Energy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1" x14ac:dyDescent="0.2">
      <c r="A2" s="104" t="s">
        <v>75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21" x14ac:dyDescent="0.2">
      <c r="A3" s="103" t="str">
        <f>+'Customer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5" spans="1:21" s="33" customFormat="1" ht="51" x14ac:dyDescent="0.2">
      <c r="A5" s="18" t="s">
        <v>2</v>
      </c>
      <c r="B5" s="18" t="s">
        <v>76</v>
      </c>
      <c r="C5" s="67" t="s">
        <v>77</v>
      </c>
      <c r="D5" s="18" t="s">
        <v>78</v>
      </c>
      <c r="E5" s="18" t="s">
        <v>53</v>
      </c>
      <c r="F5" s="18" t="str">
        <f>+'Class Summary'!G6</f>
        <v>Residential
Sch 7</v>
      </c>
      <c r="G5" s="18" t="str">
        <f>+'Class Summary'!H6</f>
        <v>Sec Volt
Sch 24
(kW&lt; 50)</v>
      </c>
      <c r="H5" s="18" t="str">
        <f>+'Class Summary'!I6</f>
        <v>Sec Volt
Sch 25
(kW &gt; 50 &amp; &lt; 350)</v>
      </c>
      <c r="I5" s="18" t="str">
        <f>+'Class Summary'!J6</f>
        <v>Sec Volt
Sch 26
(kW &gt; 350)</v>
      </c>
      <c r="J5" s="18" t="str">
        <f>+'Class Summary'!K6</f>
        <v>Pri Volt
Sch 31/35/43</v>
      </c>
      <c r="K5" s="18" t="str">
        <f>+'Class Summary'!L6</f>
        <v>Special Contract</v>
      </c>
      <c r="L5" s="18" t="str">
        <f>+'Class Summary'!M6</f>
        <v>High Volt
Sch 46/49</v>
      </c>
      <c r="M5" s="18" t="str">
        <f>+'Class Summary'!N6</f>
        <v>Choice /
Retail Wheeling
Sch 448/449</v>
      </c>
      <c r="N5" s="18" t="str">
        <f>+'Class Summary'!O6</f>
        <v>Lighting
Sch 50-59</v>
      </c>
      <c r="O5" s="18" t="str">
        <f>+'Class Summary'!P6</f>
        <v>Firm Resale</v>
      </c>
      <c r="Q5" s="19" t="s">
        <v>79</v>
      </c>
      <c r="R5" s="19" t="s">
        <v>80</v>
      </c>
      <c r="S5" s="19" t="s">
        <v>81</v>
      </c>
      <c r="T5" s="19" t="s">
        <v>82</v>
      </c>
      <c r="U5" s="19" t="s">
        <v>83</v>
      </c>
    </row>
    <row r="6" spans="1:21" s="33" customFormat="1" x14ac:dyDescent="0.2">
      <c r="B6" s="33" t="s">
        <v>15</v>
      </c>
      <c r="C6" s="33" t="s">
        <v>16</v>
      </c>
      <c r="D6" s="33" t="s">
        <v>17</v>
      </c>
      <c r="E6" s="33" t="s">
        <v>18</v>
      </c>
      <c r="F6" s="33" t="s">
        <v>19</v>
      </c>
      <c r="G6" s="33" t="s">
        <v>63</v>
      </c>
      <c r="H6" s="33" t="s">
        <v>20</v>
      </c>
      <c r="I6" s="33" t="s">
        <v>21</v>
      </c>
      <c r="J6" s="33" t="s">
        <v>64</v>
      </c>
      <c r="K6" s="33" t="s">
        <v>65</v>
      </c>
      <c r="L6" s="33" t="s">
        <v>22</v>
      </c>
      <c r="M6" s="33" t="s">
        <v>23</v>
      </c>
      <c r="N6" s="33" t="s">
        <v>24</v>
      </c>
      <c r="O6" s="33" t="s">
        <v>25</v>
      </c>
    </row>
    <row r="7" spans="1:21" x14ac:dyDescent="0.2">
      <c r="A7" s="4">
        <v>1</v>
      </c>
      <c r="B7" s="1"/>
      <c r="C7" s="17" t="s">
        <v>223</v>
      </c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1" x14ac:dyDescent="0.2">
      <c r="A8" s="4">
        <f t="shared" ref="A8:A50" si="0">+A7+1</f>
        <v>2</v>
      </c>
      <c r="B8" s="7">
        <v>447</v>
      </c>
      <c r="C8" s="1" t="s">
        <v>224</v>
      </c>
      <c r="D8" s="4" t="s">
        <v>225</v>
      </c>
      <c r="E8" s="100">
        <v>1981067118.0012321</v>
      </c>
      <c r="F8" s="100">
        <v>1105896513.2900393</v>
      </c>
      <c r="G8" s="100">
        <v>263390391.2140398</v>
      </c>
      <c r="H8" s="100">
        <v>270703257.2199825</v>
      </c>
      <c r="I8" s="100">
        <v>160280839.13024956</v>
      </c>
      <c r="J8" s="100">
        <v>124210379.10093749</v>
      </c>
      <c r="K8" s="100">
        <v>0</v>
      </c>
      <c r="L8" s="100">
        <v>40128244.032609545</v>
      </c>
      <c r="M8" s="100">
        <v>0</v>
      </c>
      <c r="N8" s="100">
        <v>16457494.013373908</v>
      </c>
      <c r="O8" s="100">
        <v>0</v>
      </c>
      <c r="Q8" s="72">
        <v>113255219.09203497</v>
      </c>
      <c r="R8" s="72">
        <v>268014.00021779712</v>
      </c>
      <c r="S8" s="72">
        <v>10687146.00868473</v>
      </c>
      <c r="T8" s="72">
        <f>SUM(Q8:S8)</f>
        <v>124210379.10093749</v>
      </c>
      <c r="U8" s="72">
        <f>SUM(Q8:R8)</f>
        <v>113523233.09225276</v>
      </c>
    </row>
    <row r="9" spans="1:21" x14ac:dyDescent="0.2">
      <c r="A9" s="4">
        <f t="shared" si="0"/>
        <v>3</v>
      </c>
      <c r="B9" s="7">
        <v>447.01</v>
      </c>
      <c r="C9" s="1" t="s">
        <v>226</v>
      </c>
      <c r="D9" s="4" t="s">
        <v>227</v>
      </c>
      <c r="E9" s="100">
        <v>10114352.780000001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10114352.780000001</v>
      </c>
      <c r="N9" s="100">
        <v>0</v>
      </c>
      <c r="O9" s="100">
        <v>0</v>
      </c>
      <c r="Q9" s="72">
        <v>0</v>
      </c>
      <c r="R9" s="72">
        <v>0</v>
      </c>
      <c r="S9" s="72">
        <v>0</v>
      </c>
      <c r="T9" s="72">
        <f>SUM(Q9:S9)</f>
        <v>0</v>
      </c>
      <c r="U9" s="72">
        <f>SUM(Q9:R9)</f>
        <v>0</v>
      </c>
    </row>
    <row r="10" spans="1:21" x14ac:dyDescent="0.2">
      <c r="A10" s="4">
        <f t="shared" si="0"/>
        <v>4</v>
      </c>
      <c r="B10" s="7">
        <v>447.02</v>
      </c>
      <c r="C10" s="1" t="s">
        <v>228</v>
      </c>
      <c r="D10" s="4" t="s">
        <v>229</v>
      </c>
      <c r="E10" s="100">
        <v>5493553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>
        <v>5493553</v>
      </c>
      <c r="L10" s="100">
        <v>0</v>
      </c>
      <c r="M10" s="100">
        <v>0</v>
      </c>
      <c r="N10" s="100">
        <v>0</v>
      </c>
      <c r="O10" s="100">
        <v>0</v>
      </c>
      <c r="Q10" s="72">
        <v>0</v>
      </c>
      <c r="R10" s="72">
        <v>0</v>
      </c>
      <c r="S10" s="72">
        <v>0</v>
      </c>
      <c r="T10" s="72">
        <f>SUM(Q10:S10)</f>
        <v>0</v>
      </c>
      <c r="U10" s="72">
        <f>SUM(Q10:R10)</f>
        <v>0</v>
      </c>
    </row>
    <row r="11" spans="1:21" x14ac:dyDescent="0.2">
      <c r="A11" s="4">
        <f t="shared" si="0"/>
        <v>5</v>
      </c>
      <c r="B11" s="7">
        <v>447.03</v>
      </c>
      <c r="C11" s="1" t="s">
        <v>610</v>
      </c>
      <c r="D11" s="4" t="s">
        <v>611</v>
      </c>
      <c r="E11" s="100">
        <v>327360.16000000003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327360.16000000003</v>
      </c>
      <c r="Q11" s="28">
        <f>SUM(Q8:Q10)</f>
        <v>113255219.09203497</v>
      </c>
      <c r="R11" s="28">
        <f>SUM(R8:R10)</f>
        <v>268014.00021779712</v>
      </c>
      <c r="S11" s="28">
        <f>SUM(S8:S10)</f>
        <v>10687146.00868473</v>
      </c>
      <c r="T11" s="28">
        <f>SUM(T8:T10)</f>
        <v>124210379.10093749</v>
      </c>
      <c r="U11" s="28">
        <f>SUM(U8:U10)</f>
        <v>113523233.09225276</v>
      </c>
    </row>
    <row r="12" spans="1:21" x14ac:dyDescent="0.2">
      <c r="A12" s="5">
        <f>+A11+1</f>
        <v>6</v>
      </c>
      <c r="B12" s="8"/>
      <c r="C12" s="3" t="s">
        <v>84</v>
      </c>
      <c r="D12" s="5"/>
      <c r="E12" s="101">
        <f t="shared" ref="E12:L12" si="1">SUM(E8:E11)</f>
        <v>1997002383.9412322</v>
      </c>
      <c r="F12" s="101">
        <f t="shared" si="1"/>
        <v>1105896513.2900393</v>
      </c>
      <c r="G12" s="101">
        <f t="shared" si="1"/>
        <v>263390391.2140398</v>
      </c>
      <c r="H12" s="101">
        <f t="shared" si="1"/>
        <v>270703257.2199825</v>
      </c>
      <c r="I12" s="101">
        <f t="shared" si="1"/>
        <v>160280839.13024956</v>
      </c>
      <c r="J12" s="101">
        <f t="shared" si="1"/>
        <v>124210379.10093749</v>
      </c>
      <c r="K12" s="101">
        <f t="shared" si="1"/>
        <v>5493553</v>
      </c>
      <c r="L12" s="101">
        <f t="shared" si="1"/>
        <v>40128244.032609545</v>
      </c>
      <c r="M12" s="101">
        <f>SUM(M8:M11)</f>
        <v>10114352.780000001</v>
      </c>
      <c r="N12" s="101">
        <f>SUM(N8:N11)</f>
        <v>16457494.013373908</v>
      </c>
      <c r="O12" s="101">
        <f>SUM(O8:O11)</f>
        <v>327360.16000000003</v>
      </c>
      <c r="Q12" s="72"/>
    </row>
    <row r="13" spans="1:21" x14ac:dyDescent="0.2">
      <c r="A13" s="4">
        <f t="shared" si="0"/>
        <v>7</v>
      </c>
      <c r="B13" s="7"/>
      <c r="C13" s="1"/>
      <c r="D13" s="4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Q13" s="72"/>
    </row>
    <row r="14" spans="1:21" x14ac:dyDescent="0.2">
      <c r="A14" s="4">
        <f t="shared" si="0"/>
        <v>8</v>
      </c>
      <c r="B14" s="7"/>
      <c r="C14" s="17" t="s">
        <v>230</v>
      </c>
      <c r="D14" s="4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Q14" s="72">
        <v>353530.71012916719</v>
      </c>
      <c r="R14" s="72">
        <v>1017.0452463412468</v>
      </c>
      <c r="S14" s="72">
        <v>28039.979511848549</v>
      </c>
      <c r="T14" s="72">
        <f>SUM(Q14:S14)</f>
        <v>382587.73488735699</v>
      </c>
      <c r="U14" s="72">
        <f>SUM(Q14:R14)</f>
        <v>354547.75537550845</v>
      </c>
    </row>
    <row r="15" spans="1:21" x14ac:dyDescent="0.2">
      <c r="A15" s="4">
        <f t="shared" si="0"/>
        <v>9</v>
      </c>
      <c r="B15" s="7">
        <v>447.07</v>
      </c>
      <c r="C15" s="1" t="s">
        <v>231</v>
      </c>
      <c r="D15" s="4" t="s">
        <v>232</v>
      </c>
      <c r="E15" s="100">
        <v>5469488.0226491988</v>
      </c>
      <c r="F15" s="100">
        <v>2882952.4314700766</v>
      </c>
      <c r="G15" s="100">
        <v>724358.04342279385</v>
      </c>
      <c r="H15" s="100">
        <v>802202.61397954705</v>
      </c>
      <c r="I15" s="100">
        <v>507443.61591371102</v>
      </c>
      <c r="J15" s="100">
        <v>382587.73488735699</v>
      </c>
      <c r="K15" s="100">
        <v>0</v>
      </c>
      <c r="L15" s="100">
        <v>150061.00554546661</v>
      </c>
      <c r="M15" s="100">
        <v>0</v>
      </c>
      <c r="N15" s="100">
        <v>18019.763521166911</v>
      </c>
      <c r="O15" s="100">
        <v>1862.8139090817253</v>
      </c>
      <c r="Q15" s="72"/>
      <c r="R15" s="72"/>
      <c r="S15" s="72"/>
      <c r="T15" s="72"/>
      <c r="U15" s="72"/>
    </row>
    <row r="16" spans="1:21" x14ac:dyDescent="0.2">
      <c r="A16" s="4">
        <f t="shared" si="0"/>
        <v>10</v>
      </c>
      <c r="B16" s="7">
        <v>449.01</v>
      </c>
      <c r="C16" s="1" t="s">
        <v>233</v>
      </c>
      <c r="D16" s="4" t="s">
        <v>234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Q16" s="28">
        <f>+Q14</f>
        <v>353530.71012916719</v>
      </c>
      <c r="R16" s="28">
        <f>+R14</f>
        <v>1017.0452463412468</v>
      </c>
      <c r="S16" s="28">
        <f>+S14</f>
        <v>28039.979511848549</v>
      </c>
      <c r="T16" s="28">
        <f>+T14</f>
        <v>382587.73488735699</v>
      </c>
      <c r="U16" s="28">
        <f>+U14</f>
        <v>354547.75537550845</v>
      </c>
    </row>
    <row r="17" spans="1:21" x14ac:dyDescent="0.2">
      <c r="A17" s="5">
        <f>+A16+1</f>
        <v>11</v>
      </c>
      <c r="B17" s="8"/>
      <c r="C17" s="3" t="s">
        <v>235</v>
      </c>
      <c r="D17" s="5"/>
      <c r="E17" s="101">
        <f>SUM(E15:E16)</f>
        <v>5469488.0226491988</v>
      </c>
      <c r="F17" s="101">
        <f t="shared" ref="F17:O17" si="2">SUM(F15:F16)</f>
        <v>2882952.4314700766</v>
      </c>
      <c r="G17" s="101">
        <f t="shared" si="2"/>
        <v>724358.04342279385</v>
      </c>
      <c r="H17" s="101">
        <f t="shared" si="2"/>
        <v>802202.61397954705</v>
      </c>
      <c r="I17" s="101">
        <f t="shared" si="2"/>
        <v>507443.61591371102</v>
      </c>
      <c r="J17" s="101">
        <f t="shared" si="2"/>
        <v>382587.73488735699</v>
      </c>
      <c r="K17" s="101">
        <f t="shared" si="2"/>
        <v>0</v>
      </c>
      <c r="L17" s="101">
        <f t="shared" si="2"/>
        <v>150061.00554546661</v>
      </c>
      <c r="M17" s="101">
        <f t="shared" si="2"/>
        <v>0</v>
      </c>
      <c r="N17" s="101">
        <f t="shared" si="2"/>
        <v>18019.763521166911</v>
      </c>
      <c r="O17" s="101">
        <f t="shared" si="2"/>
        <v>1862.8139090817253</v>
      </c>
      <c r="Q17" s="72"/>
      <c r="R17" s="72"/>
      <c r="S17" s="72"/>
      <c r="T17" s="72"/>
      <c r="U17" s="72"/>
    </row>
    <row r="18" spans="1:21" x14ac:dyDescent="0.2">
      <c r="A18" s="4">
        <f t="shared" si="0"/>
        <v>12</v>
      </c>
      <c r="B18" s="7"/>
      <c r="C18" s="1"/>
      <c r="D18" s="4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Q18" s="72"/>
      <c r="R18" s="72"/>
      <c r="S18" s="72"/>
      <c r="T18" s="72"/>
      <c r="U18" s="72"/>
    </row>
    <row r="19" spans="1:21" x14ac:dyDescent="0.2">
      <c r="A19" s="4">
        <f t="shared" si="0"/>
        <v>13</v>
      </c>
      <c r="B19" s="7"/>
      <c r="C19" s="17" t="s">
        <v>236</v>
      </c>
      <c r="D19" s="4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Q19" s="72">
        <v>20156.079805606169</v>
      </c>
      <c r="R19" s="72">
        <v>0</v>
      </c>
      <c r="S19" s="72">
        <v>143.12822117685513</v>
      </c>
      <c r="T19" s="72">
        <f t="shared" ref="T19:T47" si="3">SUM(Q19:S19)</f>
        <v>20299.208026783024</v>
      </c>
      <c r="U19" s="72">
        <f t="shared" ref="U19:U47" si="4">SUM(Q19:R19)</f>
        <v>20156.079805606169</v>
      </c>
    </row>
    <row r="20" spans="1:21" x14ac:dyDescent="0.2">
      <c r="A20" s="4">
        <f t="shared" si="0"/>
        <v>14</v>
      </c>
      <c r="B20" s="7">
        <v>450.01</v>
      </c>
      <c r="C20" s="1" t="s">
        <v>237</v>
      </c>
      <c r="D20" s="4" t="s">
        <v>238</v>
      </c>
      <c r="E20" s="100">
        <v>2151272.19</v>
      </c>
      <c r="F20" s="100">
        <v>1682000.0314221452</v>
      </c>
      <c r="G20" s="100">
        <v>246772.06005798699</v>
      </c>
      <c r="H20" s="100">
        <v>90978.809853960847</v>
      </c>
      <c r="I20" s="100">
        <v>23981.165497099108</v>
      </c>
      <c r="J20" s="100">
        <v>20299.208026783024</v>
      </c>
      <c r="K20" s="100">
        <v>0</v>
      </c>
      <c r="L20" s="100">
        <v>2769.0559110449281</v>
      </c>
      <c r="M20" s="100">
        <v>1992.4596373803079</v>
      </c>
      <c r="N20" s="100">
        <v>82443.94920878431</v>
      </c>
      <c r="O20" s="100">
        <v>35.45038481510101</v>
      </c>
      <c r="Q20" s="72">
        <v>0</v>
      </c>
      <c r="R20" s="72">
        <v>0</v>
      </c>
      <c r="S20" s="72">
        <v>0</v>
      </c>
      <c r="T20" s="72">
        <f t="shared" si="3"/>
        <v>0</v>
      </c>
      <c r="U20" s="72">
        <f t="shared" si="4"/>
        <v>0</v>
      </c>
    </row>
    <row r="21" spans="1:21" x14ac:dyDescent="0.2">
      <c r="A21" s="4">
        <f t="shared" si="0"/>
        <v>15</v>
      </c>
      <c r="B21" s="7">
        <v>450.02</v>
      </c>
      <c r="C21" s="1" t="s">
        <v>239</v>
      </c>
      <c r="D21" s="4" t="s">
        <v>240</v>
      </c>
      <c r="E21" s="100">
        <v>300105</v>
      </c>
      <c r="F21" s="100">
        <v>282133.59501320246</v>
      </c>
      <c r="G21" s="100">
        <v>17480.221151217647</v>
      </c>
      <c r="H21" s="100">
        <v>375.26239800345462</v>
      </c>
      <c r="I21" s="100">
        <v>25.521719781163704</v>
      </c>
      <c r="J21" s="100">
        <v>0</v>
      </c>
      <c r="K21" s="100">
        <v>0</v>
      </c>
      <c r="L21" s="100">
        <v>0</v>
      </c>
      <c r="M21" s="100">
        <v>0</v>
      </c>
      <c r="N21" s="100">
        <v>90.399717795231368</v>
      </c>
      <c r="O21" s="100">
        <v>0</v>
      </c>
      <c r="Q21" s="72">
        <v>0</v>
      </c>
      <c r="R21" s="72">
        <v>0</v>
      </c>
      <c r="S21" s="72">
        <v>0</v>
      </c>
      <c r="T21" s="72">
        <f t="shared" si="3"/>
        <v>0</v>
      </c>
      <c r="U21" s="72">
        <f t="shared" si="4"/>
        <v>0</v>
      </c>
    </row>
    <row r="22" spans="1:21" x14ac:dyDescent="0.2">
      <c r="A22" s="4">
        <f t="shared" si="0"/>
        <v>16</v>
      </c>
      <c r="B22" s="7">
        <v>451.01</v>
      </c>
      <c r="C22" s="1" t="s">
        <v>241</v>
      </c>
      <c r="D22" s="4" t="s">
        <v>242</v>
      </c>
      <c r="E22" s="100">
        <v>1314247.8600000001</v>
      </c>
      <c r="F22" s="100">
        <v>1163836.3305712002</v>
      </c>
      <c r="G22" s="100">
        <v>140039.67072588278</v>
      </c>
      <c r="H22" s="100">
        <v>9402.1601655134709</v>
      </c>
      <c r="I22" s="100">
        <v>969.69853740352073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Q22" s="72">
        <v>0</v>
      </c>
      <c r="R22" s="72">
        <v>0</v>
      </c>
      <c r="S22" s="72">
        <v>0</v>
      </c>
      <c r="T22" s="72">
        <f t="shared" si="3"/>
        <v>0</v>
      </c>
      <c r="U22" s="72">
        <f t="shared" si="4"/>
        <v>0</v>
      </c>
    </row>
    <row r="23" spans="1:21" x14ac:dyDescent="0.2">
      <c r="A23" s="4">
        <f t="shared" si="0"/>
        <v>17</v>
      </c>
      <c r="B23" s="7">
        <v>451.02</v>
      </c>
      <c r="C23" s="1" t="s">
        <v>243</v>
      </c>
      <c r="D23" s="4" t="s">
        <v>244</v>
      </c>
      <c r="E23" s="100">
        <v>1460925</v>
      </c>
      <c r="F23" s="100">
        <v>1427015.4038714194</v>
      </c>
      <c r="G23" s="100">
        <v>33196.437261315725</v>
      </c>
      <c r="H23" s="100">
        <v>713.15886726491715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Q23" s="72">
        <v>0</v>
      </c>
      <c r="R23" s="72">
        <v>0</v>
      </c>
      <c r="S23" s="72">
        <v>0</v>
      </c>
      <c r="T23" s="72">
        <f t="shared" si="3"/>
        <v>0</v>
      </c>
      <c r="U23" s="72">
        <f t="shared" si="4"/>
        <v>0</v>
      </c>
    </row>
    <row r="24" spans="1:21" x14ac:dyDescent="0.2">
      <c r="A24" s="4">
        <f t="shared" si="0"/>
        <v>18</v>
      </c>
      <c r="B24" s="7">
        <v>451.03</v>
      </c>
      <c r="C24" s="1" t="s">
        <v>245</v>
      </c>
      <c r="D24" s="4" t="s">
        <v>242</v>
      </c>
      <c r="E24" s="100">
        <v>1019248.82</v>
      </c>
      <c r="F24" s="100">
        <v>902599.00184111821</v>
      </c>
      <c r="G24" s="100">
        <v>108606.05026250113</v>
      </c>
      <c r="H24" s="100">
        <v>7291.7300806185904</v>
      </c>
      <c r="I24" s="100">
        <v>752.03781576198594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Q24" s="72">
        <v>0</v>
      </c>
      <c r="R24" s="72">
        <v>0</v>
      </c>
      <c r="S24" s="72">
        <v>0</v>
      </c>
      <c r="T24" s="72">
        <f t="shared" si="3"/>
        <v>0</v>
      </c>
      <c r="U24" s="72">
        <f t="shared" si="4"/>
        <v>0</v>
      </c>
    </row>
    <row r="25" spans="1:21" x14ac:dyDescent="0.2">
      <c r="A25" s="4">
        <f t="shared" si="0"/>
        <v>19</v>
      </c>
      <c r="B25" s="7">
        <v>451.04</v>
      </c>
      <c r="C25" s="1" t="s">
        <v>246</v>
      </c>
      <c r="D25" s="4" t="s">
        <v>242</v>
      </c>
      <c r="E25" s="100">
        <v>1400595.91</v>
      </c>
      <c r="F25" s="100">
        <v>1240302.1181312259</v>
      </c>
      <c r="G25" s="100">
        <v>149240.48653685319</v>
      </c>
      <c r="H25" s="100">
        <v>10019.896150322124</v>
      </c>
      <c r="I25" s="100">
        <v>1033.4091815986317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Q25" s="72">
        <v>116.58173849707869</v>
      </c>
      <c r="R25" s="72">
        <v>0</v>
      </c>
      <c r="S25" s="72">
        <v>0</v>
      </c>
      <c r="T25" s="72">
        <f t="shared" si="3"/>
        <v>116.58173849707869</v>
      </c>
      <c r="U25" s="72">
        <f t="shared" si="4"/>
        <v>116.58173849707869</v>
      </c>
    </row>
    <row r="26" spans="1:21" x14ac:dyDescent="0.2">
      <c r="A26" s="4">
        <f t="shared" si="0"/>
        <v>20</v>
      </c>
      <c r="B26" s="7">
        <v>451.05</v>
      </c>
      <c r="C26" s="1" t="s">
        <v>247</v>
      </c>
      <c r="D26" s="4" t="s">
        <v>248</v>
      </c>
      <c r="E26" s="100">
        <v>1397401.6500000001</v>
      </c>
      <c r="F26" s="100">
        <v>1278832.2590385026</v>
      </c>
      <c r="G26" s="100">
        <v>114731.54108620971</v>
      </c>
      <c r="H26" s="100">
        <v>3468.8857686581096</v>
      </c>
      <c r="I26" s="100">
        <v>250.97610780520577</v>
      </c>
      <c r="J26" s="100">
        <v>116.58173849707869</v>
      </c>
      <c r="K26" s="100">
        <v>0</v>
      </c>
      <c r="L26" s="100">
        <v>1.4062603271880352</v>
      </c>
      <c r="M26" s="100">
        <v>0</v>
      </c>
      <c r="N26" s="100">
        <v>0</v>
      </c>
      <c r="O26" s="100">
        <v>0</v>
      </c>
      <c r="Q26" s="72">
        <v>0</v>
      </c>
      <c r="R26" s="72">
        <v>0</v>
      </c>
      <c r="S26" s="72">
        <v>0</v>
      </c>
      <c r="T26" s="72">
        <f t="shared" si="3"/>
        <v>0</v>
      </c>
      <c r="U26" s="72">
        <f t="shared" si="4"/>
        <v>0</v>
      </c>
    </row>
    <row r="27" spans="1:21" x14ac:dyDescent="0.2">
      <c r="A27" s="4">
        <f t="shared" si="0"/>
        <v>21</v>
      </c>
      <c r="B27" s="7">
        <v>451.06</v>
      </c>
      <c r="C27" s="1" t="s">
        <v>249</v>
      </c>
      <c r="D27" s="4" t="s">
        <v>250</v>
      </c>
      <c r="E27" s="100">
        <v>181120</v>
      </c>
      <c r="F27" s="100">
        <v>118842.15861422563</v>
      </c>
      <c r="G27" s="100">
        <v>45107.426253109639</v>
      </c>
      <c r="H27" s="100">
        <v>16734.210831967026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436.20430069769515</v>
      </c>
      <c r="O27" s="100">
        <v>0</v>
      </c>
      <c r="Q27" s="72">
        <v>0</v>
      </c>
      <c r="R27" s="72">
        <v>0</v>
      </c>
      <c r="S27" s="72">
        <v>0</v>
      </c>
      <c r="T27" s="72">
        <f t="shared" si="3"/>
        <v>0</v>
      </c>
      <c r="U27" s="72">
        <f t="shared" si="4"/>
        <v>0</v>
      </c>
    </row>
    <row r="28" spans="1:21" x14ac:dyDescent="0.2">
      <c r="A28" s="4">
        <f t="shared" si="0"/>
        <v>22</v>
      </c>
      <c r="B28" s="7">
        <v>451.07</v>
      </c>
      <c r="C28" s="1" t="s">
        <v>251</v>
      </c>
      <c r="D28" s="4" t="s">
        <v>252</v>
      </c>
      <c r="E28" s="100">
        <v>4847787.22</v>
      </c>
      <c r="F28" s="100">
        <v>2078045.791041679</v>
      </c>
      <c r="G28" s="100">
        <v>2578749.6422657338</v>
      </c>
      <c r="H28" s="100">
        <v>173135.3482742928</v>
      </c>
      <c r="I28" s="100">
        <v>17856.438418294281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Q28" s="72">
        <v>0</v>
      </c>
      <c r="R28" s="72">
        <v>0</v>
      </c>
      <c r="S28" s="72">
        <v>0</v>
      </c>
      <c r="T28" s="72">
        <f t="shared" si="3"/>
        <v>0</v>
      </c>
      <c r="U28" s="72">
        <f t="shared" si="4"/>
        <v>0</v>
      </c>
    </row>
    <row r="29" spans="1:21" x14ac:dyDescent="0.2">
      <c r="A29" s="4">
        <f t="shared" si="0"/>
        <v>23</v>
      </c>
      <c r="B29" s="7">
        <v>451.08</v>
      </c>
      <c r="C29" s="1" t="s">
        <v>253</v>
      </c>
      <c r="D29" s="4" t="s">
        <v>242</v>
      </c>
      <c r="E29" s="100">
        <v>616489.76</v>
      </c>
      <c r="F29" s="100">
        <v>545934.44809803215</v>
      </c>
      <c r="G29" s="100">
        <v>65690.061687662543</v>
      </c>
      <c r="H29" s="100">
        <v>4410.382272883412</v>
      </c>
      <c r="I29" s="100">
        <v>454.86794142183157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Q29" s="72">
        <v>4134.2383511972548</v>
      </c>
      <c r="R29" s="72">
        <v>11.893471604745724</v>
      </c>
      <c r="S29" s="72">
        <v>327.90350411797374</v>
      </c>
      <c r="T29" s="72">
        <f t="shared" si="3"/>
        <v>4474.035326919975</v>
      </c>
      <c r="U29" s="72">
        <f t="shared" si="4"/>
        <v>4146.1318228020009</v>
      </c>
    </row>
    <row r="30" spans="1:21" x14ac:dyDescent="0.2">
      <c r="A30" s="4">
        <f t="shared" si="0"/>
        <v>24</v>
      </c>
      <c r="B30" s="7">
        <v>454.01</v>
      </c>
      <c r="C30" s="1" t="s">
        <v>254</v>
      </c>
      <c r="D30" s="4" t="s">
        <v>255</v>
      </c>
      <c r="E30" s="100">
        <v>63960.97</v>
      </c>
      <c r="F30" s="100">
        <v>33713.655321503094</v>
      </c>
      <c r="G30" s="100">
        <v>8470.7458710519895</v>
      </c>
      <c r="H30" s="100">
        <v>9381.071338705493</v>
      </c>
      <c r="I30" s="100">
        <v>5934.1177382134083</v>
      </c>
      <c r="J30" s="100">
        <v>4474.035326919975</v>
      </c>
      <c r="K30" s="100">
        <v>0</v>
      </c>
      <c r="L30" s="100">
        <v>1754.8347183717788</v>
      </c>
      <c r="M30" s="100">
        <v>0</v>
      </c>
      <c r="N30" s="100">
        <v>210.72567472708292</v>
      </c>
      <c r="O30" s="100">
        <v>21.784010507193464</v>
      </c>
      <c r="Q30" s="72">
        <v>336004.48143824824</v>
      </c>
      <c r="R30" s="72">
        <v>966.62539011467993</v>
      </c>
      <c r="S30" s="72">
        <v>26649.90199005762</v>
      </c>
      <c r="T30" s="72">
        <f t="shared" si="3"/>
        <v>363621.00881842052</v>
      </c>
      <c r="U30" s="72">
        <f t="shared" si="4"/>
        <v>336971.10682836291</v>
      </c>
    </row>
    <row r="31" spans="1:21" x14ac:dyDescent="0.2">
      <c r="A31" s="4">
        <f t="shared" si="0"/>
        <v>25</v>
      </c>
      <c r="B31" s="7">
        <v>454.02</v>
      </c>
      <c r="C31" s="1" t="s">
        <v>256</v>
      </c>
      <c r="D31" s="4" t="s">
        <v>232</v>
      </c>
      <c r="E31" s="100">
        <v>5198339.0243848944</v>
      </c>
      <c r="F31" s="100">
        <v>2740030.5234962977</v>
      </c>
      <c r="G31" s="100">
        <v>688448.1087003022</v>
      </c>
      <c r="H31" s="100">
        <v>762433.54706051841</v>
      </c>
      <c r="I31" s="100">
        <v>482287.17941346701</v>
      </c>
      <c r="J31" s="100">
        <v>363621.00881842052</v>
      </c>
      <c r="K31" s="100">
        <v>0</v>
      </c>
      <c r="L31" s="100">
        <v>142621.75507747135</v>
      </c>
      <c r="M31" s="100">
        <v>0</v>
      </c>
      <c r="N31" s="100">
        <v>17126.436612415866</v>
      </c>
      <c r="O31" s="100">
        <v>1770.4652060022599</v>
      </c>
      <c r="Q31" s="72">
        <v>262831.01905233646</v>
      </c>
      <c r="R31" s="72">
        <v>6583.1553037601734</v>
      </c>
      <c r="S31" s="72">
        <v>70827.177526959567</v>
      </c>
      <c r="T31" s="72">
        <f t="shared" si="3"/>
        <v>340241.35188305622</v>
      </c>
      <c r="U31" s="72">
        <f t="shared" si="4"/>
        <v>269414.17435609666</v>
      </c>
    </row>
    <row r="32" spans="1:21" x14ac:dyDescent="0.2">
      <c r="A32" s="4">
        <f t="shared" si="0"/>
        <v>26</v>
      </c>
      <c r="B32" s="7">
        <v>454.03</v>
      </c>
      <c r="C32" s="1" t="s">
        <v>257</v>
      </c>
      <c r="D32" s="4" t="s">
        <v>258</v>
      </c>
      <c r="E32" s="100">
        <v>7250767.7256151056</v>
      </c>
      <c r="F32" s="100">
        <v>4996898.8833602183</v>
      </c>
      <c r="G32" s="100">
        <v>913019.55681884452</v>
      </c>
      <c r="H32" s="100">
        <v>709808.33032390254</v>
      </c>
      <c r="I32" s="100">
        <v>280789.0511088327</v>
      </c>
      <c r="J32" s="100">
        <v>340241.35188305622</v>
      </c>
      <c r="K32" s="100">
        <v>616.4477597962067</v>
      </c>
      <c r="L32" s="100">
        <v>0</v>
      </c>
      <c r="M32" s="100">
        <v>0</v>
      </c>
      <c r="N32" s="100">
        <v>4391.1976196541864</v>
      </c>
      <c r="O32" s="100">
        <v>5002.9067408000437</v>
      </c>
      <c r="Q32" s="72">
        <v>63073.826767652114</v>
      </c>
      <c r="R32" s="72">
        <v>335.2849399010268</v>
      </c>
      <c r="S32" s="72">
        <v>8034.1418229241408</v>
      </c>
      <c r="T32" s="72">
        <f t="shared" si="3"/>
        <v>71443.25353047729</v>
      </c>
      <c r="U32" s="72">
        <f t="shared" si="4"/>
        <v>63409.111707553144</v>
      </c>
    </row>
    <row r="33" spans="1:21" x14ac:dyDescent="0.2">
      <c r="A33" s="4">
        <f t="shared" si="0"/>
        <v>27</v>
      </c>
      <c r="B33" s="7">
        <v>454.04</v>
      </c>
      <c r="C33" s="1" t="s">
        <v>259</v>
      </c>
      <c r="D33" s="4" t="s">
        <v>260</v>
      </c>
      <c r="E33" s="100">
        <v>1222583.4099999999</v>
      </c>
      <c r="F33" s="100">
        <v>707064.6030353714</v>
      </c>
      <c r="G33" s="100">
        <v>152847.40176498299</v>
      </c>
      <c r="H33" s="100">
        <v>150276.49738370499</v>
      </c>
      <c r="I33" s="100">
        <v>85108.767888225731</v>
      </c>
      <c r="J33" s="100">
        <v>71443.25353047729</v>
      </c>
      <c r="K33" s="100">
        <v>8321.1084761817456</v>
      </c>
      <c r="L33" s="100">
        <v>21451.386623686129</v>
      </c>
      <c r="M33" s="100">
        <v>13459.28255557533</v>
      </c>
      <c r="N33" s="100">
        <v>12216.993161543332</v>
      </c>
      <c r="O33" s="100">
        <v>394.11558025135065</v>
      </c>
      <c r="Q33" s="72">
        <v>468375.93387140846</v>
      </c>
      <c r="R33" s="72">
        <v>0</v>
      </c>
      <c r="S33" s="72">
        <v>12923.534641993068</v>
      </c>
      <c r="T33" s="72">
        <f t="shared" si="3"/>
        <v>481299.46851340152</v>
      </c>
      <c r="U33" s="72">
        <f t="shared" si="4"/>
        <v>468375.93387140846</v>
      </c>
    </row>
    <row r="34" spans="1:21" x14ac:dyDescent="0.2">
      <c r="A34" s="4">
        <f t="shared" si="0"/>
        <v>28</v>
      </c>
      <c r="B34" s="7">
        <v>454.05</v>
      </c>
      <c r="C34" s="1" t="s">
        <v>261</v>
      </c>
      <c r="D34" s="4" t="s">
        <v>262</v>
      </c>
      <c r="E34" s="100">
        <v>4617136.54</v>
      </c>
      <c r="F34" s="100">
        <v>0</v>
      </c>
      <c r="G34" s="100">
        <v>0</v>
      </c>
      <c r="H34" s="100">
        <v>0</v>
      </c>
      <c r="I34" s="100">
        <v>0</v>
      </c>
      <c r="J34" s="100">
        <v>481299.46851340152</v>
      </c>
      <c r="K34" s="100">
        <v>81219.139100116154</v>
      </c>
      <c r="L34" s="100">
        <v>2993777.697343145</v>
      </c>
      <c r="M34" s="100">
        <v>1057271.7356903262</v>
      </c>
      <c r="N34" s="100">
        <v>0</v>
      </c>
      <c r="O34" s="100">
        <v>3568.4993530114925</v>
      </c>
      <c r="Q34" s="72">
        <v>1304292.6655732496</v>
      </c>
      <c r="R34" s="72">
        <v>3752.2190218619576</v>
      </c>
      <c r="S34" s="72">
        <v>103448.83364380439</v>
      </c>
      <c r="T34" s="72">
        <f t="shared" si="3"/>
        <v>1411493.7182389158</v>
      </c>
      <c r="U34" s="72">
        <f t="shared" si="4"/>
        <v>1308044.8845951115</v>
      </c>
    </row>
    <row r="35" spans="1:21" x14ac:dyDescent="0.2">
      <c r="A35" s="4">
        <f t="shared" si="0"/>
        <v>29</v>
      </c>
      <c r="B35" s="7">
        <v>456.01</v>
      </c>
      <c r="C35" s="1" t="s">
        <v>263</v>
      </c>
      <c r="D35" s="4" t="s">
        <v>232</v>
      </c>
      <c r="E35" s="100">
        <v>20178764.97850965</v>
      </c>
      <c r="F35" s="100">
        <v>10636172.767534517</v>
      </c>
      <c r="G35" s="100">
        <v>2672398.3411233304</v>
      </c>
      <c r="H35" s="100">
        <v>2959592.917217657</v>
      </c>
      <c r="I35" s="100">
        <v>1872128.6933924491</v>
      </c>
      <c r="J35" s="100">
        <v>1411493.7182389158</v>
      </c>
      <c r="K35" s="100">
        <v>0</v>
      </c>
      <c r="L35" s="100">
        <v>553625.08351817203</v>
      </c>
      <c r="M35" s="100">
        <v>0</v>
      </c>
      <c r="N35" s="100">
        <v>66480.915865654912</v>
      </c>
      <c r="O35" s="100">
        <v>6872.54161895984</v>
      </c>
      <c r="Q35" s="72">
        <v>13987.651871784623</v>
      </c>
      <c r="R35" s="72">
        <v>228.99461800217341</v>
      </c>
      <c r="S35" s="72">
        <v>4155.3882843911306</v>
      </c>
      <c r="T35" s="72">
        <f t="shared" si="3"/>
        <v>18372.034774177926</v>
      </c>
      <c r="U35" s="72">
        <f t="shared" si="4"/>
        <v>14216.646489786795</v>
      </c>
    </row>
    <row r="36" spans="1:21" x14ac:dyDescent="0.2">
      <c r="A36" s="4">
        <f t="shared" si="0"/>
        <v>30</v>
      </c>
      <c r="B36" s="7">
        <v>456.02</v>
      </c>
      <c r="C36" s="1" t="s">
        <v>264</v>
      </c>
      <c r="D36" s="4" t="s">
        <v>265</v>
      </c>
      <c r="E36" s="100">
        <v>402045.72</v>
      </c>
      <c r="F36" s="100">
        <v>269685.81888924731</v>
      </c>
      <c r="G36" s="100">
        <v>48465.821084218143</v>
      </c>
      <c r="H36" s="100">
        <v>42644.346547962065</v>
      </c>
      <c r="I36" s="100">
        <v>18017.485049120827</v>
      </c>
      <c r="J36" s="100">
        <v>18372.034774177926</v>
      </c>
      <c r="K36" s="100">
        <v>3614.2776513847393</v>
      </c>
      <c r="L36" s="100">
        <v>874.67400555202096</v>
      </c>
      <c r="M36" s="100">
        <v>5.2562923991996229</v>
      </c>
      <c r="N36" s="100">
        <v>202.3633321183928</v>
      </c>
      <c r="O36" s="100">
        <v>163.64237381930863</v>
      </c>
      <c r="Q36" s="72">
        <v>18853.090798315498</v>
      </c>
      <c r="R36" s="72">
        <v>98.899828253510492</v>
      </c>
      <c r="S36" s="72">
        <v>2377.4371989379124</v>
      </c>
      <c r="T36" s="72">
        <f t="shared" si="3"/>
        <v>21329.427825506922</v>
      </c>
      <c r="U36" s="72">
        <f t="shared" si="4"/>
        <v>18951.990626569008</v>
      </c>
    </row>
    <row r="37" spans="1:21" x14ac:dyDescent="0.2">
      <c r="A37" s="4">
        <f t="shared" si="0"/>
        <v>31</v>
      </c>
      <c r="B37" s="7">
        <v>456.03</v>
      </c>
      <c r="C37" s="1" t="s">
        <v>266</v>
      </c>
      <c r="D37" s="4" t="s">
        <v>267</v>
      </c>
      <c r="E37" s="100">
        <v>403943.36</v>
      </c>
      <c r="F37" s="100">
        <v>245922.77308907436</v>
      </c>
      <c r="G37" s="100">
        <v>48879.771132398433</v>
      </c>
      <c r="H37" s="100">
        <v>44367.507440659472</v>
      </c>
      <c r="I37" s="100">
        <v>25237.472834751297</v>
      </c>
      <c r="J37" s="100">
        <v>21329.427825506922</v>
      </c>
      <c r="K37" s="100">
        <v>2461.0180780912169</v>
      </c>
      <c r="L37" s="100">
        <v>6317.7856253734008</v>
      </c>
      <c r="M37" s="100">
        <v>3771.2849815613872</v>
      </c>
      <c r="N37" s="100">
        <v>5540.6505646190708</v>
      </c>
      <c r="O37" s="100">
        <v>115.66842796456116</v>
      </c>
      <c r="Q37" s="72">
        <v>1293.8420895985823</v>
      </c>
      <c r="R37" s="72">
        <v>32.406994597060802</v>
      </c>
      <c r="S37" s="72">
        <v>348.66197948120953</v>
      </c>
      <c r="T37" s="72">
        <f t="shared" si="3"/>
        <v>1674.9110636768526</v>
      </c>
      <c r="U37" s="72">
        <f t="shared" si="4"/>
        <v>1326.249084195643</v>
      </c>
    </row>
    <row r="38" spans="1:21" x14ac:dyDescent="0.2">
      <c r="A38" s="4">
        <f t="shared" si="0"/>
        <v>32</v>
      </c>
      <c r="B38" s="7">
        <v>456.04</v>
      </c>
      <c r="C38" s="1" t="s">
        <v>268</v>
      </c>
      <c r="D38" s="4" t="s">
        <v>258</v>
      </c>
      <c r="E38" s="100">
        <v>35693.46</v>
      </c>
      <c r="F38" s="100">
        <v>24598.306988537828</v>
      </c>
      <c r="G38" s="100">
        <v>4494.5346842932468</v>
      </c>
      <c r="H38" s="100">
        <v>3494.1838167810988</v>
      </c>
      <c r="I38" s="100">
        <v>1382.2443558334851</v>
      </c>
      <c r="J38" s="100">
        <v>1674.9110636768526</v>
      </c>
      <c r="K38" s="100">
        <v>3.0345963750354334</v>
      </c>
      <c r="L38" s="100">
        <v>0</v>
      </c>
      <c r="M38" s="100">
        <v>0</v>
      </c>
      <c r="N38" s="100">
        <v>21.616612546490781</v>
      </c>
      <c r="O38" s="100">
        <v>24.62788195595218</v>
      </c>
      <c r="Q38" s="72">
        <v>1384207.0550544332</v>
      </c>
      <c r="R38" s="72">
        <v>3982.1185683720905</v>
      </c>
      <c r="S38" s="72">
        <v>109787.17365091598</v>
      </c>
      <c r="T38" s="72">
        <f t="shared" si="3"/>
        <v>1497976.3472737211</v>
      </c>
      <c r="U38" s="72">
        <f t="shared" si="4"/>
        <v>1388189.1736228052</v>
      </c>
    </row>
    <row r="39" spans="1:21" x14ac:dyDescent="0.2">
      <c r="A39" s="4">
        <f t="shared" si="0"/>
        <v>33</v>
      </c>
      <c r="B39" s="7">
        <v>456.05</v>
      </c>
      <c r="C39" s="1" t="s">
        <v>269</v>
      </c>
      <c r="D39" s="4" t="s">
        <v>255</v>
      </c>
      <c r="E39" s="100">
        <v>21415123.754653767</v>
      </c>
      <c r="F39" s="100">
        <v>11287854.154365236</v>
      </c>
      <c r="G39" s="100">
        <v>2836136.9616939956</v>
      </c>
      <c r="H39" s="100">
        <v>3140928.032667635</v>
      </c>
      <c r="I39" s="100">
        <v>1986834.5608036625</v>
      </c>
      <c r="J39" s="100">
        <v>1497976.3472737211</v>
      </c>
      <c r="K39" s="100">
        <v>0</v>
      </c>
      <c r="L39" s="100">
        <v>587545.85277388117</v>
      </c>
      <c r="M39" s="100">
        <v>0</v>
      </c>
      <c r="N39" s="100">
        <v>70554.220840668873</v>
      </c>
      <c r="O39" s="100">
        <v>7293.6242349705763</v>
      </c>
      <c r="Q39" s="72">
        <v>0</v>
      </c>
      <c r="R39" s="72">
        <v>0</v>
      </c>
      <c r="S39" s="72">
        <v>0</v>
      </c>
      <c r="T39" s="72">
        <f t="shared" si="3"/>
        <v>0</v>
      </c>
      <c r="U39" s="72">
        <f t="shared" si="4"/>
        <v>0</v>
      </c>
    </row>
    <row r="40" spans="1:21" x14ac:dyDescent="0.2">
      <c r="A40" s="4">
        <f t="shared" si="0"/>
        <v>34</v>
      </c>
      <c r="B40" s="7">
        <v>456.06</v>
      </c>
      <c r="C40" s="1" t="s">
        <v>270</v>
      </c>
      <c r="D40" s="4" t="s">
        <v>232</v>
      </c>
      <c r="E40" s="100">
        <v>0</v>
      </c>
      <c r="F40" s="100">
        <v>0</v>
      </c>
      <c r="G40" s="100">
        <v>0</v>
      </c>
      <c r="H40" s="100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Q40" s="72">
        <v>1048.863503278036</v>
      </c>
      <c r="R40" s="72">
        <v>3.0173945558506214</v>
      </c>
      <c r="S40" s="72">
        <v>83.18969271975395</v>
      </c>
      <c r="T40" s="72">
        <f t="shared" si="3"/>
        <v>1135.0705905536406</v>
      </c>
      <c r="U40" s="72">
        <f t="shared" si="4"/>
        <v>1051.8808978338866</v>
      </c>
    </row>
    <row r="41" spans="1:21" x14ac:dyDescent="0.2">
      <c r="A41" s="4">
        <f t="shared" si="0"/>
        <v>35</v>
      </c>
      <c r="B41" s="7">
        <v>456.07</v>
      </c>
      <c r="C41" s="1" t="s">
        <v>271</v>
      </c>
      <c r="D41" s="4" t="s">
        <v>255</v>
      </c>
      <c r="E41" s="100">
        <v>16227.01</v>
      </c>
      <c r="F41" s="100">
        <v>8553.21334305255</v>
      </c>
      <c r="G41" s="100">
        <v>2149.0430485500665</v>
      </c>
      <c r="H41" s="100">
        <v>2379.9942124687514</v>
      </c>
      <c r="I41" s="100">
        <v>1505.4960529705279</v>
      </c>
      <c r="J41" s="100">
        <v>1135.0705905536406</v>
      </c>
      <c r="K41" s="100">
        <v>0</v>
      </c>
      <c r="L41" s="100">
        <v>445.20463844382027</v>
      </c>
      <c r="M41" s="100">
        <v>0</v>
      </c>
      <c r="N41" s="100">
        <v>53.461472380001773</v>
      </c>
      <c r="O41" s="100">
        <v>5.5266415806441556</v>
      </c>
      <c r="Q41" s="72">
        <v>0</v>
      </c>
      <c r="R41" s="72">
        <v>0</v>
      </c>
      <c r="S41" s="72">
        <v>0</v>
      </c>
      <c r="T41" s="72">
        <f t="shared" si="3"/>
        <v>0</v>
      </c>
      <c r="U41" s="72">
        <f t="shared" si="4"/>
        <v>0</v>
      </c>
    </row>
    <row r="42" spans="1:21" x14ac:dyDescent="0.2">
      <c r="A42" s="4">
        <f t="shared" si="0"/>
        <v>36</v>
      </c>
      <c r="B42" s="7">
        <v>456.08</v>
      </c>
      <c r="C42" s="1" t="s">
        <v>272</v>
      </c>
      <c r="D42" s="4" t="s">
        <v>273</v>
      </c>
      <c r="E42" s="100">
        <v>1720.49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00">
        <v>1720.49</v>
      </c>
      <c r="O42" s="100">
        <v>0</v>
      </c>
      <c r="Q42" s="72">
        <v>0</v>
      </c>
      <c r="R42" s="72">
        <v>0</v>
      </c>
      <c r="S42" s="72">
        <v>0</v>
      </c>
      <c r="T42" s="72">
        <f t="shared" si="3"/>
        <v>0</v>
      </c>
      <c r="U42" s="72">
        <f t="shared" si="4"/>
        <v>0</v>
      </c>
    </row>
    <row r="43" spans="1:21" x14ac:dyDescent="0.2">
      <c r="A43" s="4">
        <f t="shared" si="0"/>
        <v>37</v>
      </c>
      <c r="B43" s="7">
        <v>456.09</v>
      </c>
      <c r="C43" s="1" t="s">
        <v>274</v>
      </c>
      <c r="D43" s="4" t="s">
        <v>232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Q43" s="72">
        <v>5245.7880056977974</v>
      </c>
      <c r="R43" s="72">
        <v>15.09120311658239</v>
      </c>
      <c r="S43" s="72">
        <v>416.06509417392658</v>
      </c>
      <c r="T43" s="72">
        <f t="shared" si="3"/>
        <v>5676.9443029883068</v>
      </c>
      <c r="U43" s="72">
        <f t="shared" si="4"/>
        <v>5260.87920881438</v>
      </c>
    </row>
    <row r="44" spans="1:21" x14ac:dyDescent="0.2">
      <c r="A44" s="4">
        <f t="shared" si="0"/>
        <v>38</v>
      </c>
      <c r="B44" s="7">
        <v>456.1</v>
      </c>
      <c r="C44" s="1" t="s">
        <v>275</v>
      </c>
      <c r="D44" s="4" t="s">
        <v>232</v>
      </c>
      <c r="E44" s="100">
        <v>81157.8</v>
      </c>
      <c r="F44" s="100">
        <v>42778.058179097097</v>
      </c>
      <c r="G44" s="100">
        <v>10748.22816560886</v>
      </c>
      <c r="H44" s="100">
        <v>11903.307774919498</v>
      </c>
      <c r="I44" s="100">
        <v>7529.5909454527691</v>
      </c>
      <c r="J44" s="100">
        <v>5676.9443029883068</v>
      </c>
      <c r="K44" s="100">
        <v>0</v>
      </c>
      <c r="L44" s="100">
        <v>2226.6473617687966</v>
      </c>
      <c r="M44" s="100">
        <v>0</v>
      </c>
      <c r="N44" s="100">
        <v>267.38231400126756</v>
      </c>
      <c r="O44" s="100">
        <v>27.640956163433824</v>
      </c>
      <c r="Q44" s="72">
        <v>-7618.8959687745682</v>
      </c>
      <c r="R44" s="72">
        <v>-21.91821447302145</v>
      </c>
      <c r="S44" s="72">
        <v>-604.28607967124117</v>
      </c>
      <c r="T44" s="72">
        <f t="shared" si="3"/>
        <v>-8245.1002629188297</v>
      </c>
      <c r="U44" s="72">
        <f t="shared" si="4"/>
        <v>-7640.8141832475894</v>
      </c>
    </row>
    <row r="45" spans="1:21" x14ac:dyDescent="0.2">
      <c r="A45" s="4">
        <f t="shared" si="0"/>
        <v>39</v>
      </c>
      <c r="B45" s="7">
        <v>456.11</v>
      </c>
      <c r="C45" s="1" t="s">
        <v>276</v>
      </c>
      <c r="D45" s="4" t="s">
        <v>232</v>
      </c>
      <c r="E45" s="100">
        <v>-117872.25000000012</v>
      </c>
      <c r="F45" s="100">
        <v>-62130.146063607965</v>
      </c>
      <c r="G45" s="100">
        <v>-15610.549292781347</v>
      </c>
      <c r="H45" s="100">
        <v>-17288.167863991584</v>
      </c>
      <c r="I45" s="100">
        <v>-10935.853686523611</v>
      </c>
      <c r="J45" s="100">
        <v>-8245.1002629188297</v>
      </c>
      <c r="K45" s="100">
        <v>0</v>
      </c>
      <c r="L45" s="100">
        <v>-3233.9458990787366</v>
      </c>
      <c r="M45" s="100">
        <v>0</v>
      </c>
      <c r="N45" s="100">
        <v>-388.34166231139756</v>
      </c>
      <c r="O45" s="100">
        <v>-40.145268786676269</v>
      </c>
      <c r="Q45" s="72">
        <v>19.758851711871923</v>
      </c>
      <c r="R45" s="72">
        <v>5.6842717282973049E-2</v>
      </c>
      <c r="S45" s="72">
        <v>1.5671560667986022</v>
      </c>
      <c r="T45" s="72">
        <f t="shared" si="3"/>
        <v>21.382850495953498</v>
      </c>
      <c r="U45" s="72">
        <f t="shared" si="4"/>
        <v>19.815694429154895</v>
      </c>
    </row>
    <row r="46" spans="1:21" x14ac:dyDescent="0.2">
      <c r="A46" s="4">
        <f t="shared" si="0"/>
        <v>40</v>
      </c>
      <c r="B46" s="7">
        <v>456.12</v>
      </c>
      <c r="C46" s="1" t="s">
        <v>277</v>
      </c>
      <c r="D46" s="4" t="s">
        <v>255</v>
      </c>
      <c r="E46" s="100">
        <v>305.69</v>
      </c>
      <c r="F46" s="100">
        <v>161.12837712170847</v>
      </c>
      <c r="G46" s="100">
        <v>40.484412686703827</v>
      </c>
      <c r="H46" s="100">
        <v>44.835150210024679</v>
      </c>
      <c r="I46" s="100">
        <v>28.361052863870839</v>
      </c>
      <c r="J46" s="100">
        <v>21.382850495953498</v>
      </c>
      <c r="K46" s="100">
        <v>0</v>
      </c>
      <c r="L46" s="100">
        <v>8.3869182262099677</v>
      </c>
      <c r="M46" s="100">
        <v>0</v>
      </c>
      <c r="N46" s="100">
        <v>1.0071256190661584</v>
      </c>
      <c r="O46" s="100">
        <v>0.10411277646264543</v>
      </c>
      <c r="Q46" s="72">
        <v>7888.1154469677922</v>
      </c>
      <c r="R46" s="72">
        <v>89.952070511980935</v>
      </c>
      <c r="S46" s="72">
        <v>1951.318917854318</v>
      </c>
      <c r="T46" s="72">
        <f t="shared" si="3"/>
        <v>9929.3864353340905</v>
      </c>
      <c r="U46" s="72">
        <f t="shared" si="4"/>
        <v>7978.0675174797734</v>
      </c>
    </row>
    <row r="47" spans="1:21" x14ac:dyDescent="0.2">
      <c r="A47" s="4">
        <f t="shared" si="0"/>
        <v>41</v>
      </c>
      <c r="B47" s="7">
        <v>456.13</v>
      </c>
      <c r="C47" s="1" t="s">
        <v>278</v>
      </c>
      <c r="D47" s="4" t="s">
        <v>279</v>
      </c>
      <c r="E47" s="100">
        <v>223368.24</v>
      </c>
      <c r="F47" s="100">
        <v>148520.32296934654</v>
      </c>
      <c r="G47" s="100">
        <v>26477.500454998019</v>
      </c>
      <c r="H47" s="100">
        <v>21021.552168605558</v>
      </c>
      <c r="I47" s="100">
        <v>8951.630124329944</v>
      </c>
      <c r="J47" s="100">
        <v>9929.3864353340905</v>
      </c>
      <c r="K47" s="100">
        <v>2685.7217182009381</v>
      </c>
      <c r="L47" s="100">
        <v>1023.5371916217449</v>
      </c>
      <c r="M47" s="100">
        <v>353.63654310359436</v>
      </c>
      <c r="N47" s="100">
        <v>4336.4106975163586</v>
      </c>
      <c r="O47" s="100">
        <v>68.541696943158058</v>
      </c>
      <c r="Q47" s="72">
        <v>4890.7862965705781</v>
      </c>
      <c r="R47" s="72">
        <v>55.772048059623586</v>
      </c>
      <c r="S47" s="72">
        <v>1209.8560027223443</v>
      </c>
      <c r="T47" s="72">
        <f t="shared" si="3"/>
        <v>6156.4143473525455</v>
      </c>
      <c r="U47" s="72">
        <f t="shared" si="4"/>
        <v>4946.5583446302016</v>
      </c>
    </row>
    <row r="48" spans="1:21" x14ac:dyDescent="0.2">
      <c r="A48" s="4">
        <f t="shared" si="0"/>
        <v>42</v>
      </c>
      <c r="B48" s="7">
        <v>456.14</v>
      </c>
      <c r="C48" s="1" t="s">
        <v>280</v>
      </c>
      <c r="D48" s="4" t="s">
        <v>279</v>
      </c>
      <c r="E48" s="100">
        <v>138492.68999999575</v>
      </c>
      <c r="F48" s="100">
        <v>92085.513355403426</v>
      </c>
      <c r="G48" s="100">
        <v>16416.569618352136</v>
      </c>
      <c r="H48" s="100">
        <v>13033.77466646748</v>
      </c>
      <c r="I48" s="100">
        <v>5550.1862565754673</v>
      </c>
      <c r="J48" s="100">
        <v>6156.4143473525455</v>
      </c>
      <c r="K48" s="100">
        <v>1665.200143695713</v>
      </c>
      <c r="L48" s="100">
        <v>634.61313471752555</v>
      </c>
      <c r="M48" s="100">
        <v>219.26159303899348</v>
      </c>
      <c r="N48" s="100">
        <v>2688.6596878938499</v>
      </c>
      <c r="O48" s="100">
        <v>42.497196498582099</v>
      </c>
      <c r="Q48" s="72">
        <v>0</v>
      </c>
      <c r="R48" s="72">
        <v>0</v>
      </c>
      <c r="S48" s="72">
        <v>0</v>
      </c>
      <c r="T48" s="72">
        <f>SUM(Q48:S48)</f>
        <v>0</v>
      </c>
      <c r="U48" s="72">
        <f>SUM(Q48:R48)</f>
        <v>0</v>
      </c>
    </row>
    <row r="49" spans="1:21" x14ac:dyDescent="0.2">
      <c r="A49" s="4">
        <f t="shared" si="0"/>
        <v>43</v>
      </c>
      <c r="B49" s="7">
        <v>456.15</v>
      </c>
      <c r="C49" s="1" t="s">
        <v>281</v>
      </c>
      <c r="D49" s="4" t="s">
        <v>227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Q49" s="72">
        <v>0</v>
      </c>
      <c r="R49" s="72">
        <v>0</v>
      </c>
      <c r="S49" s="72">
        <v>0</v>
      </c>
      <c r="T49" s="72">
        <f>SUM(Q49:S49)</f>
        <v>0</v>
      </c>
      <c r="U49" s="72">
        <f>SUM(Q49:R49)</f>
        <v>0</v>
      </c>
    </row>
    <row r="50" spans="1:21" x14ac:dyDescent="0.2">
      <c r="A50" s="4">
        <f t="shared" si="0"/>
        <v>44</v>
      </c>
      <c r="B50" s="7">
        <v>456.16</v>
      </c>
      <c r="C50" s="1" t="s">
        <v>282</v>
      </c>
      <c r="D50" s="4" t="s">
        <v>229</v>
      </c>
      <c r="E50" s="100">
        <v>1010226.96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100">
        <v>1010226.96</v>
      </c>
      <c r="L50" s="100">
        <v>0</v>
      </c>
      <c r="M50" s="100">
        <v>0</v>
      </c>
      <c r="N50" s="100">
        <v>0</v>
      </c>
      <c r="O50" s="100">
        <v>0</v>
      </c>
      <c r="Q50" s="28">
        <f>SUM(Q19:Q49)</f>
        <v>3888800.8825477795</v>
      </c>
      <c r="R50" s="28">
        <f>SUM(R19:R49)</f>
        <v>16133.569480955717</v>
      </c>
      <c r="S50" s="28">
        <f>SUM(S19:S49)</f>
        <v>342080.99324862583</v>
      </c>
      <c r="T50" s="28">
        <f>SUM(T19:T49)</f>
        <v>4247015.4452773593</v>
      </c>
      <c r="U50" s="28">
        <f>SUM(U19:U49)</f>
        <v>3904934.4520287341</v>
      </c>
    </row>
    <row r="51" spans="1:21" x14ac:dyDescent="0.2">
      <c r="A51" s="5">
        <f>+A50+1</f>
        <v>45</v>
      </c>
      <c r="B51" s="8"/>
      <c r="C51" s="3" t="s">
        <v>283</v>
      </c>
      <c r="D51" s="5"/>
      <c r="E51" s="101">
        <f t="shared" ref="E51:L51" si="5">SUM(E20:E50)</f>
        <v>76831178.983163401</v>
      </c>
      <c r="F51" s="101">
        <f t="shared" si="5"/>
        <v>41891450.713883169</v>
      </c>
      <c r="G51" s="101">
        <f t="shared" si="5"/>
        <v>10912996.116569307</v>
      </c>
      <c r="H51" s="101">
        <f t="shared" si="5"/>
        <v>8170551.574569691</v>
      </c>
      <c r="I51" s="101">
        <f t="shared" si="5"/>
        <v>4815673.0985493902</v>
      </c>
      <c r="J51" s="101">
        <f t="shared" si="5"/>
        <v>4247015.4452773593</v>
      </c>
      <c r="K51" s="101">
        <f t="shared" si="5"/>
        <v>1110812.9075238416</v>
      </c>
      <c r="L51" s="101">
        <f t="shared" si="5"/>
        <v>4311843.9752027253</v>
      </c>
      <c r="M51" s="101">
        <f>SUM(M20:M50)</f>
        <v>1077072.9172933849</v>
      </c>
      <c r="N51" s="101">
        <f>SUM(N20:N50)</f>
        <v>268394.74314632459</v>
      </c>
      <c r="O51" s="101">
        <f>SUM(O20:O50)</f>
        <v>25367.491148233279</v>
      </c>
      <c r="Q51" s="72"/>
      <c r="R51" s="72"/>
      <c r="S51" s="72"/>
      <c r="T51" s="72"/>
      <c r="U51" s="72"/>
    </row>
    <row r="52" spans="1:21" ht="13.5" thickBot="1" x14ac:dyDescent="0.25">
      <c r="A52" s="4">
        <f>+A51+1</f>
        <v>46</v>
      </c>
      <c r="B52" s="7"/>
      <c r="C52" s="1"/>
      <c r="D52" s="4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Q52" s="22">
        <f>SUM(Q50,Q16,Q11)</f>
        <v>117497550.68471192</v>
      </c>
      <c r="R52" s="22">
        <f>SUM(R50,R16,R11)</f>
        <v>285164.6149450941</v>
      </c>
      <c r="S52" s="22">
        <f>SUM(S50,S16,S11)</f>
        <v>11057266.981445204</v>
      </c>
      <c r="T52" s="22">
        <f>SUM(T50,T16,T11)</f>
        <v>128839982.2811022</v>
      </c>
      <c r="U52" s="22">
        <f>SUM(U50,U16,U11)</f>
        <v>117782715.299657</v>
      </c>
    </row>
    <row r="53" spans="1:21" ht="14.25" thickTop="1" thickBot="1" x14ac:dyDescent="0.25">
      <c r="A53" s="6">
        <f>+A52+1</f>
        <v>47</v>
      </c>
      <c r="B53" s="9"/>
      <c r="C53" s="2" t="s">
        <v>284</v>
      </c>
      <c r="D53" s="6"/>
      <c r="E53" s="102">
        <f t="shared" ref="E53:L53" si="6">SUM(E51,E17,E12)</f>
        <v>2079303050.9470448</v>
      </c>
      <c r="F53" s="102">
        <f t="shared" si="6"/>
        <v>1150670916.4353926</v>
      </c>
      <c r="G53" s="102">
        <f t="shared" si="6"/>
        <v>275027745.3740319</v>
      </c>
      <c r="H53" s="102">
        <f t="shared" si="6"/>
        <v>279676011.40853173</v>
      </c>
      <c r="I53" s="102">
        <f t="shared" si="6"/>
        <v>165603955.84471267</v>
      </c>
      <c r="J53" s="102">
        <f t="shared" si="6"/>
        <v>128839982.2811022</v>
      </c>
      <c r="K53" s="102">
        <f t="shared" si="6"/>
        <v>6604365.9075238416</v>
      </c>
      <c r="L53" s="102">
        <f t="shared" si="6"/>
        <v>44590149.013357736</v>
      </c>
      <c r="M53" s="102">
        <f>SUM(M51,M17,M12)</f>
        <v>11191425.697293386</v>
      </c>
      <c r="N53" s="102">
        <f>SUM(N51,N17,N12)</f>
        <v>16743908.520041399</v>
      </c>
      <c r="O53" s="102">
        <f>SUM(O51,O17,O12)</f>
        <v>354590.46505731501</v>
      </c>
    </row>
    <row r="54" spans="1:21" ht="13.5" thickTop="1" x14ac:dyDescent="0.2">
      <c r="A54" s="74"/>
      <c r="B54" s="99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</row>
    <row r="55" spans="1:21" x14ac:dyDescent="0.2">
      <c r="E55" s="75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A1:U163"/>
  <sheetViews>
    <sheetView showGridLines="0" tabSelected="1" zoomScale="90" zoomScaleNormal="90" workbookViewId="0">
      <selection activeCell="E162" sqref="E162:E163"/>
    </sheetView>
  </sheetViews>
  <sheetFormatPr defaultColWidth="8.85546875" defaultRowHeight="12.75" x14ac:dyDescent="0.2"/>
  <cols>
    <col min="1" max="1" width="5.7109375" style="14" bestFit="1" customWidth="1"/>
    <col min="2" max="2" width="9" style="14" bestFit="1" customWidth="1"/>
    <col min="3" max="3" width="41.85546875" style="14" bestFit="1" customWidth="1"/>
    <col min="4" max="4" width="12.7109375" style="14" bestFit="1" customWidth="1"/>
    <col min="5" max="5" width="17.140625" style="14" bestFit="1" customWidth="1"/>
    <col min="6" max="6" width="16.7109375" style="14" bestFit="1" customWidth="1"/>
    <col min="7" max="15" width="15.42578125" style="14" customWidth="1"/>
    <col min="16" max="16" width="3.28515625" style="14" customWidth="1"/>
    <col min="17" max="17" width="14.42578125" style="14" bestFit="1" customWidth="1"/>
    <col min="18" max="18" width="11.28515625" style="14" bestFit="1" customWidth="1"/>
    <col min="19" max="19" width="13.28515625" style="14" bestFit="1" customWidth="1"/>
    <col min="20" max="20" width="15.28515625" style="14" bestFit="1" customWidth="1"/>
    <col min="21" max="21" width="14.42578125" style="14" bestFit="1" customWidth="1"/>
    <col min="22" max="16384" width="8.85546875" style="14"/>
  </cols>
  <sheetData>
    <row r="1" spans="1:21" x14ac:dyDescent="0.2">
      <c r="A1" s="103" t="str">
        <f>+'Customer Summary'!A1</f>
        <v>Puget Sound Energy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1" x14ac:dyDescent="0.2">
      <c r="A2" s="104" t="s">
        <v>85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21" x14ac:dyDescent="0.2">
      <c r="A3" s="103" t="str">
        <f>+'Customer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2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21" s="33" customFormat="1" ht="51" x14ac:dyDescent="0.2">
      <c r="A5" s="18" t="s">
        <v>2</v>
      </c>
      <c r="B5" s="18" t="s">
        <v>76</v>
      </c>
      <c r="C5" s="67" t="s">
        <v>77</v>
      </c>
      <c r="D5" s="67" t="s">
        <v>78</v>
      </c>
      <c r="E5" s="18" t="s">
        <v>53</v>
      </c>
      <c r="F5" s="18" t="str">
        <f>+'Class Summary'!G6</f>
        <v>Residential
Sch 7</v>
      </c>
      <c r="G5" s="18" t="str">
        <f>+'Class Summary'!H6</f>
        <v>Sec Volt
Sch 24
(kW&lt; 50)</v>
      </c>
      <c r="H5" s="18" t="str">
        <f>+'Class Summary'!I6</f>
        <v>Sec Volt
Sch 25
(kW &gt; 50 &amp; &lt; 350)</v>
      </c>
      <c r="I5" s="18" t="str">
        <f>+'Class Summary'!J6</f>
        <v>Sec Volt
Sch 26
(kW &gt; 350)</v>
      </c>
      <c r="J5" s="18" t="str">
        <f>+'Class Summary'!K6</f>
        <v>Pri Volt
Sch 31/35/43</v>
      </c>
      <c r="K5" s="18" t="str">
        <f>+'Class Summary'!L6</f>
        <v>Special Contract</v>
      </c>
      <c r="L5" s="18" t="str">
        <f>+'Class Summary'!M6</f>
        <v>High Volt
Sch 46/49</v>
      </c>
      <c r="M5" s="18" t="str">
        <f>+'Class Summary'!N6</f>
        <v>Choice /
Retail Wheeling
Sch 448/449</v>
      </c>
      <c r="N5" s="18" t="str">
        <f>+'Class Summary'!O6</f>
        <v>Lighting
Sch 50-59</v>
      </c>
      <c r="O5" s="18" t="str">
        <f>+'Class Summary'!P6</f>
        <v>Firm Resale</v>
      </c>
      <c r="Q5" s="19" t="s">
        <v>79</v>
      </c>
      <c r="R5" s="19" t="s">
        <v>80</v>
      </c>
      <c r="S5" s="19" t="s">
        <v>81</v>
      </c>
      <c r="T5" s="19" t="s">
        <v>82</v>
      </c>
      <c r="U5" s="19" t="s">
        <v>86</v>
      </c>
    </row>
    <row r="6" spans="1:21" s="33" customFormat="1" x14ac:dyDescent="0.2">
      <c r="B6" s="33" t="s">
        <v>15</v>
      </c>
      <c r="C6" s="33" t="s">
        <v>16</v>
      </c>
      <c r="D6" s="33" t="s">
        <v>17</v>
      </c>
      <c r="E6" s="33" t="s">
        <v>18</v>
      </c>
      <c r="F6" s="33" t="s">
        <v>19</v>
      </c>
      <c r="G6" s="33" t="s">
        <v>63</v>
      </c>
      <c r="H6" s="33" t="s">
        <v>20</v>
      </c>
      <c r="I6" s="33" t="s">
        <v>21</v>
      </c>
      <c r="J6" s="33" t="s">
        <v>64</v>
      </c>
      <c r="K6" s="33" t="s">
        <v>65</v>
      </c>
      <c r="L6" s="33" t="s">
        <v>22</v>
      </c>
      <c r="M6" s="33" t="s">
        <v>23</v>
      </c>
      <c r="N6" s="33" t="s">
        <v>24</v>
      </c>
      <c r="O6" s="33" t="s">
        <v>25</v>
      </c>
    </row>
    <row r="7" spans="1:21" x14ac:dyDescent="0.2">
      <c r="A7" s="74">
        <v>1</v>
      </c>
      <c r="C7" s="13" t="s">
        <v>285</v>
      </c>
    </row>
    <row r="8" spans="1:21" x14ac:dyDescent="0.2">
      <c r="A8" s="74">
        <f t="shared" ref="A8:A71" si="0">+A7+1</f>
        <v>2</v>
      </c>
      <c r="C8" s="13"/>
    </row>
    <row r="9" spans="1:21" x14ac:dyDescent="0.2">
      <c r="A9" s="74">
        <f t="shared" si="0"/>
        <v>3</v>
      </c>
      <c r="C9" s="13" t="s">
        <v>286</v>
      </c>
    </row>
    <row r="10" spans="1:21" x14ac:dyDescent="0.2">
      <c r="A10" s="74">
        <f t="shared" si="0"/>
        <v>4</v>
      </c>
    </row>
    <row r="11" spans="1:21" x14ac:dyDescent="0.2">
      <c r="A11" s="74">
        <f t="shared" si="0"/>
        <v>5</v>
      </c>
      <c r="C11" s="13" t="s">
        <v>287</v>
      </c>
    </row>
    <row r="12" spans="1:21" x14ac:dyDescent="0.2">
      <c r="A12" s="74">
        <f t="shared" si="0"/>
        <v>6</v>
      </c>
      <c r="B12" s="97" t="s">
        <v>288</v>
      </c>
      <c r="C12" s="14" t="s">
        <v>289</v>
      </c>
      <c r="D12" s="14" t="s">
        <v>255</v>
      </c>
      <c r="E12" s="72">
        <v>37464673.568808615</v>
      </c>
      <c r="F12" s="72">
        <v>19747528.710578356</v>
      </c>
      <c r="G12" s="72">
        <v>4961677.8629732504</v>
      </c>
      <c r="H12" s="72">
        <v>5494894.3931011008</v>
      </c>
      <c r="I12" s="72">
        <v>3475866.3600793141</v>
      </c>
      <c r="J12" s="72">
        <v>2620633.693616197</v>
      </c>
      <c r="K12" s="72">
        <v>0</v>
      </c>
      <c r="L12" s="72">
        <v>1027881.6892709864</v>
      </c>
      <c r="M12" s="72">
        <v>0</v>
      </c>
      <c r="N12" s="72">
        <v>123431.0332725896</v>
      </c>
      <c r="O12" s="72">
        <v>12759.825916828655</v>
      </c>
      <c r="Q12" s="72">
        <v>2421600.0833516861</v>
      </c>
      <c r="R12" s="72">
        <v>6966.5145990076908</v>
      </c>
      <c r="S12" s="72">
        <v>192067.09566550315</v>
      </c>
      <c r="T12" s="72">
        <f>SUM(Q12:S12)</f>
        <v>2620633.693616197</v>
      </c>
      <c r="U12" s="72">
        <f>+T12-S12</f>
        <v>2428566.5979506937</v>
      </c>
    </row>
    <row r="13" spans="1:21" x14ac:dyDescent="0.2">
      <c r="A13" s="74">
        <f t="shared" si="0"/>
        <v>7</v>
      </c>
      <c r="B13" s="97" t="s">
        <v>290</v>
      </c>
      <c r="C13" s="14" t="s">
        <v>291</v>
      </c>
      <c r="D13" s="14" t="s">
        <v>255</v>
      </c>
      <c r="E13" s="72">
        <v>143207932.26523873</v>
      </c>
      <c r="F13" s="72">
        <v>75484516.068086833</v>
      </c>
      <c r="G13" s="72">
        <v>18965910.006331425</v>
      </c>
      <c r="H13" s="72">
        <v>21004119.05649193</v>
      </c>
      <c r="I13" s="72">
        <v>13286426.567764958</v>
      </c>
      <c r="J13" s="72">
        <v>10017317.561785584</v>
      </c>
      <c r="K13" s="72">
        <v>0</v>
      </c>
      <c r="L13" s="72">
        <v>3929056.2898792024</v>
      </c>
      <c r="M13" s="72">
        <v>0</v>
      </c>
      <c r="N13" s="72">
        <v>471812.54682133219</v>
      </c>
      <c r="O13" s="72">
        <v>48774.168077491799</v>
      </c>
      <c r="Q13" s="72">
        <v>9256515.7433761358</v>
      </c>
      <c r="R13" s="72">
        <v>26629.356558710198</v>
      </c>
      <c r="S13" s="72">
        <v>734172.46185073815</v>
      </c>
      <c r="T13" s="72">
        <f>SUM(Q13:S13)</f>
        <v>10017317.561785584</v>
      </c>
      <c r="U13" s="72">
        <f>+T13-S13</f>
        <v>9283145.0999348462</v>
      </c>
    </row>
    <row r="14" spans="1:21" x14ac:dyDescent="0.2">
      <c r="A14" s="31">
        <f t="shared" si="0"/>
        <v>8</v>
      </c>
      <c r="B14" s="68"/>
      <c r="C14" s="26" t="s">
        <v>292</v>
      </c>
      <c r="D14" s="26"/>
      <c r="E14" s="28">
        <f>SUM(E12:E13)</f>
        <v>180672605.83404735</v>
      </c>
      <c r="F14" s="28">
        <f t="shared" ref="F14:L14" si="1">SUM(F12:F13)</f>
        <v>95232044.778665185</v>
      </c>
      <c r="G14" s="28">
        <f t="shared" si="1"/>
        <v>23927587.869304676</v>
      </c>
      <c r="H14" s="28">
        <f t="shared" si="1"/>
        <v>26499013.44959303</v>
      </c>
      <c r="I14" s="28">
        <f t="shared" si="1"/>
        <v>16762292.927844273</v>
      </c>
      <c r="J14" s="28">
        <f t="shared" si="1"/>
        <v>12637951.255401781</v>
      </c>
      <c r="K14" s="28">
        <f t="shared" si="1"/>
        <v>0</v>
      </c>
      <c r="L14" s="28">
        <f t="shared" si="1"/>
        <v>4956937.9791501891</v>
      </c>
      <c r="M14" s="28">
        <f>SUM(M12:M13)</f>
        <v>0</v>
      </c>
      <c r="N14" s="28">
        <f>SUM(N12:N13)</f>
        <v>595243.58009392174</v>
      </c>
      <c r="O14" s="28">
        <f>SUM(O12:O13)</f>
        <v>61533.993994320452</v>
      </c>
      <c r="Q14" s="28">
        <f>SUM(Q12:Q13)</f>
        <v>11678115.826727822</v>
      </c>
      <c r="R14" s="28">
        <f>SUM(R12:R13)</f>
        <v>33595.871157717891</v>
      </c>
      <c r="S14" s="28">
        <f>SUM(S12:S13)</f>
        <v>926239.55751624133</v>
      </c>
      <c r="T14" s="28">
        <f>SUM(T12:T13)</f>
        <v>12637951.255401781</v>
      </c>
      <c r="U14" s="28">
        <f>SUM(U12:U13)</f>
        <v>11711711.697885539</v>
      </c>
    </row>
    <row r="15" spans="1:21" x14ac:dyDescent="0.2">
      <c r="A15" s="74">
        <f t="shared" si="0"/>
        <v>9</v>
      </c>
      <c r="B15" s="97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Q15" s="72"/>
      <c r="R15" s="72"/>
      <c r="S15" s="72"/>
      <c r="T15" s="72"/>
      <c r="U15" s="72"/>
    </row>
    <row r="16" spans="1:21" x14ac:dyDescent="0.2">
      <c r="A16" s="74">
        <f t="shared" si="0"/>
        <v>10</v>
      </c>
      <c r="B16" s="97"/>
      <c r="C16" s="13" t="s">
        <v>293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Q16" s="72"/>
      <c r="R16" s="72"/>
      <c r="S16" s="72"/>
      <c r="T16" s="72"/>
      <c r="U16" s="72"/>
    </row>
    <row r="17" spans="1:21" x14ac:dyDescent="0.2">
      <c r="A17" s="74">
        <f t="shared" si="0"/>
        <v>11</v>
      </c>
      <c r="B17" s="97">
        <v>555</v>
      </c>
      <c r="C17" s="14" t="s">
        <v>294</v>
      </c>
      <c r="D17" s="14" t="s">
        <v>232</v>
      </c>
      <c r="E17" s="72">
        <v>446679558.91286945</v>
      </c>
      <c r="F17" s="72">
        <v>235443594.56008118</v>
      </c>
      <c r="G17" s="72">
        <v>59156529.823492564</v>
      </c>
      <c r="H17" s="72">
        <v>65513903.364866599</v>
      </c>
      <c r="I17" s="72">
        <v>41441665.031693541</v>
      </c>
      <c r="J17" s="72">
        <v>31244994.039164975</v>
      </c>
      <c r="K17" s="72">
        <v>0</v>
      </c>
      <c r="L17" s="72">
        <v>12255111.1711923</v>
      </c>
      <c r="M17" s="72">
        <v>0</v>
      </c>
      <c r="N17" s="72">
        <v>1471629.517793589</v>
      </c>
      <c r="O17" s="72">
        <v>152131.40458480365</v>
      </c>
      <c r="Q17" s="72">
        <v>28871978.695030086</v>
      </c>
      <c r="R17" s="72">
        <v>83059.569771230148</v>
      </c>
      <c r="S17" s="72">
        <v>2289955.7743636593</v>
      </c>
      <c r="T17" s="72">
        <f>SUM(Q17:S17)</f>
        <v>31244994.039164975</v>
      </c>
      <c r="U17" s="72">
        <f>+T17-S17</f>
        <v>28955038.264801316</v>
      </c>
    </row>
    <row r="18" spans="1:21" x14ac:dyDescent="0.2">
      <c r="A18" s="74">
        <f t="shared" si="0"/>
        <v>12</v>
      </c>
      <c r="B18" s="97">
        <v>555.01</v>
      </c>
      <c r="C18" s="14" t="s">
        <v>295</v>
      </c>
      <c r="D18" s="14" t="s">
        <v>296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Q18" s="72">
        <v>0</v>
      </c>
      <c r="R18" s="72">
        <v>0</v>
      </c>
      <c r="S18" s="72">
        <v>0</v>
      </c>
      <c r="T18" s="72">
        <f>SUM(Q18:S18)</f>
        <v>0</v>
      </c>
      <c r="U18" s="72">
        <f>+T18-S18</f>
        <v>0</v>
      </c>
    </row>
    <row r="19" spans="1:21" x14ac:dyDescent="0.2">
      <c r="A19" s="31">
        <f>+A18+1</f>
        <v>13</v>
      </c>
      <c r="B19" s="68"/>
      <c r="C19" s="26" t="s">
        <v>292</v>
      </c>
      <c r="D19" s="26"/>
      <c r="E19" s="28">
        <f t="shared" ref="E19:L19" si="2">SUM(E17:E18)</f>
        <v>446679558.91286945</v>
      </c>
      <c r="F19" s="28">
        <f t="shared" si="2"/>
        <v>235443594.56008118</v>
      </c>
      <c r="G19" s="28">
        <f t="shared" si="2"/>
        <v>59156529.823492564</v>
      </c>
      <c r="H19" s="28">
        <f t="shared" si="2"/>
        <v>65513903.364866599</v>
      </c>
      <c r="I19" s="28">
        <f t="shared" si="2"/>
        <v>41441665.031693541</v>
      </c>
      <c r="J19" s="28">
        <f t="shared" si="2"/>
        <v>31244994.039164975</v>
      </c>
      <c r="K19" s="28">
        <f t="shared" si="2"/>
        <v>0</v>
      </c>
      <c r="L19" s="28">
        <f t="shared" si="2"/>
        <v>12255111.1711923</v>
      </c>
      <c r="M19" s="28">
        <f>SUM(M17:M18)</f>
        <v>0</v>
      </c>
      <c r="N19" s="28">
        <f>SUM(N17:N18)</f>
        <v>1471629.517793589</v>
      </c>
      <c r="O19" s="28">
        <f>SUM(O17:O18)</f>
        <v>152131.40458480365</v>
      </c>
      <c r="Q19" s="28">
        <f>SUM(Q17:Q18)</f>
        <v>28871978.695030086</v>
      </c>
      <c r="R19" s="28">
        <f>SUM(R17:R18)</f>
        <v>83059.569771230148</v>
      </c>
      <c r="S19" s="28">
        <f>SUM(S17:S18)</f>
        <v>2289955.7743636593</v>
      </c>
      <c r="T19" s="28">
        <f>SUM(T17:T18)</f>
        <v>31244994.039164975</v>
      </c>
      <c r="U19" s="28">
        <f>SUM(U17:U18)</f>
        <v>28955038.264801316</v>
      </c>
    </row>
    <row r="20" spans="1:21" x14ac:dyDescent="0.2">
      <c r="A20" s="74">
        <f t="shared" si="0"/>
        <v>14</v>
      </c>
      <c r="B20" s="97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Q20" s="72"/>
      <c r="R20" s="72"/>
      <c r="S20" s="72"/>
      <c r="T20" s="72"/>
      <c r="U20" s="72"/>
    </row>
    <row r="21" spans="1:21" x14ac:dyDescent="0.2">
      <c r="A21" s="74">
        <f t="shared" si="0"/>
        <v>15</v>
      </c>
      <c r="B21" s="97"/>
      <c r="C21" s="13" t="s">
        <v>297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Q21" s="72"/>
      <c r="R21" s="72"/>
      <c r="S21" s="72"/>
      <c r="T21" s="72"/>
      <c r="U21" s="72"/>
    </row>
    <row r="22" spans="1:21" x14ac:dyDescent="0.2">
      <c r="A22" s="74">
        <f t="shared" si="0"/>
        <v>16</v>
      </c>
      <c r="B22" s="97">
        <v>565</v>
      </c>
      <c r="C22" s="14" t="s">
        <v>298</v>
      </c>
      <c r="D22" s="14" t="s">
        <v>255</v>
      </c>
      <c r="E22" s="72">
        <v>112334321.32462588</v>
      </c>
      <c r="F22" s="72">
        <v>59211118.748096094</v>
      </c>
      <c r="G22" s="72">
        <v>14877127.231466349</v>
      </c>
      <c r="H22" s="72">
        <v>16475927.149500409</v>
      </c>
      <c r="I22" s="72">
        <v>10422060.34058938</v>
      </c>
      <c r="J22" s="72">
        <v>7857725.1413159613</v>
      </c>
      <c r="K22" s="72">
        <v>0</v>
      </c>
      <c r="L22" s="72">
        <v>3082007.1541314144</v>
      </c>
      <c r="M22" s="72">
        <v>0</v>
      </c>
      <c r="N22" s="72">
        <v>370096.41436239518</v>
      </c>
      <c r="O22" s="72">
        <v>38259.145163903813</v>
      </c>
      <c r="Q22" s="72">
        <v>7260941.4675228335</v>
      </c>
      <c r="R22" s="72">
        <v>20888.442763029081</v>
      </c>
      <c r="S22" s="72">
        <v>575895.23103009921</v>
      </c>
      <c r="T22" s="72">
        <f>SUM(Q22:S22)</f>
        <v>7857725.1413159613</v>
      </c>
      <c r="U22" s="72">
        <f>+T22-S22</f>
        <v>7281829.9102858622</v>
      </c>
    </row>
    <row r="23" spans="1:21" x14ac:dyDescent="0.2">
      <c r="A23" s="31">
        <f t="shared" si="0"/>
        <v>17</v>
      </c>
      <c r="B23" s="68"/>
      <c r="C23" s="26" t="s">
        <v>292</v>
      </c>
      <c r="D23" s="26"/>
      <c r="E23" s="28">
        <f>SUM(E22)</f>
        <v>112334321.32462588</v>
      </c>
      <c r="F23" s="28">
        <f t="shared" ref="F23:L23" si="3">SUM(F22)</f>
        <v>59211118.748096094</v>
      </c>
      <c r="G23" s="28">
        <f t="shared" si="3"/>
        <v>14877127.231466349</v>
      </c>
      <c r="H23" s="28">
        <f t="shared" si="3"/>
        <v>16475927.149500409</v>
      </c>
      <c r="I23" s="28">
        <f t="shared" si="3"/>
        <v>10422060.34058938</v>
      </c>
      <c r="J23" s="28">
        <f t="shared" si="3"/>
        <v>7857725.1413159613</v>
      </c>
      <c r="K23" s="28">
        <f t="shared" si="3"/>
        <v>0</v>
      </c>
      <c r="L23" s="28">
        <f t="shared" si="3"/>
        <v>3082007.1541314144</v>
      </c>
      <c r="M23" s="28">
        <f>SUM(M22)</f>
        <v>0</v>
      </c>
      <c r="N23" s="28">
        <f>SUM(N22)</f>
        <v>370096.41436239518</v>
      </c>
      <c r="O23" s="28">
        <f>SUM(O22)</f>
        <v>38259.145163903813</v>
      </c>
      <c r="Q23" s="28">
        <f>SUM(Q22)</f>
        <v>7260941.4675228335</v>
      </c>
      <c r="R23" s="28">
        <f>SUM(R22)</f>
        <v>20888.442763029081</v>
      </c>
      <c r="S23" s="28">
        <f>SUM(S22)</f>
        <v>575895.23103009921</v>
      </c>
      <c r="T23" s="28">
        <f>SUM(T22)</f>
        <v>7857725.1413159613</v>
      </c>
      <c r="U23" s="28">
        <f>SUM(U22)</f>
        <v>7281829.9102858622</v>
      </c>
    </row>
    <row r="24" spans="1:21" x14ac:dyDescent="0.2">
      <c r="A24" s="74">
        <f t="shared" si="0"/>
        <v>18</v>
      </c>
      <c r="B24" s="97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Q24" s="72"/>
      <c r="R24" s="72"/>
      <c r="S24" s="72"/>
      <c r="T24" s="72"/>
      <c r="U24" s="72"/>
    </row>
    <row r="25" spans="1:21" x14ac:dyDescent="0.2">
      <c r="A25" s="74">
        <f t="shared" si="0"/>
        <v>19</v>
      </c>
      <c r="B25" s="97"/>
      <c r="C25" s="13" t="s">
        <v>299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Q25" s="72"/>
      <c r="R25" s="72"/>
      <c r="S25" s="72"/>
      <c r="T25" s="72"/>
      <c r="U25" s="72"/>
    </row>
    <row r="26" spans="1:21" x14ac:dyDescent="0.2">
      <c r="A26" s="74">
        <f t="shared" si="0"/>
        <v>20</v>
      </c>
      <c r="B26" s="97">
        <v>500</v>
      </c>
      <c r="C26" s="14" t="s">
        <v>300</v>
      </c>
      <c r="D26" s="14" t="s">
        <v>255</v>
      </c>
      <c r="E26" s="72">
        <v>46113929.731610216</v>
      </c>
      <c r="F26" s="72">
        <v>24306528.379596502</v>
      </c>
      <c r="G26" s="72">
        <v>6107152.2191114174</v>
      </c>
      <c r="H26" s="72">
        <v>6763469.4176821848</v>
      </c>
      <c r="I26" s="72">
        <v>4278319.8628644133</v>
      </c>
      <c r="J26" s="72">
        <v>3225644.493545508</v>
      </c>
      <c r="K26" s="72">
        <v>0</v>
      </c>
      <c r="L26" s="72">
        <v>1265182.8903405657</v>
      </c>
      <c r="M26" s="72">
        <v>0</v>
      </c>
      <c r="N26" s="72">
        <v>151926.85409572202</v>
      </c>
      <c r="O26" s="72">
        <v>15705.614373912373</v>
      </c>
      <c r="Q26" s="72">
        <v>2980661.1253837813</v>
      </c>
      <c r="R26" s="72">
        <v>8574.8342128980494</v>
      </c>
      <c r="S26" s="72">
        <v>236408.5339488285</v>
      </c>
      <c r="T26" s="72">
        <f>SUM(Q26:S26)</f>
        <v>3225644.493545508</v>
      </c>
      <c r="U26" s="72">
        <f>+T26-S26</f>
        <v>2989235.9595966795</v>
      </c>
    </row>
    <row r="27" spans="1:21" x14ac:dyDescent="0.2">
      <c r="A27" s="74">
        <f t="shared" si="0"/>
        <v>21</v>
      </c>
      <c r="B27" s="97">
        <v>535</v>
      </c>
      <c r="C27" s="14" t="s">
        <v>301</v>
      </c>
      <c r="D27" s="14" t="s">
        <v>255</v>
      </c>
      <c r="E27" s="72">
        <v>13175059.809510775</v>
      </c>
      <c r="F27" s="72">
        <v>6944538.6031205356</v>
      </c>
      <c r="G27" s="72">
        <v>1744854.4554949123</v>
      </c>
      <c r="H27" s="72">
        <v>1932368.6924187078</v>
      </c>
      <c r="I27" s="72">
        <v>1222344.7536464888</v>
      </c>
      <c r="J27" s="72">
        <v>921588.32209759729</v>
      </c>
      <c r="K27" s="72">
        <v>0</v>
      </c>
      <c r="L27" s="72">
        <v>361471.25927505764</v>
      </c>
      <c r="M27" s="72">
        <v>0</v>
      </c>
      <c r="N27" s="72">
        <v>43406.523821149538</v>
      </c>
      <c r="O27" s="72">
        <v>4487.1996363295475</v>
      </c>
      <c r="Q27" s="72">
        <v>851594.92646526545</v>
      </c>
      <c r="R27" s="72">
        <v>2449.8877946229245</v>
      </c>
      <c r="S27" s="72">
        <v>67543.507837708952</v>
      </c>
      <c r="T27" s="72">
        <f>SUM(Q27:S27)</f>
        <v>921588.32209759729</v>
      </c>
      <c r="U27" s="72">
        <f>+T27-S27</f>
        <v>854044.81425988837</v>
      </c>
    </row>
    <row r="28" spans="1:21" x14ac:dyDescent="0.2">
      <c r="A28" s="74">
        <f t="shared" si="0"/>
        <v>22</v>
      </c>
      <c r="B28" s="97">
        <v>545</v>
      </c>
      <c r="C28" s="14" t="s">
        <v>302</v>
      </c>
      <c r="D28" s="14" t="s">
        <v>255</v>
      </c>
      <c r="E28" s="72">
        <v>49792154.204511046</v>
      </c>
      <c r="F28" s="72">
        <v>26245310.609986316</v>
      </c>
      <c r="G28" s="72">
        <v>6594282.1792515954</v>
      </c>
      <c r="H28" s="72">
        <v>7302949.7629623637</v>
      </c>
      <c r="I28" s="72">
        <v>4619575.1172761498</v>
      </c>
      <c r="J28" s="72">
        <v>3482934.310008578</v>
      </c>
      <c r="K28" s="72">
        <v>0</v>
      </c>
      <c r="L28" s="72">
        <v>1366098.7458538748</v>
      </c>
      <c r="M28" s="72">
        <v>0</v>
      </c>
      <c r="N28" s="72">
        <v>164045.12456362922</v>
      </c>
      <c r="O28" s="72">
        <v>16958.354608550588</v>
      </c>
      <c r="Q28" s="72">
        <v>3218410.1257535215</v>
      </c>
      <c r="R28" s="72">
        <v>9258.7959840270196</v>
      </c>
      <c r="S28" s="72">
        <v>255265.38827102951</v>
      </c>
      <c r="T28" s="72">
        <f>SUM(Q28:S28)</f>
        <v>3482934.310008578</v>
      </c>
      <c r="U28" s="72">
        <f>+T28-S28</f>
        <v>3227668.9217375484</v>
      </c>
    </row>
    <row r="29" spans="1:21" x14ac:dyDescent="0.2">
      <c r="A29" s="74">
        <f t="shared" si="0"/>
        <v>23</v>
      </c>
      <c r="B29" s="97">
        <v>556</v>
      </c>
      <c r="C29" s="14" t="s">
        <v>303</v>
      </c>
      <c r="D29" s="14" t="s">
        <v>255</v>
      </c>
      <c r="E29" s="72">
        <v>94648.422495439925</v>
      </c>
      <c r="F29" s="72">
        <v>49888.929025548881</v>
      </c>
      <c r="G29" s="72">
        <v>12534.874534498647</v>
      </c>
      <c r="H29" s="72">
        <v>13881.959631407401</v>
      </c>
      <c r="I29" s="72">
        <v>8781.2127118163935</v>
      </c>
      <c r="J29" s="72">
        <v>6620.6060646335636</v>
      </c>
      <c r="K29" s="72">
        <v>0</v>
      </c>
      <c r="L29" s="72">
        <v>2596.7764065197644</v>
      </c>
      <c r="M29" s="72">
        <v>0</v>
      </c>
      <c r="N29" s="72">
        <v>311.82848997139342</v>
      </c>
      <c r="O29" s="72">
        <v>32.235631043899893</v>
      </c>
      <c r="Q29" s="72">
        <v>6117.7799236154287</v>
      </c>
      <c r="R29" s="72">
        <v>17.599769443513619</v>
      </c>
      <c r="S29" s="72">
        <v>485.22637157462123</v>
      </c>
      <c r="T29" s="72">
        <f>SUM(Q29:S29)</f>
        <v>6620.6060646335636</v>
      </c>
      <c r="U29" s="72">
        <f>+T29-S29</f>
        <v>6135.3796930589424</v>
      </c>
    </row>
    <row r="30" spans="1:21" x14ac:dyDescent="0.2">
      <c r="A30" s="31">
        <f t="shared" si="0"/>
        <v>24</v>
      </c>
      <c r="B30" s="68"/>
      <c r="C30" s="26" t="s">
        <v>292</v>
      </c>
      <c r="D30" s="26"/>
      <c r="E30" s="28">
        <f>SUM(E26:E29)</f>
        <v>109175792.16812748</v>
      </c>
      <c r="F30" s="28">
        <f t="shared" ref="F30:L30" si="4">SUM(F26:F29)</f>
        <v>57546266.521728903</v>
      </c>
      <c r="G30" s="28">
        <f t="shared" si="4"/>
        <v>14458823.728392424</v>
      </c>
      <c r="H30" s="28">
        <f t="shared" si="4"/>
        <v>16012669.832694665</v>
      </c>
      <c r="I30" s="28">
        <f t="shared" si="4"/>
        <v>10129020.946498869</v>
      </c>
      <c r="J30" s="28">
        <f t="shared" si="4"/>
        <v>7636787.7317163171</v>
      </c>
      <c r="K30" s="28">
        <f t="shared" si="4"/>
        <v>0</v>
      </c>
      <c r="L30" s="28">
        <f t="shared" si="4"/>
        <v>2995349.6718760175</v>
      </c>
      <c r="M30" s="28">
        <f>SUM(M26:M29)</f>
        <v>0</v>
      </c>
      <c r="N30" s="28">
        <f>SUM(N26:N29)</f>
        <v>359690.33097047219</v>
      </c>
      <c r="O30" s="28">
        <f>SUM(O26:O29)</f>
        <v>37183.404249836407</v>
      </c>
      <c r="Q30" s="28">
        <f>SUM(Q26:Q29)</f>
        <v>7056783.9575261837</v>
      </c>
      <c r="R30" s="28">
        <f>SUM(R26:R29)</f>
        <v>20301.117760991507</v>
      </c>
      <c r="S30" s="28">
        <f>SUM(S26:S29)</f>
        <v>559702.65642914153</v>
      </c>
      <c r="T30" s="28">
        <f>SUM(T26:T29)</f>
        <v>7636787.7317163171</v>
      </c>
      <c r="U30" s="28">
        <f>SUM(U26:U29)</f>
        <v>7077085.0752871763</v>
      </c>
    </row>
    <row r="31" spans="1:21" x14ac:dyDescent="0.2">
      <c r="A31" s="74">
        <f t="shared" si="0"/>
        <v>25</v>
      </c>
      <c r="B31" s="74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Q31" s="72"/>
      <c r="R31" s="72"/>
      <c r="S31" s="72"/>
      <c r="T31" s="72"/>
      <c r="U31" s="72"/>
    </row>
    <row r="32" spans="1:21" x14ac:dyDescent="0.2">
      <c r="A32" s="74">
        <f t="shared" si="0"/>
        <v>26</v>
      </c>
      <c r="B32" s="74"/>
      <c r="C32" s="13" t="s">
        <v>304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Q32" s="72"/>
      <c r="R32" s="72"/>
      <c r="S32" s="72"/>
      <c r="T32" s="72"/>
      <c r="U32" s="72"/>
    </row>
    <row r="33" spans="1:21" x14ac:dyDescent="0.2">
      <c r="A33" s="74">
        <f t="shared" si="0"/>
        <v>27</v>
      </c>
      <c r="B33" s="97">
        <v>565.01</v>
      </c>
      <c r="C33" s="14" t="s">
        <v>305</v>
      </c>
      <c r="D33" s="14" t="s">
        <v>306</v>
      </c>
      <c r="E33" s="72">
        <v>19056918.888669107</v>
      </c>
      <c r="F33" s="72">
        <v>9083422.2126747202</v>
      </c>
      <c r="G33" s="72">
        <v>2281610.0564736943</v>
      </c>
      <c r="H33" s="72">
        <v>2526538.6359313834</v>
      </c>
      <c r="I33" s="72">
        <v>1597363.2552811385</v>
      </c>
      <c r="J33" s="72">
        <v>1204140.3119443734</v>
      </c>
      <c r="K33" s="72">
        <v>269358.43960718601</v>
      </c>
      <c r="L33" s="72">
        <v>472144.17082663265</v>
      </c>
      <c r="M33" s="72">
        <v>1559780.5134749392</v>
      </c>
      <c r="N33" s="72">
        <v>56692.291979815163</v>
      </c>
      <c r="O33" s="72">
        <v>5869.0004752306832</v>
      </c>
      <c r="Q33" s="72">
        <v>1112906.111234067</v>
      </c>
      <c r="R33" s="72">
        <v>3193.4470453750273</v>
      </c>
      <c r="S33" s="72">
        <v>88040.753664931268</v>
      </c>
      <c r="T33" s="72">
        <f>SUM(Q33:S33)</f>
        <v>1204140.3119443734</v>
      </c>
      <c r="U33" s="72">
        <f>+T33-S33</f>
        <v>1116099.5582794421</v>
      </c>
    </row>
    <row r="34" spans="1:21" x14ac:dyDescent="0.2">
      <c r="A34" s="74">
        <f t="shared" si="0"/>
        <v>28</v>
      </c>
      <c r="B34" s="97">
        <v>565.02</v>
      </c>
      <c r="C34" s="14" t="s">
        <v>307</v>
      </c>
      <c r="D34" s="14" t="s">
        <v>232</v>
      </c>
      <c r="E34" s="72">
        <v>2801718.1714950614</v>
      </c>
      <c r="F34" s="72">
        <v>1476778.1154941272</v>
      </c>
      <c r="G34" s="72">
        <v>371048.82294691785</v>
      </c>
      <c r="H34" s="72">
        <v>410924.31896737474</v>
      </c>
      <c r="I34" s="72">
        <v>259935.48094945526</v>
      </c>
      <c r="J34" s="72">
        <v>195978.67379657534</v>
      </c>
      <c r="K34" s="72">
        <v>0</v>
      </c>
      <c r="L34" s="72">
        <v>76868.007449427852</v>
      </c>
      <c r="M34" s="72">
        <v>0</v>
      </c>
      <c r="N34" s="72">
        <v>9230.5346851904524</v>
      </c>
      <c r="O34" s="72">
        <v>954.21720599364392</v>
      </c>
      <c r="Q34" s="72">
        <v>181094.35666534031</v>
      </c>
      <c r="R34" s="72">
        <v>520.97639415375704</v>
      </c>
      <c r="S34" s="72">
        <v>14363.340737081266</v>
      </c>
      <c r="T34" s="72">
        <f>SUM(Q34:S34)</f>
        <v>195978.67379657534</v>
      </c>
      <c r="U34" s="72">
        <f>+T34-S34</f>
        <v>181615.33305949406</v>
      </c>
    </row>
    <row r="35" spans="1:21" x14ac:dyDescent="0.2">
      <c r="A35" s="74">
        <f t="shared" si="0"/>
        <v>29</v>
      </c>
      <c r="B35" s="97">
        <v>565.03</v>
      </c>
      <c r="C35" s="14" t="s">
        <v>308</v>
      </c>
      <c r="D35" s="14" t="s">
        <v>227</v>
      </c>
      <c r="E35" s="72">
        <v>6423.5119633552431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6423.5119633552431</v>
      </c>
      <c r="N35" s="72">
        <v>0</v>
      </c>
      <c r="O35" s="72">
        <v>0</v>
      </c>
      <c r="Q35" s="72">
        <v>0</v>
      </c>
      <c r="R35" s="72">
        <v>0</v>
      </c>
      <c r="S35" s="72">
        <v>0</v>
      </c>
      <c r="T35" s="72">
        <f>SUM(Q35:S35)</f>
        <v>0</v>
      </c>
      <c r="U35" s="72">
        <f>+T35-S35</f>
        <v>0</v>
      </c>
    </row>
    <row r="36" spans="1:21" x14ac:dyDescent="0.2">
      <c r="A36" s="74">
        <f t="shared" si="0"/>
        <v>30</v>
      </c>
      <c r="B36" s="97">
        <v>565.04</v>
      </c>
      <c r="C36" s="14" t="s">
        <v>309</v>
      </c>
      <c r="D36" s="14" t="s">
        <v>232</v>
      </c>
      <c r="E36" s="72">
        <v>2943194.9422494383</v>
      </c>
      <c r="F36" s="72">
        <v>1551350.1409842402</v>
      </c>
      <c r="G36" s="72">
        <v>389785.46455378225</v>
      </c>
      <c r="H36" s="72">
        <v>431674.53084215533</v>
      </c>
      <c r="I36" s="72">
        <v>273061.29525275144</v>
      </c>
      <c r="J36" s="72">
        <v>205874.89754511509</v>
      </c>
      <c r="K36" s="72">
        <v>0</v>
      </c>
      <c r="L36" s="72">
        <v>80749.567550266001</v>
      </c>
      <c r="M36" s="72">
        <v>0</v>
      </c>
      <c r="N36" s="72">
        <v>9696.64375100707</v>
      </c>
      <c r="O36" s="72">
        <v>1002.4017701213791</v>
      </c>
      <c r="Q36" s="72">
        <v>190238.97550799209</v>
      </c>
      <c r="R36" s="72">
        <v>547.28384314488869</v>
      </c>
      <c r="S36" s="72">
        <v>15088.638193978111</v>
      </c>
      <c r="T36" s="72">
        <f>SUM(Q36:S36)</f>
        <v>205874.89754511509</v>
      </c>
      <c r="U36" s="72">
        <f>+T36-S36</f>
        <v>190786.25935113698</v>
      </c>
    </row>
    <row r="37" spans="1:21" x14ac:dyDescent="0.2">
      <c r="A37" s="31">
        <f>+A36+1</f>
        <v>31</v>
      </c>
      <c r="B37" s="68"/>
      <c r="C37" s="26" t="s">
        <v>292</v>
      </c>
      <c r="D37" s="26"/>
      <c r="E37" s="28">
        <f>SUM(E33:E36)</f>
        <v>24808255.514376964</v>
      </c>
      <c r="F37" s="28">
        <f t="shared" ref="F37:O37" si="5">SUM(F33:F36)</f>
        <v>12111550.469153088</v>
      </c>
      <c r="G37" s="28">
        <f t="shared" si="5"/>
        <v>3042444.3439743943</v>
      </c>
      <c r="H37" s="28">
        <f t="shared" si="5"/>
        <v>3369137.4857409131</v>
      </c>
      <c r="I37" s="28">
        <f t="shared" si="5"/>
        <v>2130360.0314833452</v>
      </c>
      <c r="J37" s="28">
        <f t="shared" si="5"/>
        <v>1605993.8832860638</v>
      </c>
      <c r="K37" s="28">
        <f t="shared" si="5"/>
        <v>269358.43960718601</v>
      </c>
      <c r="L37" s="28">
        <f t="shared" si="5"/>
        <v>629761.74582632654</v>
      </c>
      <c r="M37" s="28">
        <f t="shared" si="5"/>
        <v>1566204.0254382945</v>
      </c>
      <c r="N37" s="28">
        <f t="shared" si="5"/>
        <v>75619.470416012686</v>
      </c>
      <c r="O37" s="28">
        <f t="shared" si="5"/>
        <v>7825.6194513457058</v>
      </c>
      <c r="Q37" s="28">
        <f>SUM(Q33:Q36)</f>
        <v>1484239.4434073993</v>
      </c>
      <c r="R37" s="28">
        <f>SUM(R33:R36)</f>
        <v>4261.707282673673</v>
      </c>
      <c r="S37" s="28">
        <f>SUM(S33:S36)</f>
        <v>117492.73259599064</v>
      </c>
      <c r="T37" s="28">
        <f>SUM(T33:T36)</f>
        <v>1605993.8832860638</v>
      </c>
      <c r="U37" s="28">
        <f>SUM(U33:U36)</f>
        <v>1488501.1506900731</v>
      </c>
    </row>
    <row r="38" spans="1:21" x14ac:dyDescent="0.2">
      <c r="A38" s="74">
        <f t="shared" si="0"/>
        <v>32</v>
      </c>
      <c r="B38" s="97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Q38" s="72"/>
      <c r="R38" s="72"/>
      <c r="S38" s="72"/>
      <c r="T38" s="72"/>
      <c r="U38" s="72"/>
    </row>
    <row r="39" spans="1:21" x14ac:dyDescent="0.2">
      <c r="A39" s="74">
        <f t="shared" si="0"/>
        <v>33</v>
      </c>
      <c r="B39" s="97"/>
      <c r="C39" s="13" t="s">
        <v>310</v>
      </c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Q39" s="72"/>
      <c r="R39" s="72"/>
      <c r="S39" s="72"/>
      <c r="T39" s="72"/>
      <c r="U39" s="72"/>
    </row>
    <row r="40" spans="1:21" x14ac:dyDescent="0.2">
      <c r="A40" s="74">
        <f t="shared" si="0"/>
        <v>34</v>
      </c>
      <c r="B40" s="97">
        <v>581</v>
      </c>
      <c r="C40" s="14" t="s">
        <v>311</v>
      </c>
      <c r="D40" s="14" t="s">
        <v>312</v>
      </c>
      <c r="E40" s="72">
        <v>1756789.5206272467</v>
      </c>
      <c r="F40" s="72">
        <v>1120688.5476335108</v>
      </c>
      <c r="G40" s="72">
        <v>249354.72365896701</v>
      </c>
      <c r="H40" s="72">
        <v>158547.8789230343</v>
      </c>
      <c r="I40" s="72">
        <v>59779.44128397145</v>
      </c>
      <c r="J40" s="72">
        <v>117234.11332899742</v>
      </c>
      <c r="K40" s="72">
        <v>17671.096012953381</v>
      </c>
      <c r="L40" s="72">
        <v>9411.9701341393175</v>
      </c>
      <c r="M40" s="72">
        <v>5426.8134540384781</v>
      </c>
      <c r="N40" s="72">
        <v>18208.167277884768</v>
      </c>
      <c r="O40" s="72">
        <v>466.76891974937331</v>
      </c>
      <c r="Q40" s="72">
        <v>91028.186966372072</v>
      </c>
      <c r="R40" s="72">
        <v>725.19551391580183</v>
      </c>
      <c r="S40" s="72">
        <v>25480.730848709551</v>
      </c>
      <c r="T40" s="72">
        <f t="shared" ref="T40:T49" si="6">SUM(Q40:S40)</f>
        <v>117234.11332899742</v>
      </c>
      <c r="U40" s="72">
        <f t="shared" ref="U40:U49" si="7">+T40-S40</f>
        <v>91753.382480287866</v>
      </c>
    </row>
    <row r="41" spans="1:21" x14ac:dyDescent="0.2">
      <c r="A41" s="74">
        <f t="shared" si="0"/>
        <v>35</v>
      </c>
      <c r="B41" s="97">
        <v>582</v>
      </c>
      <c r="C41" s="14" t="s">
        <v>313</v>
      </c>
      <c r="D41" s="14" t="s">
        <v>314</v>
      </c>
      <c r="E41" s="72">
        <v>1809514.8395264985</v>
      </c>
      <c r="F41" s="72">
        <v>938393.43115670129</v>
      </c>
      <c r="G41" s="72">
        <v>226879.08664162952</v>
      </c>
      <c r="H41" s="72">
        <v>249292.38908507355</v>
      </c>
      <c r="I41" s="72">
        <v>132646.40464143996</v>
      </c>
      <c r="J41" s="72">
        <v>134603.56971770572</v>
      </c>
      <c r="K41" s="72">
        <v>58221.809320955981</v>
      </c>
      <c r="L41" s="72">
        <v>47286.879057156613</v>
      </c>
      <c r="M41" s="72">
        <v>20372.782163879376</v>
      </c>
      <c r="N41" s="72">
        <v>1356.1973556667917</v>
      </c>
      <c r="O41" s="72">
        <v>462.29038628956772</v>
      </c>
      <c r="Q41" s="72">
        <v>120607.64718486567</v>
      </c>
      <c r="R41" s="72">
        <v>434.22819154588501</v>
      </c>
      <c r="S41" s="72">
        <v>13561.694341294169</v>
      </c>
      <c r="T41" s="72">
        <f t="shared" si="6"/>
        <v>134603.56971770572</v>
      </c>
      <c r="U41" s="72">
        <f t="shared" si="7"/>
        <v>121041.87537641154</v>
      </c>
    </row>
    <row r="42" spans="1:21" x14ac:dyDescent="0.2">
      <c r="A42" s="74">
        <f t="shared" si="0"/>
        <v>36</v>
      </c>
      <c r="B42" s="97">
        <v>583</v>
      </c>
      <c r="C42" s="14" t="s">
        <v>315</v>
      </c>
      <c r="D42" s="14" t="s">
        <v>258</v>
      </c>
      <c r="E42" s="72">
        <v>2676079.5362708503</v>
      </c>
      <c r="F42" s="72">
        <v>1844232.13549301</v>
      </c>
      <c r="G42" s="72">
        <v>336972.99991922121</v>
      </c>
      <c r="H42" s="72">
        <v>261972.7481745024</v>
      </c>
      <c r="I42" s="72">
        <v>103632.31344823039</v>
      </c>
      <c r="J42" s="72">
        <v>125574.69134623735</v>
      </c>
      <c r="K42" s="72">
        <v>227.51566421619049</v>
      </c>
      <c r="L42" s="72">
        <v>0</v>
      </c>
      <c r="M42" s="72">
        <v>0</v>
      </c>
      <c r="N42" s="72">
        <v>1620.6827379346159</v>
      </c>
      <c r="O42" s="72">
        <v>1846.4494874976469</v>
      </c>
      <c r="Q42" s="72">
        <v>97004.446728915675</v>
      </c>
      <c r="R42" s="72">
        <v>2429.6802572021438</v>
      </c>
      <c r="S42" s="72">
        <v>26140.564360119526</v>
      </c>
      <c r="T42" s="72">
        <f t="shared" si="6"/>
        <v>125574.69134623735</v>
      </c>
      <c r="U42" s="72">
        <f t="shared" si="7"/>
        <v>99434.12698611783</v>
      </c>
    </row>
    <row r="43" spans="1:21" x14ac:dyDescent="0.2">
      <c r="A43" s="74">
        <f t="shared" si="0"/>
        <v>37</v>
      </c>
      <c r="B43" s="97">
        <v>584</v>
      </c>
      <c r="C43" s="14" t="s">
        <v>316</v>
      </c>
      <c r="D43" s="14" t="s">
        <v>317</v>
      </c>
      <c r="E43" s="72">
        <v>4739504.3435808057</v>
      </c>
      <c r="F43" s="72">
        <v>3136767.6051570675</v>
      </c>
      <c r="G43" s="72">
        <v>558933.61255447543</v>
      </c>
      <c r="H43" s="72">
        <v>521585.08799741167</v>
      </c>
      <c r="I43" s="72">
        <v>226457.78652223671</v>
      </c>
      <c r="J43" s="72">
        <v>213741.72327267204</v>
      </c>
      <c r="K43" s="72">
        <v>63166.979152309745</v>
      </c>
      <c r="L43" s="72">
        <v>15334.243327640608</v>
      </c>
      <c r="M43" s="72">
        <v>92.150065211651153</v>
      </c>
      <c r="N43" s="72">
        <v>2149.3890988904327</v>
      </c>
      <c r="O43" s="72">
        <v>1275.7664328898049</v>
      </c>
      <c r="Q43" s="72">
        <v>161527.74636715307</v>
      </c>
      <c r="R43" s="72">
        <v>1918.2719914828592</v>
      </c>
      <c r="S43" s="72">
        <v>50295.70491403612</v>
      </c>
      <c r="T43" s="72">
        <f t="shared" si="6"/>
        <v>213741.72327267204</v>
      </c>
      <c r="U43" s="72">
        <f t="shared" si="7"/>
        <v>163446.01835863592</v>
      </c>
    </row>
    <row r="44" spans="1:21" x14ac:dyDescent="0.2">
      <c r="A44" s="74">
        <f t="shared" si="0"/>
        <v>38</v>
      </c>
      <c r="B44" s="97">
        <v>585</v>
      </c>
      <c r="C44" s="14" t="s">
        <v>318</v>
      </c>
      <c r="D44" s="14" t="s">
        <v>273</v>
      </c>
      <c r="E44" s="72">
        <v>145300.63335813151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72">
        <v>145300.63335813151</v>
      </c>
      <c r="O44" s="72">
        <v>0</v>
      </c>
      <c r="Q44" s="72">
        <v>0</v>
      </c>
      <c r="R44" s="72">
        <v>0</v>
      </c>
      <c r="S44" s="72">
        <v>0</v>
      </c>
      <c r="T44" s="72">
        <f t="shared" si="6"/>
        <v>0</v>
      </c>
      <c r="U44" s="72">
        <f t="shared" si="7"/>
        <v>0</v>
      </c>
    </row>
    <row r="45" spans="1:21" x14ac:dyDescent="0.2">
      <c r="A45" s="74">
        <f t="shared" si="0"/>
        <v>39</v>
      </c>
      <c r="B45" s="97">
        <v>586</v>
      </c>
      <c r="C45" s="14" t="s">
        <v>319</v>
      </c>
      <c r="D45" s="14" t="s">
        <v>320</v>
      </c>
      <c r="E45" s="72">
        <v>1730550.5930792508</v>
      </c>
      <c r="F45" s="72">
        <v>1123518.3804611764</v>
      </c>
      <c r="G45" s="72">
        <v>315355.25486030173</v>
      </c>
      <c r="H45" s="72">
        <v>93198.861507729729</v>
      </c>
      <c r="I45" s="72">
        <v>10474.752615772622</v>
      </c>
      <c r="J45" s="72">
        <v>166419.12869394882</v>
      </c>
      <c r="K45" s="72">
        <v>8200.857536918249</v>
      </c>
      <c r="L45" s="72">
        <v>5092.712994621379</v>
      </c>
      <c r="M45" s="72">
        <v>8199.2240260751933</v>
      </c>
      <c r="N45" s="72">
        <v>0</v>
      </c>
      <c r="O45" s="72">
        <v>91.420382706517884</v>
      </c>
      <c r="Q45" s="72">
        <v>125464.50330648165</v>
      </c>
      <c r="R45" s="72">
        <v>406.79545126035157</v>
      </c>
      <c r="S45" s="72">
        <v>40547.829936206821</v>
      </c>
      <c r="T45" s="72">
        <f t="shared" si="6"/>
        <v>166419.12869394882</v>
      </c>
      <c r="U45" s="72">
        <f t="shared" si="7"/>
        <v>125871.298757742</v>
      </c>
    </row>
    <row r="46" spans="1:21" x14ac:dyDescent="0.2">
      <c r="A46" s="74">
        <f t="shared" si="0"/>
        <v>40</v>
      </c>
      <c r="B46" s="97">
        <v>587</v>
      </c>
      <c r="C46" s="14" t="s">
        <v>321</v>
      </c>
      <c r="D46" s="14" t="s">
        <v>320</v>
      </c>
      <c r="E46" s="72">
        <v>3412779.0851301313</v>
      </c>
      <c r="F46" s="72">
        <v>2215664.7982042483</v>
      </c>
      <c r="G46" s="72">
        <v>621904.85645271954</v>
      </c>
      <c r="H46" s="72">
        <v>183795.33460825766</v>
      </c>
      <c r="I46" s="72">
        <v>20657.019096686912</v>
      </c>
      <c r="J46" s="72">
        <v>328191.34213331772</v>
      </c>
      <c r="K46" s="72">
        <v>16172.722828245394</v>
      </c>
      <c r="L46" s="72">
        <v>10043.222350228249</v>
      </c>
      <c r="M46" s="72">
        <v>16169.501419022914</v>
      </c>
      <c r="N46" s="72">
        <v>0</v>
      </c>
      <c r="O46" s="72">
        <v>180.28803740446821</v>
      </c>
      <c r="Q46" s="72">
        <v>247425.66586782946</v>
      </c>
      <c r="R46" s="72">
        <v>802.23196798721051</v>
      </c>
      <c r="S46" s="72">
        <v>79963.444297501046</v>
      </c>
      <c r="T46" s="72">
        <f t="shared" si="6"/>
        <v>328191.34213331772</v>
      </c>
      <c r="U46" s="72">
        <f t="shared" si="7"/>
        <v>248227.89783581666</v>
      </c>
    </row>
    <row r="47" spans="1:21" x14ac:dyDescent="0.2">
      <c r="A47" s="74">
        <f t="shared" si="0"/>
        <v>41</v>
      </c>
      <c r="B47" s="97">
        <v>589</v>
      </c>
      <c r="C47" s="14" t="s">
        <v>322</v>
      </c>
      <c r="D47" s="14" t="s">
        <v>312</v>
      </c>
      <c r="E47" s="72">
        <v>1318379.920159139</v>
      </c>
      <c r="F47" s="72">
        <v>841018.94996778155</v>
      </c>
      <c r="G47" s="72">
        <v>187127.85840812491</v>
      </c>
      <c r="H47" s="72">
        <v>118982.00524404297</v>
      </c>
      <c r="I47" s="72">
        <v>44861.38726452618</v>
      </c>
      <c r="J47" s="72">
        <v>87978.155126646627</v>
      </c>
      <c r="K47" s="72">
        <v>13261.246083915557</v>
      </c>
      <c r="L47" s="72">
        <v>7063.1981169585006</v>
      </c>
      <c r="M47" s="72">
        <v>4072.5435826252542</v>
      </c>
      <c r="N47" s="72">
        <v>13664.290366151025</v>
      </c>
      <c r="O47" s="72">
        <v>350.28599836605963</v>
      </c>
      <c r="Q47" s="72">
        <v>68311.959091211058</v>
      </c>
      <c r="R47" s="72">
        <v>544.22182766363471</v>
      </c>
      <c r="S47" s="72">
        <v>19121.974207771924</v>
      </c>
      <c r="T47" s="72">
        <f t="shared" si="6"/>
        <v>87978.155126646627</v>
      </c>
      <c r="U47" s="72">
        <f t="shared" si="7"/>
        <v>68856.180918874699</v>
      </c>
    </row>
    <row r="48" spans="1:21" x14ac:dyDescent="0.2">
      <c r="A48" s="74">
        <f t="shared" si="0"/>
        <v>42</v>
      </c>
      <c r="B48" s="97">
        <v>580</v>
      </c>
      <c r="C48" s="14" t="s">
        <v>323</v>
      </c>
      <c r="D48" s="14" t="s">
        <v>324</v>
      </c>
      <c r="E48" s="72">
        <v>2736810.1071949545</v>
      </c>
      <c r="F48" s="72">
        <v>1745861.8167792466</v>
      </c>
      <c r="G48" s="72">
        <v>388456.62498203403</v>
      </c>
      <c r="H48" s="72">
        <v>246993.41179810569</v>
      </c>
      <c r="I48" s="72">
        <v>93127.251265721716</v>
      </c>
      <c r="J48" s="72">
        <v>182632.86665797222</v>
      </c>
      <c r="K48" s="72">
        <v>27528.872187372734</v>
      </c>
      <c r="L48" s="72">
        <v>14662.413845986852</v>
      </c>
      <c r="M48" s="72">
        <v>8454.1476007730489</v>
      </c>
      <c r="N48" s="72">
        <v>28365.547297788573</v>
      </c>
      <c r="O48" s="72">
        <v>727.15477995249546</v>
      </c>
      <c r="Q48" s="72">
        <v>141808.03061726512</v>
      </c>
      <c r="R48" s="72">
        <v>1129.7439954380977</v>
      </c>
      <c r="S48" s="72">
        <v>39695.092045269012</v>
      </c>
      <c r="T48" s="72">
        <f t="shared" si="6"/>
        <v>182632.86665797222</v>
      </c>
      <c r="U48" s="72">
        <f t="shared" si="7"/>
        <v>142937.77461270322</v>
      </c>
    </row>
    <row r="49" spans="1:21" x14ac:dyDescent="0.2">
      <c r="A49" s="74">
        <f t="shared" si="0"/>
        <v>43</v>
      </c>
      <c r="B49" s="97">
        <v>588</v>
      </c>
      <c r="C49" s="14" t="s">
        <v>325</v>
      </c>
      <c r="D49" s="14" t="s">
        <v>324</v>
      </c>
      <c r="E49" s="72">
        <v>12333410.01394878</v>
      </c>
      <c r="F49" s="72">
        <v>7867710.4989594091</v>
      </c>
      <c r="G49" s="72">
        <v>1750576.2697758414</v>
      </c>
      <c r="H49" s="72">
        <v>1113073.5780467987</v>
      </c>
      <c r="I49" s="72">
        <v>419677.11618450203</v>
      </c>
      <c r="J49" s="72">
        <v>823033.36303601018</v>
      </c>
      <c r="K49" s="72">
        <v>124058.61371816146</v>
      </c>
      <c r="L49" s="72">
        <v>66076.035484282009</v>
      </c>
      <c r="M49" s="72">
        <v>38098.539757894818</v>
      </c>
      <c r="N49" s="72">
        <v>127829.08254173679</v>
      </c>
      <c r="O49" s="72">
        <v>3276.9164441404114</v>
      </c>
      <c r="Q49" s="72">
        <v>639056.60837606143</v>
      </c>
      <c r="R49" s="72">
        <v>5091.1811052962439</v>
      </c>
      <c r="S49" s="72">
        <v>178885.57355465248</v>
      </c>
      <c r="T49" s="72">
        <f t="shared" si="6"/>
        <v>823033.36303601018</v>
      </c>
      <c r="U49" s="72">
        <f t="shared" si="7"/>
        <v>644147.78948135767</v>
      </c>
    </row>
    <row r="50" spans="1:21" x14ac:dyDescent="0.2">
      <c r="A50" s="31">
        <f t="shared" si="0"/>
        <v>44</v>
      </c>
      <c r="B50" s="68"/>
      <c r="C50" s="26" t="s">
        <v>292</v>
      </c>
      <c r="D50" s="26"/>
      <c r="E50" s="28">
        <f>SUM(E40:E49)</f>
        <v>32659118.59287579</v>
      </c>
      <c r="F50" s="28">
        <f t="shared" ref="F50:L50" si="8">SUM(F40:F49)</f>
        <v>20833856.163812153</v>
      </c>
      <c r="G50" s="28">
        <f t="shared" si="8"/>
        <v>4635561.2872533146</v>
      </c>
      <c r="H50" s="28">
        <f t="shared" si="8"/>
        <v>2947441.2953849565</v>
      </c>
      <c r="I50" s="28">
        <f t="shared" si="8"/>
        <v>1111313.472323088</v>
      </c>
      <c r="J50" s="28">
        <f t="shared" si="8"/>
        <v>2179408.9533135081</v>
      </c>
      <c r="K50" s="28">
        <f t="shared" si="8"/>
        <v>328509.71250504872</v>
      </c>
      <c r="L50" s="28">
        <f t="shared" si="8"/>
        <v>174970.67531101353</v>
      </c>
      <c r="M50" s="28">
        <f>SUM(M40:M49)</f>
        <v>100885.70206952073</v>
      </c>
      <c r="N50" s="28">
        <f>SUM(N40:N49)</f>
        <v>338493.99003418454</v>
      </c>
      <c r="O50" s="28">
        <f>SUM(O40:O49)</f>
        <v>8677.3408689963453</v>
      </c>
      <c r="Q50" s="28">
        <f>SUM(Q40:Q49)</f>
        <v>1692234.7945061554</v>
      </c>
      <c r="R50" s="28">
        <f>SUM(R40:R49)</f>
        <v>13481.550301792229</v>
      </c>
      <c r="S50" s="28">
        <f>SUM(S40:S49)</f>
        <v>473692.60850556067</v>
      </c>
      <c r="T50" s="28">
        <f>SUM(T40:T49)</f>
        <v>2179408.9533135081</v>
      </c>
      <c r="U50" s="28">
        <f>SUM(U40:U49)</f>
        <v>1705716.3448079473</v>
      </c>
    </row>
    <row r="51" spans="1:21" x14ac:dyDescent="0.2">
      <c r="A51" s="74">
        <f t="shared" si="0"/>
        <v>45</v>
      </c>
      <c r="B51" s="97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Q51" s="72"/>
      <c r="R51" s="72"/>
      <c r="S51" s="72"/>
      <c r="T51" s="72"/>
      <c r="U51" s="72"/>
    </row>
    <row r="52" spans="1:21" x14ac:dyDescent="0.2">
      <c r="A52" s="74">
        <f t="shared" si="0"/>
        <v>46</v>
      </c>
      <c r="B52" s="97"/>
      <c r="C52" s="13" t="s">
        <v>326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Q52" s="72"/>
      <c r="R52" s="72"/>
      <c r="S52" s="72"/>
      <c r="T52" s="72"/>
      <c r="U52" s="72"/>
    </row>
    <row r="53" spans="1:21" x14ac:dyDescent="0.2">
      <c r="A53" s="74">
        <f t="shared" si="0"/>
        <v>47</v>
      </c>
      <c r="B53" s="97">
        <v>901</v>
      </c>
      <c r="C53" s="14" t="s">
        <v>327</v>
      </c>
      <c r="D53" s="14" t="s">
        <v>328</v>
      </c>
      <c r="E53" s="72">
        <v>134621.92638556895</v>
      </c>
      <c r="F53" s="72">
        <v>117096.12757406002</v>
      </c>
      <c r="G53" s="72">
        <v>12266.034859929381</v>
      </c>
      <c r="H53" s="72">
        <v>1234.1147826003657</v>
      </c>
      <c r="I53" s="72">
        <v>1309.5115746087858</v>
      </c>
      <c r="J53" s="72">
        <v>1455.1315629762987</v>
      </c>
      <c r="K53" s="72">
        <v>160.74239463472423</v>
      </c>
      <c r="L53" s="72">
        <v>256.40347828505998</v>
      </c>
      <c r="M53" s="72">
        <v>457.8237563005523</v>
      </c>
      <c r="N53" s="72">
        <v>385.78311716064832</v>
      </c>
      <c r="O53" s="72">
        <v>0.25328501306495393</v>
      </c>
      <c r="Q53" s="72">
        <v>1415.3972782132566</v>
      </c>
      <c r="R53" s="72">
        <v>0.11948284628148363</v>
      </c>
      <c r="S53" s="72">
        <v>39.614801916760626</v>
      </c>
      <c r="T53" s="72">
        <f>SUM(Q53:S53)</f>
        <v>1455.1315629762987</v>
      </c>
      <c r="U53" s="72">
        <f>+T53-S53</f>
        <v>1415.5167610595381</v>
      </c>
    </row>
    <row r="54" spans="1:21" x14ac:dyDescent="0.2">
      <c r="A54" s="74">
        <f t="shared" si="0"/>
        <v>48</v>
      </c>
      <c r="B54" s="97">
        <v>902</v>
      </c>
      <c r="C54" s="14" t="s">
        <v>329</v>
      </c>
      <c r="D54" s="14" t="s">
        <v>330</v>
      </c>
      <c r="E54" s="72">
        <v>11371141.862653149</v>
      </c>
      <c r="F54" s="72">
        <v>9996632.4211208429</v>
      </c>
      <c r="G54" s="72">
        <v>1272599.4674878372</v>
      </c>
      <c r="H54" s="72">
        <v>84726.18167537573</v>
      </c>
      <c r="I54" s="72">
        <v>8562.8039852760412</v>
      </c>
      <c r="J54" s="72">
        <v>6700.9032319657363</v>
      </c>
      <c r="K54" s="72">
        <v>960.04257592562647</v>
      </c>
      <c r="L54" s="72">
        <v>349.10639124568235</v>
      </c>
      <c r="M54" s="72">
        <v>533.35698662534799</v>
      </c>
      <c r="N54" s="72">
        <v>0</v>
      </c>
      <c r="O54" s="72">
        <v>77.579198054596077</v>
      </c>
      <c r="Q54" s="72">
        <v>5139.6218711169904</v>
      </c>
      <c r="R54" s="72">
        <v>19.394799513649019</v>
      </c>
      <c r="S54" s="72">
        <v>1541.886561335097</v>
      </c>
      <c r="T54" s="72">
        <f>SUM(Q54:S54)</f>
        <v>6700.9032319657363</v>
      </c>
      <c r="U54" s="72">
        <f>+T54-S54</f>
        <v>5159.0166706306391</v>
      </c>
    </row>
    <row r="55" spans="1:21" x14ac:dyDescent="0.2">
      <c r="A55" s="74">
        <f t="shared" si="0"/>
        <v>49</v>
      </c>
      <c r="B55" s="97">
        <v>903</v>
      </c>
      <c r="C55" s="14" t="s">
        <v>331</v>
      </c>
      <c r="D55" s="14" t="s">
        <v>332</v>
      </c>
      <c r="E55" s="72">
        <v>23622828.61329595</v>
      </c>
      <c r="F55" s="72">
        <v>20177622.519180335</v>
      </c>
      <c r="G55" s="72">
        <v>2381005.4371652394</v>
      </c>
      <c r="H55" s="72">
        <v>216910.05295143303</v>
      </c>
      <c r="I55" s="72">
        <v>224156.19862806523</v>
      </c>
      <c r="J55" s="72">
        <v>181617.4301552223</v>
      </c>
      <c r="K55" s="72">
        <v>61073.219929349732</v>
      </c>
      <c r="L55" s="72">
        <v>98601.418215949743</v>
      </c>
      <c r="M55" s="72">
        <v>176148.726917133</v>
      </c>
      <c r="N55" s="72">
        <v>105673.44229617827</v>
      </c>
      <c r="O55" s="72">
        <v>20.167857038212635</v>
      </c>
      <c r="Q55" s="72">
        <v>167844.56570614738</v>
      </c>
      <c r="R55" s="72">
        <v>26.715691655154234</v>
      </c>
      <c r="S55" s="72">
        <v>13746.148757419774</v>
      </c>
      <c r="T55" s="72">
        <f>SUM(Q55:S55)</f>
        <v>181617.4301552223</v>
      </c>
      <c r="U55" s="72">
        <f>+T55-S55</f>
        <v>167871.28139780252</v>
      </c>
    </row>
    <row r="56" spans="1:21" x14ac:dyDescent="0.2">
      <c r="A56" s="74">
        <f t="shared" si="0"/>
        <v>50</v>
      </c>
      <c r="B56" s="97">
        <v>904</v>
      </c>
      <c r="C56" s="14" t="s">
        <v>333</v>
      </c>
      <c r="D56" s="14" t="s">
        <v>334</v>
      </c>
      <c r="E56" s="72">
        <v>16958952.817367498</v>
      </c>
      <c r="F56" s="72">
        <v>15015160.314208854</v>
      </c>
      <c r="G56" s="72">
        <v>1080069.5070909716</v>
      </c>
      <c r="H56" s="72">
        <v>174629.9454600178</v>
      </c>
      <c r="I56" s="72">
        <v>272644.09992099757</v>
      </c>
      <c r="J56" s="72">
        <v>373242.03424914565</v>
      </c>
      <c r="K56" s="72">
        <v>0</v>
      </c>
      <c r="L56" s="72">
        <v>0</v>
      </c>
      <c r="M56" s="72">
        <v>0</v>
      </c>
      <c r="N56" s="72">
        <v>43206.916437510416</v>
      </c>
      <c r="O56" s="72">
        <v>0</v>
      </c>
      <c r="Q56" s="72">
        <v>373242.03424914565</v>
      </c>
      <c r="R56" s="72">
        <v>0</v>
      </c>
      <c r="S56" s="72">
        <v>0</v>
      </c>
      <c r="T56" s="72">
        <f>SUM(Q56:S56)</f>
        <v>373242.03424914565</v>
      </c>
      <c r="U56" s="72">
        <f>+T56-S56</f>
        <v>373242.03424914565</v>
      </c>
    </row>
    <row r="57" spans="1:21" x14ac:dyDescent="0.2">
      <c r="A57" s="74">
        <f t="shared" si="0"/>
        <v>51</v>
      </c>
      <c r="B57" s="97">
        <v>905</v>
      </c>
      <c r="C57" s="14" t="s">
        <v>335</v>
      </c>
      <c r="D57" s="14" t="s">
        <v>336</v>
      </c>
      <c r="E57" s="72">
        <v>0</v>
      </c>
      <c r="F57" s="72">
        <v>0</v>
      </c>
      <c r="G57" s="72">
        <v>0</v>
      </c>
      <c r="H57" s="72">
        <v>0</v>
      </c>
      <c r="I57" s="72">
        <v>0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Q57" s="72">
        <v>0</v>
      </c>
      <c r="R57" s="72">
        <v>0</v>
      </c>
      <c r="S57" s="72">
        <v>0</v>
      </c>
      <c r="T57" s="72">
        <f>SUM(Q57:S57)</f>
        <v>0</v>
      </c>
      <c r="U57" s="72">
        <f>+T57-S57</f>
        <v>0</v>
      </c>
    </row>
    <row r="58" spans="1:21" x14ac:dyDescent="0.2">
      <c r="A58" s="31">
        <f t="shared" si="0"/>
        <v>52</v>
      </c>
      <c r="B58" s="68"/>
      <c r="C58" s="26" t="s">
        <v>292</v>
      </c>
      <c r="D58" s="26"/>
      <c r="E58" s="28">
        <f>SUM(E53:E57)</f>
        <v>52087545.219702169</v>
      </c>
      <c r="F58" s="28">
        <f t="shared" ref="F58:L58" si="9">SUM(F53:F57)</f>
        <v>45306511.382084087</v>
      </c>
      <c r="G58" s="28">
        <f t="shared" si="9"/>
        <v>4745940.4466039781</v>
      </c>
      <c r="H58" s="28">
        <f t="shared" si="9"/>
        <v>477500.29486942687</v>
      </c>
      <c r="I58" s="28">
        <f t="shared" si="9"/>
        <v>506672.61410894763</v>
      </c>
      <c r="J58" s="28">
        <f t="shared" si="9"/>
        <v>563015.49919930997</v>
      </c>
      <c r="K58" s="28">
        <f t="shared" si="9"/>
        <v>62194.004899910084</v>
      </c>
      <c r="L58" s="28">
        <f t="shared" si="9"/>
        <v>99206.928085480482</v>
      </c>
      <c r="M58" s="28">
        <f>SUM(M53:M57)</f>
        <v>177139.9076600589</v>
      </c>
      <c r="N58" s="28">
        <f>SUM(N53:N57)</f>
        <v>149266.14185084932</v>
      </c>
      <c r="O58" s="28">
        <f>SUM(O53:O57)</f>
        <v>98.000340105873661</v>
      </c>
      <c r="Q58" s="28">
        <f>SUM(Q53:Q57)</f>
        <v>547641.61910462333</v>
      </c>
      <c r="R58" s="28">
        <f>SUM(R53:R57)</f>
        <v>46.229974015084736</v>
      </c>
      <c r="S58" s="28">
        <f>SUM(S53:S57)</f>
        <v>15327.650120671631</v>
      </c>
      <c r="T58" s="28">
        <f>SUM(T53:T57)</f>
        <v>563015.49919930997</v>
      </c>
      <c r="U58" s="28">
        <f>SUM(U53:U57)</f>
        <v>547687.84907863836</v>
      </c>
    </row>
    <row r="59" spans="1:21" x14ac:dyDescent="0.2">
      <c r="A59" s="74">
        <f t="shared" si="0"/>
        <v>53</v>
      </c>
      <c r="B59" s="97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Q59" s="72"/>
      <c r="R59" s="72"/>
      <c r="S59" s="72"/>
      <c r="T59" s="72"/>
      <c r="U59" s="72"/>
    </row>
    <row r="60" spans="1:21" x14ac:dyDescent="0.2">
      <c r="A60" s="74">
        <f t="shared" si="0"/>
        <v>54</v>
      </c>
      <c r="B60" s="97"/>
      <c r="C60" s="14" t="s">
        <v>337</v>
      </c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Q60" s="72"/>
      <c r="R60" s="72"/>
      <c r="S60" s="72"/>
      <c r="T60" s="72"/>
      <c r="U60" s="72"/>
    </row>
    <row r="61" spans="1:21" x14ac:dyDescent="0.2">
      <c r="A61" s="74">
        <f t="shared" si="0"/>
        <v>55</v>
      </c>
      <c r="B61" s="97">
        <v>908.01</v>
      </c>
      <c r="C61" s="14" t="s">
        <v>338</v>
      </c>
      <c r="D61" s="14" t="s">
        <v>339</v>
      </c>
      <c r="E61" s="72">
        <v>181452.77413573861</v>
      </c>
      <c r="F61" s="72">
        <v>181452.77413573861</v>
      </c>
      <c r="G61" s="72">
        <v>0</v>
      </c>
      <c r="H61" s="72">
        <v>0</v>
      </c>
      <c r="I61" s="72">
        <v>0</v>
      </c>
      <c r="J61" s="72">
        <v>0</v>
      </c>
      <c r="K61" s="72">
        <v>0</v>
      </c>
      <c r="L61" s="72">
        <v>0</v>
      </c>
      <c r="M61" s="72">
        <v>0</v>
      </c>
      <c r="N61" s="72">
        <v>0</v>
      </c>
      <c r="O61" s="72">
        <v>0</v>
      </c>
      <c r="Q61" s="72">
        <v>0</v>
      </c>
      <c r="R61" s="72">
        <v>0</v>
      </c>
      <c r="S61" s="72">
        <v>0</v>
      </c>
      <c r="T61" s="72">
        <f t="shared" ref="T61:T68" si="10">SUM(Q61:S61)</f>
        <v>0</v>
      </c>
      <c r="U61" s="72">
        <f t="shared" ref="U61:U68" si="11">+T61-S61</f>
        <v>0</v>
      </c>
    </row>
    <row r="62" spans="1:21" x14ac:dyDescent="0.2">
      <c r="A62" s="74">
        <f t="shared" si="0"/>
        <v>56</v>
      </c>
      <c r="B62" s="97">
        <v>908.02</v>
      </c>
      <c r="C62" s="14" t="s">
        <v>340</v>
      </c>
      <c r="D62" s="14" t="s">
        <v>232</v>
      </c>
      <c r="E62" s="72">
        <v>0</v>
      </c>
      <c r="F62" s="72">
        <v>0</v>
      </c>
      <c r="G62" s="72">
        <v>0</v>
      </c>
      <c r="H62" s="72">
        <v>0</v>
      </c>
      <c r="I62" s="72">
        <v>0</v>
      </c>
      <c r="J62" s="72">
        <v>0</v>
      </c>
      <c r="K62" s="72">
        <v>0</v>
      </c>
      <c r="L62" s="72">
        <v>0</v>
      </c>
      <c r="M62" s="72">
        <v>0</v>
      </c>
      <c r="N62" s="72">
        <v>0</v>
      </c>
      <c r="O62" s="72">
        <v>0</v>
      </c>
      <c r="Q62" s="72">
        <v>0</v>
      </c>
      <c r="R62" s="72">
        <v>0</v>
      </c>
      <c r="S62" s="72">
        <v>0</v>
      </c>
      <c r="T62" s="72">
        <f t="shared" si="10"/>
        <v>0</v>
      </c>
      <c r="U62" s="72">
        <f t="shared" si="11"/>
        <v>0</v>
      </c>
    </row>
    <row r="63" spans="1:21" x14ac:dyDescent="0.2">
      <c r="A63" s="74">
        <f t="shared" si="0"/>
        <v>57</v>
      </c>
      <c r="B63" s="97">
        <v>909</v>
      </c>
      <c r="C63" s="14" t="s">
        <v>341</v>
      </c>
      <c r="D63" s="14" t="s">
        <v>336</v>
      </c>
      <c r="E63" s="72">
        <v>3077574.695869219</v>
      </c>
      <c r="F63" s="72">
        <v>2704935.780114776</v>
      </c>
      <c r="G63" s="72">
        <v>325473.87122381834</v>
      </c>
      <c r="H63" s="72">
        <v>21852.075565973559</v>
      </c>
      <c r="I63" s="72">
        <v>2253.7294985974686</v>
      </c>
      <c r="J63" s="72">
        <v>1723.7551034403446</v>
      </c>
      <c r="K63" s="72">
        <v>248.92736742228576</v>
      </c>
      <c r="L63" s="72">
        <v>66.915958984485414</v>
      </c>
      <c r="M63" s="72">
        <v>42.826213750070671</v>
      </c>
      <c r="N63" s="72">
        <v>20955.401715581454</v>
      </c>
      <c r="O63" s="72">
        <v>21.413106875035336</v>
      </c>
      <c r="Q63" s="72">
        <v>1303.5228810177759</v>
      </c>
      <c r="R63" s="72">
        <v>5.3532767187588339</v>
      </c>
      <c r="S63" s="72">
        <v>414.87894570380962</v>
      </c>
      <c r="T63" s="72">
        <f t="shared" si="10"/>
        <v>1723.7551034403446</v>
      </c>
      <c r="U63" s="72">
        <f t="shared" si="11"/>
        <v>1308.8761577365349</v>
      </c>
    </row>
    <row r="64" spans="1:21" x14ac:dyDescent="0.2">
      <c r="A64" s="74">
        <f t="shared" si="0"/>
        <v>58</v>
      </c>
      <c r="B64" s="97">
        <v>910</v>
      </c>
      <c r="C64" s="14" t="s">
        <v>342</v>
      </c>
      <c r="D64" s="14" t="s">
        <v>336</v>
      </c>
      <c r="E64" s="72">
        <v>892.81</v>
      </c>
      <c r="F64" s="72">
        <v>784.70677481385746</v>
      </c>
      <c r="G64" s="72">
        <v>94.420560240948134</v>
      </c>
      <c r="H64" s="72">
        <v>6.3393267472088404</v>
      </c>
      <c r="I64" s="72">
        <v>0.65381101434956435</v>
      </c>
      <c r="J64" s="72">
        <v>0.50006448128398984</v>
      </c>
      <c r="K64" s="72">
        <v>7.2214280682315307E-2</v>
      </c>
      <c r="L64" s="72">
        <v>1.9412441043633145E-2</v>
      </c>
      <c r="M64" s="72">
        <v>1.2423962267925213E-2</v>
      </c>
      <c r="N64" s="72">
        <v>6.0792000372241555</v>
      </c>
      <c r="O64" s="72">
        <v>6.2119811339626067E-3</v>
      </c>
      <c r="Q64" s="72">
        <v>0.37815435152997368</v>
      </c>
      <c r="R64" s="72">
        <v>1.5529952834906517E-3</v>
      </c>
      <c r="S64" s="72">
        <v>0.12035713447052551</v>
      </c>
      <c r="T64" s="72">
        <f t="shared" si="10"/>
        <v>0.50006448128398984</v>
      </c>
      <c r="U64" s="72">
        <f t="shared" si="11"/>
        <v>0.3797073468134643</v>
      </c>
    </row>
    <row r="65" spans="1:21" x14ac:dyDescent="0.2">
      <c r="A65" s="74">
        <f t="shared" si="0"/>
        <v>59</v>
      </c>
      <c r="B65" s="97">
        <v>911</v>
      </c>
      <c r="C65" s="14" t="s">
        <v>343</v>
      </c>
      <c r="D65" s="14" t="s">
        <v>273</v>
      </c>
      <c r="E65" s="72">
        <v>0</v>
      </c>
      <c r="F65" s="72">
        <v>0</v>
      </c>
      <c r="G65" s="72">
        <v>0</v>
      </c>
      <c r="H65" s="72">
        <v>0</v>
      </c>
      <c r="I65" s="72">
        <v>0</v>
      </c>
      <c r="J65" s="72">
        <v>0</v>
      </c>
      <c r="K65" s="72">
        <v>0</v>
      </c>
      <c r="L65" s="72">
        <v>0</v>
      </c>
      <c r="M65" s="72">
        <v>0</v>
      </c>
      <c r="N65" s="72">
        <v>0</v>
      </c>
      <c r="O65" s="72">
        <v>0</v>
      </c>
      <c r="Q65" s="72">
        <v>0</v>
      </c>
      <c r="R65" s="72">
        <v>0</v>
      </c>
      <c r="S65" s="72">
        <v>0</v>
      </c>
      <c r="T65" s="72">
        <f t="shared" si="10"/>
        <v>0</v>
      </c>
      <c r="U65" s="72">
        <f t="shared" si="11"/>
        <v>0</v>
      </c>
    </row>
    <row r="66" spans="1:21" x14ac:dyDescent="0.2">
      <c r="A66" s="74">
        <f t="shared" si="0"/>
        <v>60</v>
      </c>
      <c r="B66" s="97">
        <v>912</v>
      </c>
      <c r="C66" s="14" t="s">
        <v>344</v>
      </c>
      <c r="D66" s="14" t="s">
        <v>336</v>
      </c>
      <c r="E66" s="72">
        <v>823619.80694727926</v>
      </c>
      <c r="F66" s="72">
        <v>723894.26908570854</v>
      </c>
      <c r="G66" s="72">
        <v>87103.239880269772</v>
      </c>
      <c r="H66" s="72">
        <v>5848.0472572124745</v>
      </c>
      <c r="I66" s="72">
        <v>603.14255151554426</v>
      </c>
      <c r="J66" s="72">
        <v>461.31093013777968</v>
      </c>
      <c r="K66" s="72">
        <v>66.617882768343961</v>
      </c>
      <c r="L66" s="72">
        <v>17.908033002242998</v>
      </c>
      <c r="M66" s="72">
        <v>11.461141121435521</v>
      </c>
      <c r="N66" s="72">
        <v>5608.0796149824182</v>
      </c>
      <c r="O66" s="72">
        <v>5.7305705607177604</v>
      </c>
      <c r="Q66" s="72">
        <v>348.84848288369363</v>
      </c>
      <c r="R66" s="72">
        <v>1.4326426401794401</v>
      </c>
      <c r="S66" s="72">
        <v>111.02980461390661</v>
      </c>
      <c r="T66" s="72">
        <f t="shared" si="10"/>
        <v>461.31093013777968</v>
      </c>
      <c r="U66" s="72">
        <f t="shared" si="11"/>
        <v>350.28112552387307</v>
      </c>
    </row>
    <row r="67" spans="1:21" x14ac:dyDescent="0.2">
      <c r="A67" s="74">
        <f t="shared" si="0"/>
        <v>61</v>
      </c>
      <c r="B67" s="97">
        <v>913</v>
      </c>
      <c r="C67" s="14" t="s">
        <v>345</v>
      </c>
      <c r="D67" s="14" t="s">
        <v>336</v>
      </c>
      <c r="E67" s="72">
        <v>0</v>
      </c>
      <c r="F67" s="72">
        <v>0</v>
      </c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Q67" s="72">
        <v>0</v>
      </c>
      <c r="R67" s="72">
        <v>0</v>
      </c>
      <c r="S67" s="72">
        <v>0</v>
      </c>
      <c r="T67" s="72">
        <f t="shared" si="10"/>
        <v>0</v>
      </c>
      <c r="U67" s="72">
        <f t="shared" si="11"/>
        <v>0</v>
      </c>
    </row>
    <row r="68" spans="1:21" x14ac:dyDescent="0.2">
      <c r="A68" s="74">
        <f t="shared" si="0"/>
        <v>62</v>
      </c>
      <c r="B68" s="97">
        <v>916</v>
      </c>
      <c r="C68" s="14" t="s">
        <v>346</v>
      </c>
      <c r="D68" s="14" t="s">
        <v>336</v>
      </c>
      <c r="E68" s="72">
        <v>0</v>
      </c>
      <c r="F68" s="72">
        <v>0</v>
      </c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>
        <v>0</v>
      </c>
      <c r="O68" s="72">
        <v>0</v>
      </c>
      <c r="Q68" s="72">
        <v>0</v>
      </c>
      <c r="R68" s="72">
        <v>0</v>
      </c>
      <c r="S68" s="72">
        <v>0</v>
      </c>
      <c r="T68" s="72">
        <f t="shared" si="10"/>
        <v>0</v>
      </c>
      <c r="U68" s="72">
        <f t="shared" si="11"/>
        <v>0</v>
      </c>
    </row>
    <row r="69" spans="1:21" x14ac:dyDescent="0.2">
      <c r="A69" s="31">
        <f t="shared" si="0"/>
        <v>63</v>
      </c>
      <c r="B69" s="68"/>
      <c r="C69" s="26" t="s">
        <v>292</v>
      </c>
      <c r="D69" s="26"/>
      <c r="E69" s="28">
        <f>SUM(E61:E68)</f>
        <v>4083540.0869522369</v>
      </c>
      <c r="F69" s="28">
        <f t="shared" ref="F69:L69" si="12">SUM(F61:F68)</f>
        <v>3611067.5301110372</v>
      </c>
      <c r="G69" s="28">
        <f t="shared" si="12"/>
        <v>412671.531664329</v>
      </c>
      <c r="H69" s="28">
        <f t="shared" si="12"/>
        <v>27706.462149933242</v>
      </c>
      <c r="I69" s="28">
        <f t="shared" si="12"/>
        <v>2857.5258611273625</v>
      </c>
      <c r="J69" s="28">
        <f t="shared" si="12"/>
        <v>2185.5660980594084</v>
      </c>
      <c r="K69" s="28">
        <f t="shared" si="12"/>
        <v>315.61746447131202</v>
      </c>
      <c r="L69" s="28">
        <f t="shared" si="12"/>
        <v>84.843404427772043</v>
      </c>
      <c r="M69" s="28">
        <f>SUM(M61:M68)</f>
        <v>54.299778833774113</v>
      </c>
      <c r="N69" s="28">
        <f>SUM(N61:N68)</f>
        <v>26569.560530601098</v>
      </c>
      <c r="O69" s="28">
        <f>SUM(O61:O68)</f>
        <v>27.149889416887056</v>
      </c>
      <c r="Q69" s="28">
        <f>SUM(Q61:Q68)</f>
        <v>1652.7495182529995</v>
      </c>
      <c r="R69" s="28">
        <f>SUM(R61:R68)</f>
        <v>6.7874723542217641</v>
      </c>
      <c r="S69" s="28">
        <f>SUM(S61:S68)</f>
        <v>526.02910745218674</v>
      </c>
      <c r="T69" s="28">
        <f>SUM(T61:T68)</f>
        <v>2185.5660980594084</v>
      </c>
      <c r="U69" s="28">
        <f>SUM(U61:U68)</f>
        <v>1659.5369906072215</v>
      </c>
    </row>
    <row r="70" spans="1:21" x14ac:dyDescent="0.2">
      <c r="A70" s="74">
        <f t="shared" si="0"/>
        <v>64</v>
      </c>
      <c r="B70" s="97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Q70" s="72"/>
      <c r="R70" s="72"/>
      <c r="S70" s="72"/>
      <c r="T70" s="72"/>
      <c r="U70" s="72"/>
    </row>
    <row r="71" spans="1:21" x14ac:dyDescent="0.2">
      <c r="A71" s="74">
        <f t="shared" si="0"/>
        <v>65</v>
      </c>
      <c r="B71" s="97"/>
      <c r="C71" s="13" t="s">
        <v>347</v>
      </c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Q71" s="72"/>
      <c r="R71" s="72"/>
      <c r="S71" s="72"/>
      <c r="T71" s="72"/>
      <c r="U71" s="72"/>
    </row>
    <row r="72" spans="1:21" x14ac:dyDescent="0.2">
      <c r="A72" s="74">
        <f t="shared" ref="A72:A135" si="13">+A71+1</f>
        <v>66</v>
      </c>
      <c r="B72" s="97">
        <v>920</v>
      </c>
      <c r="C72" s="14" t="s">
        <v>348</v>
      </c>
      <c r="D72" s="14" t="s">
        <v>349</v>
      </c>
      <c r="E72" s="72">
        <v>49509441.614050545</v>
      </c>
      <c r="F72" s="72">
        <v>31220292.851923116</v>
      </c>
      <c r="G72" s="72">
        <v>6039085.9974123407</v>
      </c>
      <c r="H72" s="72">
        <v>5026920.5149264634</v>
      </c>
      <c r="I72" s="72">
        <v>2871945.0419867761</v>
      </c>
      <c r="J72" s="72">
        <v>2588172.9591381992</v>
      </c>
      <c r="K72" s="72">
        <v>158581.76534709267</v>
      </c>
      <c r="L72" s="72">
        <v>714897.76784717385</v>
      </c>
      <c r="M72" s="72">
        <v>334763.93190071417</v>
      </c>
      <c r="N72" s="72">
        <v>539954.56722775486</v>
      </c>
      <c r="O72" s="72">
        <v>14826.216340909808</v>
      </c>
      <c r="Q72" s="72">
        <v>2273395.8594292947</v>
      </c>
      <c r="R72" s="72">
        <v>13733.327528843549</v>
      </c>
      <c r="S72" s="72">
        <v>301043.77218006097</v>
      </c>
      <c r="T72" s="72">
        <f t="shared" ref="T72:T81" si="14">SUM(Q72:S72)</f>
        <v>2588172.9591381992</v>
      </c>
      <c r="U72" s="72">
        <f t="shared" ref="U72:U81" si="15">+T72-S72</f>
        <v>2287129.1869581384</v>
      </c>
    </row>
    <row r="73" spans="1:21" x14ac:dyDescent="0.2">
      <c r="A73" s="74">
        <f t="shared" si="13"/>
        <v>67</v>
      </c>
      <c r="B73" s="97">
        <v>921</v>
      </c>
      <c r="C73" s="14" t="s">
        <v>350</v>
      </c>
      <c r="D73" s="14" t="s">
        <v>349</v>
      </c>
      <c r="E73" s="72">
        <v>8619180.191495249</v>
      </c>
      <c r="F73" s="72">
        <v>5435192.1764677921</v>
      </c>
      <c r="G73" s="72">
        <v>1051354.4226453297</v>
      </c>
      <c r="H73" s="72">
        <v>875144.86760398059</v>
      </c>
      <c r="I73" s="72">
        <v>499981.64006621309</v>
      </c>
      <c r="J73" s="72">
        <v>450579.2910263146</v>
      </c>
      <c r="K73" s="72">
        <v>27607.760581652466</v>
      </c>
      <c r="L73" s="72">
        <v>124457.7292470176</v>
      </c>
      <c r="M73" s="72">
        <v>58279.603982583394</v>
      </c>
      <c r="N73" s="72">
        <v>94001.579465119255</v>
      </c>
      <c r="O73" s="72">
        <v>2581.120409245877</v>
      </c>
      <c r="Q73" s="72">
        <v>395779.22756170575</v>
      </c>
      <c r="R73" s="72">
        <v>2390.8575968736409</v>
      </c>
      <c r="S73" s="72">
        <v>52409.205867735182</v>
      </c>
      <c r="T73" s="72">
        <f t="shared" si="14"/>
        <v>450579.2910263146</v>
      </c>
      <c r="U73" s="72">
        <f t="shared" si="15"/>
        <v>398170.0851585794</v>
      </c>
    </row>
    <row r="74" spans="1:21" x14ac:dyDescent="0.2">
      <c r="A74" s="74">
        <f t="shared" si="13"/>
        <v>68</v>
      </c>
      <c r="B74" s="97">
        <v>922</v>
      </c>
      <c r="C74" s="14" t="s">
        <v>351</v>
      </c>
      <c r="D74" s="14" t="s">
        <v>349</v>
      </c>
      <c r="E74" s="72">
        <v>-21557751.289999999</v>
      </c>
      <c r="F74" s="72">
        <v>-13594160.761282306</v>
      </c>
      <c r="G74" s="72">
        <v>-2629581.5445874422</v>
      </c>
      <c r="H74" s="72">
        <v>-2188857.2902956912</v>
      </c>
      <c r="I74" s="72">
        <v>-1250522.6258930175</v>
      </c>
      <c r="J74" s="72">
        <v>-1126960.5782176752</v>
      </c>
      <c r="K74" s="72">
        <v>-69050.794051200995</v>
      </c>
      <c r="L74" s="72">
        <v>-311285.84315626364</v>
      </c>
      <c r="M74" s="72">
        <v>-145765.2792983634</v>
      </c>
      <c r="N74" s="72">
        <v>-235110.83722043212</v>
      </c>
      <c r="O74" s="72">
        <v>-6455.7359976033522</v>
      </c>
      <c r="Q74" s="72">
        <v>-989898.10677614133</v>
      </c>
      <c r="R74" s="72">
        <v>-5979.8626201209108</v>
      </c>
      <c r="S74" s="72">
        <v>-131082.60882141304</v>
      </c>
      <c r="T74" s="72">
        <f t="shared" si="14"/>
        <v>-1126960.5782176752</v>
      </c>
      <c r="U74" s="72">
        <f t="shared" si="15"/>
        <v>-995877.9693962622</v>
      </c>
    </row>
    <row r="75" spans="1:21" x14ac:dyDescent="0.2">
      <c r="A75" s="74">
        <f t="shared" si="13"/>
        <v>69</v>
      </c>
      <c r="B75" s="97">
        <v>923</v>
      </c>
      <c r="C75" s="14" t="s">
        <v>352</v>
      </c>
      <c r="D75" s="14" t="s">
        <v>349</v>
      </c>
      <c r="E75" s="72">
        <v>11082001.521692986</v>
      </c>
      <c r="F75" s="72">
        <v>6988229.3480467014</v>
      </c>
      <c r="G75" s="72">
        <v>1351765.603310002</v>
      </c>
      <c r="H75" s="72">
        <v>1125206.4046716089</v>
      </c>
      <c r="I75" s="72">
        <v>642845.04708458995</v>
      </c>
      <c r="J75" s="72">
        <v>579326.60390648211</v>
      </c>
      <c r="K75" s="72">
        <v>35496.327722478258</v>
      </c>
      <c r="L75" s="72">
        <v>160019.94554689003</v>
      </c>
      <c r="M75" s="72">
        <v>74932.261035212388</v>
      </c>
      <c r="N75" s="72">
        <v>120861.33756687108</v>
      </c>
      <c r="O75" s="72">
        <v>3318.6428021495431</v>
      </c>
      <c r="Q75" s="72">
        <v>508868.11792391737</v>
      </c>
      <c r="R75" s="72">
        <v>3074.0148062861772</v>
      </c>
      <c r="S75" s="72">
        <v>67384.471176278501</v>
      </c>
      <c r="T75" s="72">
        <f t="shared" si="14"/>
        <v>579326.60390648211</v>
      </c>
      <c r="U75" s="72">
        <f t="shared" si="15"/>
        <v>511942.13273020362</v>
      </c>
    </row>
    <row r="76" spans="1:21" x14ac:dyDescent="0.2">
      <c r="A76" s="74">
        <f t="shared" si="13"/>
        <v>70</v>
      </c>
      <c r="B76" s="97">
        <v>924</v>
      </c>
      <c r="C76" s="14" t="s">
        <v>353</v>
      </c>
      <c r="D76" s="14" t="s">
        <v>354</v>
      </c>
      <c r="E76" s="72">
        <v>4733023.9572393717</v>
      </c>
      <c r="F76" s="72">
        <v>2744825.9592610616</v>
      </c>
      <c r="G76" s="72">
        <v>590728.80790788063</v>
      </c>
      <c r="H76" s="72">
        <v>578530.39580988861</v>
      </c>
      <c r="I76" s="72">
        <v>327716.89059505687</v>
      </c>
      <c r="J76" s="72">
        <v>275185.34766374464</v>
      </c>
      <c r="K76" s="72">
        <v>32037.015207818749</v>
      </c>
      <c r="L76" s="72">
        <v>82573.463116655505</v>
      </c>
      <c r="M76" s="72">
        <v>51691.081867574016</v>
      </c>
      <c r="N76" s="72">
        <v>48218.163283488087</v>
      </c>
      <c r="O76" s="72">
        <v>1516.832526205081</v>
      </c>
      <c r="Q76" s="72">
        <v>242961.67214867973</v>
      </c>
      <c r="R76" s="72">
        <v>1290.7160753658461</v>
      </c>
      <c r="S76" s="72">
        <v>30932.959439699069</v>
      </c>
      <c r="T76" s="72">
        <f t="shared" si="14"/>
        <v>275185.34766374464</v>
      </c>
      <c r="U76" s="72">
        <f t="shared" si="15"/>
        <v>244252.38822404557</v>
      </c>
    </row>
    <row r="77" spans="1:21" x14ac:dyDescent="0.2">
      <c r="A77" s="74">
        <f t="shared" si="13"/>
        <v>71</v>
      </c>
      <c r="B77" s="97">
        <v>925</v>
      </c>
      <c r="C77" s="14" t="s">
        <v>355</v>
      </c>
      <c r="D77" s="14" t="s">
        <v>356</v>
      </c>
      <c r="E77" s="72">
        <v>5028619.8614668231</v>
      </c>
      <c r="F77" s="72">
        <v>3069153.5181260738</v>
      </c>
      <c r="G77" s="72">
        <v>607393.01849078364</v>
      </c>
      <c r="H77" s="72">
        <v>548856.55606868293</v>
      </c>
      <c r="I77" s="72">
        <v>312340.55295882007</v>
      </c>
      <c r="J77" s="72">
        <v>264037.75157892704</v>
      </c>
      <c r="K77" s="72">
        <v>30469.741238017556</v>
      </c>
      <c r="L77" s="72">
        <v>78179.455507512612</v>
      </c>
      <c r="M77" s="72">
        <v>46817.87931535735</v>
      </c>
      <c r="N77" s="72">
        <v>69941.248982826131</v>
      </c>
      <c r="O77" s="72">
        <v>1430.139199822502</v>
      </c>
      <c r="Q77" s="72">
        <v>233415.56517435881</v>
      </c>
      <c r="R77" s="72">
        <v>1222.6107319829996</v>
      </c>
      <c r="S77" s="72">
        <v>29399.575672585222</v>
      </c>
      <c r="T77" s="72">
        <f t="shared" si="14"/>
        <v>264037.75157892704</v>
      </c>
      <c r="U77" s="72">
        <f t="shared" si="15"/>
        <v>234638.17590634181</v>
      </c>
    </row>
    <row r="78" spans="1:21" x14ac:dyDescent="0.2">
      <c r="A78" s="74">
        <f t="shared" si="13"/>
        <v>72</v>
      </c>
      <c r="B78" s="97">
        <v>926</v>
      </c>
      <c r="C78" s="14" t="s">
        <v>357</v>
      </c>
      <c r="D78" s="14" t="s">
        <v>356</v>
      </c>
      <c r="E78" s="72">
        <v>35454127.155340493</v>
      </c>
      <c r="F78" s="72">
        <v>21638970.948017113</v>
      </c>
      <c r="G78" s="72">
        <v>4282405.4917837428</v>
      </c>
      <c r="H78" s="72">
        <v>3869695.9931318401</v>
      </c>
      <c r="I78" s="72">
        <v>2202147.3059093403</v>
      </c>
      <c r="J78" s="72">
        <v>1861589.9145653178</v>
      </c>
      <c r="K78" s="72">
        <v>214825.95821587607</v>
      </c>
      <c r="L78" s="72">
        <v>551201.80742596858</v>
      </c>
      <c r="M78" s="72">
        <v>330087.99474173901</v>
      </c>
      <c r="N78" s="72">
        <v>493118.5898226017</v>
      </c>
      <c r="O78" s="72">
        <v>10083.1517269539</v>
      </c>
      <c r="Q78" s="72">
        <v>1645689.1464676051</v>
      </c>
      <c r="R78" s="72">
        <v>8619.9787511011436</v>
      </c>
      <c r="S78" s="72">
        <v>207280.78934661156</v>
      </c>
      <c r="T78" s="72">
        <f t="shared" si="14"/>
        <v>1861589.9145653178</v>
      </c>
      <c r="U78" s="72">
        <f t="shared" si="15"/>
        <v>1654309.1252187062</v>
      </c>
    </row>
    <row r="79" spans="1:21" x14ac:dyDescent="0.2">
      <c r="A79" s="74">
        <f t="shared" si="13"/>
        <v>73</v>
      </c>
      <c r="B79" s="97">
        <v>928</v>
      </c>
      <c r="C79" s="14" t="s">
        <v>358</v>
      </c>
      <c r="D79" s="14" t="s">
        <v>359</v>
      </c>
      <c r="E79" s="72">
        <v>7659023.8861585967</v>
      </c>
      <c r="F79" s="72">
        <v>4110717.3352914727</v>
      </c>
      <c r="G79" s="72">
        <v>1009517.4153417379</v>
      </c>
      <c r="H79" s="72">
        <v>1085722.3352739869</v>
      </c>
      <c r="I79" s="72">
        <v>671579.82005542796</v>
      </c>
      <c r="J79" s="72">
        <v>523696.30553544941</v>
      </c>
      <c r="K79" s="72">
        <v>6552.4685282178107</v>
      </c>
      <c r="L79" s="72">
        <v>193033.61837833369</v>
      </c>
      <c r="M79" s="72">
        <v>13470.975433954372</v>
      </c>
      <c r="N79" s="72">
        <v>42063.856141213008</v>
      </c>
      <c r="O79" s="72">
        <v>2669.7561788048511</v>
      </c>
      <c r="Q79" s="72">
        <v>478450.20459706447</v>
      </c>
      <c r="R79" s="72">
        <v>1708.4655055571241</v>
      </c>
      <c r="S79" s="72">
        <v>43537.635432827781</v>
      </c>
      <c r="T79" s="72">
        <f t="shared" si="14"/>
        <v>523696.30553544941</v>
      </c>
      <c r="U79" s="72">
        <f t="shared" si="15"/>
        <v>480158.67010262166</v>
      </c>
    </row>
    <row r="80" spans="1:21" x14ac:dyDescent="0.2">
      <c r="A80" s="74">
        <f t="shared" si="13"/>
        <v>74</v>
      </c>
      <c r="B80" s="97">
        <v>930</v>
      </c>
      <c r="C80" s="14" t="s">
        <v>360</v>
      </c>
      <c r="D80" s="14" t="s">
        <v>349</v>
      </c>
      <c r="E80" s="72">
        <v>5458093.0235263202</v>
      </c>
      <c r="F80" s="72">
        <v>3441833.6594442739</v>
      </c>
      <c r="G80" s="72">
        <v>665769.84260709886</v>
      </c>
      <c r="H80" s="72">
        <v>554185.1997893441</v>
      </c>
      <c r="I80" s="72">
        <v>316613.20925038343</v>
      </c>
      <c r="J80" s="72">
        <v>285329.18795720465</v>
      </c>
      <c r="K80" s="72">
        <v>17482.60531489845</v>
      </c>
      <c r="L80" s="72">
        <v>78812.816141998963</v>
      </c>
      <c r="M80" s="72">
        <v>36905.54006807835</v>
      </c>
      <c r="N80" s="72">
        <v>59526.469302182617</v>
      </c>
      <c r="O80" s="72">
        <v>1634.4936508564099</v>
      </c>
      <c r="Q80" s="72">
        <v>250627.06577856475</v>
      </c>
      <c r="R80" s="72">
        <v>1514.0097874525466</v>
      </c>
      <c r="S80" s="72">
        <v>33188.112391187351</v>
      </c>
      <c r="T80" s="72">
        <f t="shared" si="14"/>
        <v>285329.18795720465</v>
      </c>
      <c r="U80" s="72">
        <f t="shared" si="15"/>
        <v>252141.0755660173</v>
      </c>
    </row>
    <row r="81" spans="1:21" x14ac:dyDescent="0.2">
      <c r="A81" s="74">
        <f t="shared" si="13"/>
        <v>75</v>
      </c>
      <c r="B81" s="97">
        <v>931</v>
      </c>
      <c r="C81" s="14" t="s">
        <v>361</v>
      </c>
      <c r="D81" s="14" t="s">
        <v>349</v>
      </c>
      <c r="E81" s="72">
        <v>5083694.1010779496</v>
      </c>
      <c r="F81" s="72">
        <v>3205740.4291185783</v>
      </c>
      <c r="G81" s="72">
        <v>620101.23443272279</v>
      </c>
      <c r="H81" s="72">
        <v>516170.76127691387</v>
      </c>
      <c r="I81" s="72">
        <v>294895.06632659747</v>
      </c>
      <c r="J81" s="72">
        <v>265756.97838624578</v>
      </c>
      <c r="K81" s="72">
        <v>16283.382699366826</v>
      </c>
      <c r="L81" s="72">
        <v>73406.636124271448</v>
      </c>
      <c r="M81" s="72">
        <v>34373.997572502369</v>
      </c>
      <c r="N81" s="72">
        <v>55443.23989076919</v>
      </c>
      <c r="O81" s="72">
        <v>1522.375249980571</v>
      </c>
      <c r="Q81" s="72">
        <v>233435.25483664213</v>
      </c>
      <c r="R81" s="72">
        <v>1410.15599995658</v>
      </c>
      <c r="S81" s="72">
        <v>30911.56754964705</v>
      </c>
      <c r="T81" s="72">
        <f t="shared" si="14"/>
        <v>265756.97838624578</v>
      </c>
      <c r="U81" s="72">
        <f t="shared" si="15"/>
        <v>234845.41083659872</v>
      </c>
    </row>
    <row r="82" spans="1:21" x14ac:dyDescent="0.2">
      <c r="A82" s="31">
        <f t="shared" si="13"/>
        <v>76</v>
      </c>
      <c r="B82" s="68"/>
      <c r="C82" s="26" t="s">
        <v>292</v>
      </c>
      <c r="D82" s="26"/>
      <c r="E82" s="28">
        <f t="shared" ref="E82:L82" si="16">SUM(E72:E81)</f>
        <v>111069454.02204834</v>
      </c>
      <c r="F82" s="28">
        <f t="shared" si="16"/>
        <v>68260795.464413866</v>
      </c>
      <c r="G82" s="28">
        <f t="shared" si="16"/>
        <v>13588540.289344199</v>
      </c>
      <c r="H82" s="28">
        <f t="shared" si="16"/>
        <v>11991575.738257019</v>
      </c>
      <c r="I82" s="28">
        <f t="shared" si="16"/>
        <v>6889541.9483401878</v>
      </c>
      <c r="J82" s="28">
        <f t="shared" si="16"/>
        <v>5966713.7615402108</v>
      </c>
      <c r="K82" s="28">
        <f t="shared" si="16"/>
        <v>470286.23080421792</v>
      </c>
      <c r="L82" s="28">
        <f t="shared" si="16"/>
        <v>1745297.3961795587</v>
      </c>
      <c r="M82" s="28">
        <f>SUM(M72:M81)</f>
        <v>835557.98661935201</v>
      </c>
      <c r="N82" s="28">
        <f>SUM(N72:N81)</f>
        <v>1288018.2144623939</v>
      </c>
      <c r="O82" s="28">
        <f>SUM(O72:O81)</f>
        <v>33126.99208732519</v>
      </c>
      <c r="Q82" s="28">
        <f>SUM(Q72:Q81)</f>
        <v>5272724.0071416916</v>
      </c>
      <c r="R82" s="28">
        <f>SUM(R72:R81)</f>
        <v>28984.274163298694</v>
      </c>
      <c r="S82" s="28">
        <f>SUM(S72:S81)</f>
        <v>665005.4802352197</v>
      </c>
      <c r="T82" s="28">
        <f>SUM(T72:T81)</f>
        <v>5966713.7615402108</v>
      </c>
      <c r="U82" s="28">
        <f>SUM(U72:U81)</f>
        <v>5301708.2813049899</v>
      </c>
    </row>
    <row r="83" spans="1:21" x14ac:dyDescent="0.2">
      <c r="A83" s="74">
        <f t="shared" si="13"/>
        <v>77</v>
      </c>
      <c r="B83" s="97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Q83" s="72"/>
      <c r="R83" s="72"/>
      <c r="S83" s="72"/>
      <c r="T83" s="72"/>
      <c r="U83" s="72"/>
    </row>
    <row r="84" spans="1:21" x14ac:dyDescent="0.2">
      <c r="A84" s="31">
        <f t="shared" si="13"/>
        <v>78</v>
      </c>
      <c r="B84" s="68"/>
      <c r="C84" s="26" t="s">
        <v>87</v>
      </c>
      <c r="D84" s="26"/>
      <c r="E84" s="28">
        <f t="shared" ref="E84:L84" si="17">SUM(E82,E69,E58,E50,E37,E30,E23,E19,E14)</f>
        <v>1073570191.6756256</v>
      </c>
      <c r="F84" s="28">
        <f t="shared" si="17"/>
        <v>597556805.61814559</v>
      </c>
      <c r="G84" s="28">
        <f t="shared" si="17"/>
        <v>138845226.55149624</v>
      </c>
      <c r="H84" s="28">
        <f t="shared" si="17"/>
        <v>143314875.07305697</v>
      </c>
      <c r="I84" s="28">
        <f t="shared" si="17"/>
        <v>89395784.838742748</v>
      </c>
      <c r="J84" s="28">
        <f t="shared" si="17"/>
        <v>69694775.83103618</v>
      </c>
      <c r="K84" s="28">
        <f t="shared" si="17"/>
        <v>1130664.0052808342</v>
      </c>
      <c r="L84" s="28">
        <f t="shared" si="17"/>
        <v>25938727.565156728</v>
      </c>
      <c r="M84" s="28">
        <f>SUM(M82,M69,M58,M50,M37,M30,M23,M19,M14)</f>
        <v>2679841.9215660598</v>
      </c>
      <c r="N84" s="28">
        <f>SUM(N82,N69,N58,N50,N37,N30,N23,N19,N14)</f>
        <v>4674627.2205144204</v>
      </c>
      <c r="O84" s="28">
        <f>SUM(O82,O69,O58,O50,O37,O30,O23,O19,O14)</f>
        <v>338863.05063005432</v>
      </c>
      <c r="Q84" s="28">
        <f>SUM(Q82,Q69,Q58,Q50,Q37,Q30,Q23,Q19,Q14)</f>
        <v>63866312.56048505</v>
      </c>
      <c r="R84" s="28">
        <f>SUM(R82,R69,R58,R50,R37,R30,R23,R19,R14)</f>
        <v>204625.55064710253</v>
      </c>
      <c r="S84" s="28">
        <f>SUM(S82,S69,S58,S50,S37,S30,S23,S19,S14)</f>
        <v>5623837.7199040363</v>
      </c>
      <c r="T84" s="28">
        <f>SUM(T82,T69,T58,T50,T37,T30,T23,T19,T14)</f>
        <v>69694775.83103618</v>
      </c>
      <c r="U84" s="28">
        <f>SUM(U82,U69,U58,U50,U37,U30,U23,U19,U14)</f>
        <v>64070938.111132145</v>
      </c>
    </row>
    <row r="85" spans="1:21" x14ac:dyDescent="0.2">
      <c r="A85" s="74">
        <f t="shared" si="13"/>
        <v>79</v>
      </c>
      <c r="B85" s="97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Q85" s="72"/>
      <c r="R85" s="72"/>
      <c r="S85" s="72"/>
      <c r="T85" s="72"/>
      <c r="U85" s="72"/>
    </row>
    <row r="86" spans="1:21" x14ac:dyDescent="0.2">
      <c r="A86" s="74">
        <f t="shared" si="13"/>
        <v>80</v>
      </c>
      <c r="B86" s="97"/>
      <c r="C86" s="13" t="s">
        <v>362</v>
      </c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Q86" s="72"/>
      <c r="R86" s="72"/>
      <c r="S86" s="72"/>
      <c r="T86" s="72"/>
      <c r="U86" s="72"/>
    </row>
    <row r="87" spans="1:21" x14ac:dyDescent="0.2">
      <c r="A87" s="74">
        <f>+A86+1</f>
        <v>81</v>
      </c>
      <c r="B87" s="97">
        <v>591</v>
      </c>
      <c r="C87" s="14" t="s">
        <v>363</v>
      </c>
      <c r="D87" s="14" t="s">
        <v>364</v>
      </c>
      <c r="E87" s="72">
        <v>-4.9500000000000401</v>
      </c>
      <c r="F87" s="72">
        <v>-2.3170248352909941</v>
      </c>
      <c r="G87" s="72">
        <v>-0.63784048762427237</v>
      </c>
      <c r="H87" s="72">
        <v>-0.79218455723725789</v>
      </c>
      <c r="I87" s="72">
        <v>-0.46072244973031051</v>
      </c>
      <c r="J87" s="72">
        <v>-0.33965101424853572</v>
      </c>
      <c r="K87" s="72">
        <v>-0.21934799521229181</v>
      </c>
      <c r="L87" s="72">
        <v>-8.1998327530696677E-2</v>
      </c>
      <c r="M87" s="72">
        <v>-9.7191625756441219E-2</v>
      </c>
      <c r="N87" s="72">
        <v>-3.5207135494880826E-3</v>
      </c>
      <c r="O87" s="72">
        <v>-5.1799381975186644E-4</v>
      </c>
      <c r="Q87" s="72">
        <v>-0.30246432014979047</v>
      </c>
      <c r="R87" s="72">
        <v>-6.5776992984363989E-7</v>
      </c>
      <c r="S87" s="72">
        <v>-3.7186036328815418E-2</v>
      </c>
      <c r="T87" s="72">
        <f t="shared" ref="T87:T92" si="18">SUM(Q87:S87)</f>
        <v>-0.33965101424853572</v>
      </c>
      <c r="U87" s="72">
        <f t="shared" ref="U87:U92" si="19">+T87-S87</f>
        <v>-0.30246497791972032</v>
      </c>
    </row>
    <row r="88" spans="1:21" x14ac:dyDescent="0.2">
      <c r="A88" s="74">
        <f t="shared" si="13"/>
        <v>82</v>
      </c>
      <c r="B88" s="97">
        <v>592</v>
      </c>
      <c r="C88" s="14" t="s">
        <v>365</v>
      </c>
      <c r="D88" s="14" t="s">
        <v>314</v>
      </c>
      <c r="E88" s="72">
        <v>1517580.5299129421</v>
      </c>
      <c r="F88" s="72">
        <v>786999.68047471566</v>
      </c>
      <c r="G88" s="72">
        <v>190276.02151185693</v>
      </c>
      <c r="H88" s="72">
        <v>209073.32046527221</v>
      </c>
      <c r="I88" s="72">
        <v>111246.17308995278</v>
      </c>
      <c r="J88" s="72">
        <v>112887.58301303675</v>
      </c>
      <c r="K88" s="72">
        <v>48828.714919468206</v>
      </c>
      <c r="L88" s="72">
        <v>39657.94886560148</v>
      </c>
      <c r="M88" s="72">
        <v>17085.981765228982</v>
      </c>
      <c r="N88" s="72">
        <v>1137.3980786020525</v>
      </c>
      <c r="O88" s="72">
        <v>387.70772920688563</v>
      </c>
      <c r="Q88" s="72">
        <v>101149.6635055262</v>
      </c>
      <c r="R88" s="72">
        <v>364.17289023270962</v>
      </c>
      <c r="S88" s="72">
        <v>11373.746617277831</v>
      </c>
      <c r="T88" s="72">
        <f t="shared" si="18"/>
        <v>112887.58301303675</v>
      </c>
      <c r="U88" s="72">
        <f t="shared" si="19"/>
        <v>101513.83639575892</v>
      </c>
    </row>
    <row r="89" spans="1:21" x14ac:dyDescent="0.2">
      <c r="A89" s="74">
        <f t="shared" si="13"/>
        <v>83</v>
      </c>
      <c r="B89" s="97">
        <v>593</v>
      </c>
      <c r="C89" s="14" t="s">
        <v>315</v>
      </c>
      <c r="D89" s="14" t="s">
        <v>258</v>
      </c>
      <c r="E89" s="72">
        <v>35807045.891251087</v>
      </c>
      <c r="F89" s="72">
        <v>24676585.211566947</v>
      </c>
      <c r="G89" s="72">
        <v>4508837.4649111638</v>
      </c>
      <c r="H89" s="72">
        <v>3505303.220252329</v>
      </c>
      <c r="I89" s="72">
        <v>1386643.0175794782</v>
      </c>
      <c r="J89" s="72">
        <v>1680241.067154634</v>
      </c>
      <c r="K89" s="72">
        <v>3044.2532515009179</v>
      </c>
      <c r="L89" s="72">
        <v>0</v>
      </c>
      <c r="M89" s="72">
        <v>0</v>
      </c>
      <c r="N89" s="72">
        <v>21685.402240791154</v>
      </c>
      <c r="O89" s="72">
        <v>24706.254294234699</v>
      </c>
      <c r="Q89" s="72">
        <v>1297959.4322962426</v>
      </c>
      <c r="R89" s="72">
        <v>32510.12209896385</v>
      </c>
      <c r="S89" s="72">
        <v>349771.51275942748</v>
      </c>
      <c r="T89" s="72">
        <f t="shared" si="18"/>
        <v>1680241.067154634</v>
      </c>
      <c r="U89" s="72">
        <f t="shared" si="19"/>
        <v>1330469.5543952065</v>
      </c>
    </row>
    <row r="90" spans="1:21" x14ac:dyDescent="0.2">
      <c r="A90" s="74">
        <f t="shared" si="13"/>
        <v>84</v>
      </c>
      <c r="B90" s="97">
        <v>594</v>
      </c>
      <c r="C90" s="14" t="s">
        <v>316</v>
      </c>
      <c r="D90" s="14" t="s">
        <v>317</v>
      </c>
      <c r="E90" s="72">
        <v>12335802.999784056</v>
      </c>
      <c r="F90" s="72">
        <v>8164260.3167417655</v>
      </c>
      <c r="G90" s="72">
        <v>1454771.3082630881</v>
      </c>
      <c r="H90" s="72">
        <v>1357561.9783692267</v>
      </c>
      <c r="I90" s="72">
        <v>589415.77848515729</v>
      </c>
      <c r="J90" s="72">
        <v>556318.88906213583</v>
      </c>
      <c r="K90" s="72">
        <v>164408.62892545512</v>
      </c>
      <c r="L90" s="72">
        <v>39911.389699795633</v>
      </c>
      <c r="M90" s="72">
        <v>239.844711274037</v>
      </c>
      <c r="N90" s="72">
        <v>5594.3488119610984</v>
      </c>
      <c r="O90" s="72">
        <v>3320.5167141962643</v>
      </c>
      <c r="Q90" s="72">
        <v>420418.32093329163</v>
      </c>
      <c r="R90" s="72">
        <v>4992.805928954529</v>
      </c>
      <c r="S90" s="72">
        <v>130907.76219988969</v>
      </c>
      <c r="T90" s="72">
        <f t="shared" si="18"/>
        <v>556318.88906213583</v>
      </c>
      <c r="U90" s="72">
        <f t="shared" si="19"/>
        <v>425411.12686224614</v>
      </c>
    </row>
    <row r="91" spans="1:21" x14ac:dyDescent="0.2">
      <c r="A91" s="74">
        <f t="shared" si="13"/>
        <v>85</v>
      </c>
      <c r="B91" s="97">
        <v>595</v>
      </c>
      <c r="C91" s="14" t="s">
        <v>366</v>
      </c>
      <c r="D91" s="14" t="s">
        <v>367</v>
      </c>
      <c r="E91" s="72">
        <v>174095.19128056592</v>
      </c>
      <c r="F91" s="72">
        <v>133811.12333256874</v>
      </c>
      <c r="G91" s="72">
        <v>21101.428452788619</v>
      </c>
      <c r="H91" s="72">
        <v>7612.5851484937684</v>
      </c>
      <c r="I91" s="72">
        <v>1816.8313499204371</v>
      </c>
      <c r="J91" s="72">
        <v>924.04711255704001</v>
      </c>
      <c r="K91" s="72">
        <v>1696.3875406277702</v>
      </c>
      <c r="L91" s="72">
        <v>0</v>
      </c>
      <c r="M91" s="72">
        <v>0</v>
      </c>
      <c r="N91" s="72">
        <v>7112.2259756132007</v>
      </c>
      <c r="O91" s="72">
        <v>20.562367996360308</v>
      </c>
      <c r="Q91" s="72">
        <v>873.95922458193297</v>
      </c>
      <c r="R91" s="72">
        <v>0</v>
      </c>
      <c r="S91" s="72">
        <v>50.087887975107023</v>
      </c>
      <c r="T91" s="72">
        <f t="shared" si="18"/>
        <v>924.04711255704001</v>
      </c>
      <c r="U91" s="72">
        <f t="shared" si="19"/>
        <v>873.95922458193297</v>
      </c>
    </row>
    <row r="92" spans="1:21" x14ac:dyDescent="0.2">
      <c r="A92" s="74">
        <f t="shared" si="13"/>
        <v>86</v>
      </c>
      <c r="B92" s="97">
        <v>596</v>
      </c>
      <c r="C92" s="14" t="s">
        <v>318</v>
      </c>
      <c r="D92" s="14" t="s">
        <v>273</v>
      </c>
      <c r="E92" s="72">
        <v>2000850.553615283</v>
      </c>
      <c r="F92" s="72">
        <v>0</v>
      </c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72">
        <v>0</v>
      </c>
      <c r="N92" s="72">
        <v>2000850.553615283</v>
      </c>
      <c r="O92" s="72">
        <v>0</v>
      </c>
      <c r="Q92" s="72">
        <v>0</v>
      </c>
      <c r="R92" s="72">
        <v>0</v>
      </c>
      <c r="S92" s="72">
        <v>0</v>
      </c>
      <c r="T92" s="72">
        <f t="shared" si="18"/>
        <v>0</v>
      </c>
      <c r="U92" s="72">
        <f t="shared" si="19"/>
        <v>0</v>
      </c>
    </row>
    <row r="93" spans="1:21" x14ac:dyDescent="0.2">
      <c r="A93" s="74">
        <f t="shared" si="13"/>
        <v>87</v>
      </c>
      <c r="B93" s="97">
        <v>597</v>
      </c>
      <c r="C93" s="14" t="s">
        <v>368</v>
      </c>
      <c r="D93" s="14" t="s">
        <v>320</v>
      </c>
      <c r="E93" s="72">
        <v>532950.46671577066</v>
      </c>
      <c r="F93" s="72">
        <v>346005.28157058597</v>
      </c>
      <c r="G93" s="72">
        <v>97118.645898711315</v>
      </c>
      <c r="H93" s="72">
        <v>28702.065652725109</v>
      </c>
      <c r="I93" s="72">
        <v>3225.865986024141</v>
      </c>
      <c r="J93" s="72">
        <v>51251.406727182701</v>
      </c>
      <c r="K93" s="72">
        <v>2525.5839784453915</v>
      </c>
      <c r="L93" s="72">
        <v>1568.3816342540404</v>
      </c>
      <c r="M93" s="72">
        <v>2525.0809129067861</v>
      </c>
      <c r="N93" s="72">
        <v>0</v>
      </c>
      <c r="O93" s="72">
        <v>28.15435493514163</v>
      </c>
      <c r="Q93" s="72">
        <v>38638.781125996007</v>
      </c>
      <c r="R93" s="72">
        <v>125.27910277462107</v>
      </c>
      <c r="S93" s="72">
        <v>12487.346498412075</v>
      </c>
      <c r="T93" s="72">
        <f>SUM(Q93:S93)</f>
        <v>51251.406727182701</v>
      </c>
      <c r="U93" s="72">
        <f>+T93-S93</f>
        <v>38764.060228770628</v>
      </c>
    </row>
    <row r="94" spans="1:21" x14ac:dyDescent="0.2">
      <c r="A94" s="74">
        <f t="shared" si="13"/>
        <v>88</v>
      </c>
      <c r="B94" s="97">
        <v>590</v>
      </c>
      <c r="C94" s="14" t="s">
        <v>369</v>
      </c>
      <c r="D94" s="14" t="s">
        <v>370</v>
      </c>
      <c r="E94" s="72">
        <v>541367.62414587464</v>
      </c>
      <c r="F94" s="72">
        <v>352594.51206271123</v>
      </c>
      <c r="G94" s="72">
        <v>64839.088246136685</v>
      </c>
      <c r="H94" s="72">
        <v>52807.545042700462</v>
      </c>
      <c r="I94" s="72">
        <v>21630.043142707862</v>
      </c>
      <c r="J94" s="72">
        <v>24827.237784791076</v>
      </c>
      <c r="K94" s="72">
        <v>2279.4959386373976</v>
      </c>
      <c r="L94" s="72">
        <v>838.77599757531732</v>
      </c>
      <c r="M94" s="72">
        <v>205.21158238560821</v>
      </c>
      <c r="N94" s="72">
        <v>21051.470576024298</v>
      </c>
      <c r="O94" s="72">
        <v>294.24377220472314</v>
      </c>
      <c r="Q94" s="72">
        <v>19218.183362981243</v>
      </c>
      <c r="R94" s="72">
        <v>392.75356244274974</v>
      </c>
      <c r="S94" s="72">
        <v>5216.3008593670829</v>
      </c>
      <c r="T94" s="72">
        <f>SUM(Q94:S94)</f>
        <v>24827.237784791076</v>
      </c>
      <c r="U94" s="72">
        <f>+T94-S94</f>
        <v>19610.936925423994</v>
      </c>
    </row>
    <row r="95" spans="1:21" x14ac:dyDescent="0.2">
      <c r="A95" s="31">
        <f>+A94+1</f>
        <v>89</v>
      </c>
      <c r="B95" s="68"/>
      <c r="C95" s="26" t="s">
        <v>292</v>
      </c>
      <c r="D95" s="26"/>
      <c r="E95" s="28">
        <f t="shared" ref="E95:L95" si="20">SUM(E87:E94)</f>
        <v>52909688.306705572</v>
      </c>
      <c r="F95" s="28">
        <f t="shared" si="20"/>
        <v>34460253.808724456</v>
      </c>
      <c r="G95" s="28">
        <f t="shared" si="20"/>
        <v>6336943.3194432585</v>
      </c>
      <c r="H95" s="28">
        <f t="shared" si="20"/>
        <v>5161059.9227461899</v>
      </c>
      <c r="I95" s="28">
        <f t="shared" si="20"/>
        <v>2113977.2489107908</v>
      </c>
      <c r="J95" s="28">
        <f t="shared" si="20"/>
        <v>2426449.8912033234</v>
      </c>
      <c r="K95" s="28">
        <f t="shared" si="20"/>
        <v>222782.84520613958</v>
      </c>
      <c r="L95" s="28">
        <f t="shared" si="20"/>
        <v>81976.414198898943</v>
      </c>
      <c r="M95" s="28">
        <f>SUM(M87:M94)</f>
        <v>20056.021780169656</v>
      </c>
      <c r="N95" s="28">
        <f>SUM(N87:N94)</f>
        <v>2057431.3957775612</v>
      </c>
      <c r="O95" s="28">
        <f>SUM(O87:O94)</f>
        <v>28757.438714780252</v>
      </c>
      <c r="Q95" s="28">
        <f>SUM(Q87:Q94)</f>
        <v>1878258.0379842995</v>
      </c>
      <c r="R95" s="28">
        <f>SUM(R87:R94)</f>
        <v>38385.133582710681</v>
      </c>
      <c r="S95" s="28">
        <f>SUM(S87:S94)</f>
        <v>509806.71963631292</v>
      </c>
      <c r="T95" s="28">
        <f>SUM(T87:T94)</f>
        <v>2426449.8912033234</v>
      </c>
      <c r="U95" s="28">
        <f>SUM(U87:U94)</f>
        <v>1916643.1715670102</v>
      </c>
    </row>
    <row r="96" spans="1:21" x14ac:dyDescent="0.2">
      <c r="A96" s="74">
        <f t="shared" si="13"/>
        <v>90</v>
      </c>
      <c r="B96" s="97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Q96" s="72"/>
      <c r="R96" s="72"/>
      <c r="S96" s="72"/>
      <c r="T96" s="72"/>
      <c r="U96" s="72"/>
    </row>
    <row r="97" spans="1:21" x14ac:dyDescent="0.2">
      <c r="A97" s="74">
        <f t="shared" si="13"/>
        <v>91</v>
      </c>
      <c r="B97" s="97"/>
      <c r="C97" s="13" t="s">
        <v>371</v>
      </c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Q97" s="72"/>
      <c r="R97" s="72"/>
      <c r="S97" s="72"/>
      <c r="T97" s="72"/>
      <c r="U97" s="72"/>
    </row>
    <row r="98" spans="1:21" x14ac:dyDescent="0.2">
      <c r="A98" s="74">
        <f t="shared" si="13"/>
        <v>92</v>
      </c>
      <c r="B98" s="97">
        <v>935</v>
      </c>
      <c r="C98" s="14" t="s">
        <v>372</v>
      </c>
      <c r="D98" s="14" t="s">
        <v>267</v>
      </c>
      <c r="E98" s="72">
        <v>16720545.192083759</v>
      </c>
      <c r="F98" s="72">
        <v>10179552.997723313</v>
      </c>
      <c r="G98" s="72">
        <v>2023294.6079321103</v>
      </c>
      <c r="H98" s="72">
        <v>1836517.1622617072</v>
      </c>
      <c r="I98" s="72">
        <v>1044662.0661556247</v>
      </c>
      <c r="J98" s="72">
        <v>882895.22045288049</v>
      </c>
      <c r="K98" s="72">
        <v>101869.63834053196</v>
      </c>
      <c r="L98" s="72">
        <v>261513.94112024296</v>
      </c>
      <c r="M98" s="72">
        <v>156105.89803091186</v>
      </c>
      <c r="N98" s="72">
        <v>229345.76312693337</v>
      </c>
      <c r="O98" s="72">
        <v>4787.8969395083759</v>
      </c>
      <c r="Q98" s="72">
        <v>780391.48038896522</v>
      </c>
      <c r="R98" s="72">
        <v>4093.7894060250042</v>
      </c>
      <c r="S98" s="72">
        <v>98409.950657890236</v>
      </c>
      <c r="T98" s="72">
        <f>SUM(Q98:S98)</f>
        <v>882895.22045288049</v>
      </c>
      <c r="U98" s="72">
        <f>+T98-S98</f>
        <v>784485.26979499031</v>
      </c>
    </row>
    <row r="99" spans="1:21" x14ac:dyDescent="0.2">
      <c r="A99" s="31">
        <f>+A98+1</f>
        <v>93</v>
      </c>
      <c r="B99" s="68"/>
      <c r="C99" s="26" t="s">
        <v>292</v>
      </c>
      <c r="D99" s="26"/>
      <c r="E99" s="28">
        <f t="shared" ref="E99:L99" si="21">SUM(E98:E98)</f>
        <v>16720545.192083759</v>
      </c>
      <c r="F99" s="28">
        <f t="shared" si="21"/>
        <v>10179552.997723313</v>
      </c>
      <c r="G99" s="28">
        <f t="shared" si="21"/>
        <v>2023294.6079321103</v>
      </c>
      <c r="H99" s="28">
        <f t="shared" si="21"/>
        <v>1836517.1622617072</v>
      </c>
      <c r="I99" s="28">
        <f t="shared" si="21"/>
        <v>1044662.0661556247</v>
      </c>
      <c r="J99" s="28">
        <f t="shared" si="21"/>
        <v>882895.22045288049</v>
      </c>
      <c r="K99" s="28">
        <f t="shared" si="21"/>
        <v>101869.63834053196</v>
      </c>
      <c r="L99" s="28">
        <f t="shared" si="21"/>
        <v>261513.94112024296</v>
      </c>
      <c r="M99" s="28">
        <f>SUM(M98:M98)</f>
        <v>156105.89803091186</v>
      </c>
      <c r="N99" s="28">
        <f>SUM(N98:N98)</f>
        <v>229345.76312693337</v>
      </c>
      <c r="O99" s="28">
        <f>SUM(O98:O98)</f>
        <v>4787.8969395083759</v>
      </c>
      <c r="Q99" s="28">
        <f>SUM(Q98:Q98)</f>
        <v>780391.48038896522</v>
      </c>
      <c r="R99" s="28">
        <f>SUM(R98:R98)</f>
        <v>4093.7894060250042</v>
      </c>
      <c r="S99" s="28">
        <f>SUM(S98:S98)</f>
        <v>98409.950657890236</v>
      </c>
      <c r="T99" s="28">
        <f>SUM(T98:T98)</f>
        <v>882895.22045288049</v>
      </c>
      <c r="U99" s="28">
        <f>SUM(U98:U98)</f>
        <v>784485.26979499031</v>
      </c>
    </row>
    <row r="100" spans="1:21" x14ac:dyDescent="0.2">
      <c r="A100" s="74">
        <f t="shared" si="13"/>
        <v>94</v>
      </c>
      <c r="B100" s="97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Q100" s="72"/>
      <c r="R100" s="72"/>
      <c r="S100" s="72"/>
      <c r="T100" s="72"/>
      <c r="U100" s="72"/>
    </row>
    <row r="101" spans="1:21" x14ac:dyDescent="0.2">
      <c r="A101" s="31">
        <f t="shared" si="13"/>
        <v>95</v>
      </c>
      <c r="B101" s="68"/>
      <c r="C101" s="26" t="s">
        <v>373</v>
      </c>
      <c r="D101" s="26"/>
      <c r="E101" s="28">
        <f t="shared" ref="E101:L101" si="22">SUM(E99,E95)</f>
        <v>69630233.498789325</v>
      </c>
      <c r="F101" s="28">
        <f t="shared" si="22"/>
        <v>44639806.806447767</v>
      </c>
      <c r="G101" s="28">
        <f t="shared" si="22"/>
        <v>8360237.9273753688</v>
      </c>
      <c r="H101" s="28">
        <f t="shared" si="22"/>
        <v>6997577.0850078966</v>
      </c>
      <c r="I101" s="28">
        <f t="shared" si="22"/>
        <v>3158639.3150664154</v>
      </c>
      <c r="J101" s="28">
        <f t="shared" si="22"/>
        <v>3309345.1116562039</v>
      </c>
      <c r="K101" s="28">
        <f t="shared" si="22"/>
        <v>324652.48354667157</v>
      </c>
      <c r="L101" s="28">
        <f t="shared" si="22"/>
        <v>343490.35531914188</v>
      </c>
      <c r="M101" s="28">
        <f>SUM(M99,M95)</f>
        <v>176161.91981108152</v>
      </c>
      <c r="N101" s="28">
        <f>SUM(N99,N95)</f>
        <v>2286777.1589044947</v>
      </c>
      <c r="O101" s="28">
        <f>SUM(O99,O95)</f>
        <v>33545.335654288625</v>
      </c>
      <c r="Q101" s="28">
        <f>SUM(Q99,Q95)</f>
        <v>2658649.5183732649</v>
      </c>
      <c r="R101" s="28">
        <f>SUM(R99,R95)</f>
        <v>42478.922988735685</v>
      </c>
      <c r="S101" s="28">
        <f>SUM(S99,S95)</f>
        <v>608216.6702942031</v>
      </c>
      <c r="T101" s="28">
        <f>SUM(T99,T95)</f>
        <v>3309345.1116562039</v>
      </c>
      <c r="U101" s="28">
        <f>SUM(U99,U95)</f>
        <v>2701128.4413620005</v>
      </c>
    </row>
    <row r="102" spans="1:21" x14ac:dyDescent="0.2">
      <c r="A102" s="74">
        <f t="shared" si="13"/>
        <v>96</v>
      </c>
      <c r="B102" s="97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Q102" s="72"/>
      <c r="R102" s="72"/>
      <c r="S102" s="72"/>
      <c r="T102" s="72"/>
      <c r="U102" s="72"/>
    </row>
    <row r="103" spans="1:21" x14ac:dyDescent="0.2">
      <c r="A103" s="31">
        <f>+A102+1</f>
        <v>97</v>
      </c>
      <c r="B103" s="68"/>
      <c r="C103" s="26" t="s">
        <v>374</v>
      </c>
      <c r="D103" s="26"/>
      <c r="E103" s="28">
        <f t="shared" ref="E103:L103" si="23">SUM(E101,E84)</f>
        <v>1143200425.1744149</v>
      </c>
      <c r="F103" s="28">
        <f t="shared" si="23"/>
        <v>642196612.42459333</v>
      </c>
      <c r="G103" s="28">
        <f t="shared" si="23"/>
        <v>147205464.47887161</v>
      </c>
      <c r="H103" s="28">
        <f t="shared" si="23"/>
        <v>150312452.15806487</v>
      </c>
      <c r="I103" s="28">
        <f t="shared" si="23"/>
        <v>92554424.15380916</v>
      </c>
      <c r="J103" s="28">
        <f t="shared" si="23"/>
        <v>73004120.942692384</v>
      </c>
      <c r="K103" s="28">
        <f t="shared" si="23"/>
        <v>1455316.4888275056</v>
      </c>
      <c r="L103" s="28">
        <f t="shared" si="23"/>
        <v>26282217.92047587</v>
      </c>
      <c r="M103" s="28">
        <f>SUM(M101,M84)</f>
        <v>2856003.8413771414</v>
      </c>
      <c r="N103" s="28">
        <f>SUM(N101,N84)</f>
        <v>6961404.3794189151</v>
      </c>
      <c r="O103" s="28">
        <f>SUM(O101,O84)</f>
        <v>372408.38628434297</v>
      </c>
      <c r="Q103" s="28">
        <f>SUM(Q101,Q84)</f>
        <v>66524962.078858316</v>
      </c>
      <c r="R103" s="28">
        <f>SUM(R101,R84)</f>
        <v>247104.47363583822</v>
      </c>
      <c r="S103" s="28">
        <f>SUM(S101,S84)</f>
        <v>6232054.3901982391</v>
      </c>
      <c r="T103" s="28">
        <f>SUM(T101,T84)</f>
        <v>73004120.942692384</v>
      </c>
      <c r="U103" s="28">
        <f>SUM(U101,U84)</f>
        <v>66772066.552494146</v>
      </c>
    </row>
    <row r="104" spans="1:21" x14ac:dyDescent="0.2">
      <c r="A104" s="74">
        <f t="shared" si="13"/>
        <v>98</v>
      </c>
      <c r="B104" s="97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Q104" s="72"/>
      <c r="R104" s="72"/>
      <c r="S104" s="72"/>
      <c r="T104" s="72"/>
      <c r="U104" s="72"/>
    </row>
    <row r="105" spans="1:21" x14ac:dyDescent="0.2">
      <c r="A105" s="74">
        <f t="shared" si="13"/>
        <v>99</v>
      </c>
      <c r="B105" s="97"/>
      <c r="C105" s="13" t="s">
        <v>37</v>
      </c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Q105" s="72"/>
      <c r="R105" s="72"/>
      <c r="S105" s="72"/>
      <c r="T105" s="72"/>
      <c r="U105" s="72"/>
    </row>
    <row r="106" spans="1:21" x14ac:dyDescent="0.2">
      <c r="A106" s="74">
        <f t="shared" si="13"/>
        <v>100</v>
      </c>
      <c r="B106" s="97">
        <v>403.01</v>
      </c>
      <c r="C106" s="14" t="s">
        <v>375</v>
      </c>
      <c r="D106" s="14" t="s">
        <v>255</v>
      </c>
      <c r="E106" s="72">
        <v>42426879.411666438</v>
      </c>
      <c r="F106" s="72">
        <v>22363094.068959527</v>
      </c>
      <c r="G106" s="72">
        <v>5618853.3975953488</v>
      </c>
      <c r="H106" s="72">
        <v>6222694.5970253134</v>
      </c>
      <c r="I106" s="72">
        <v>3936245.7713479181</v>
      </c>
      <c r="J106" s="72">
        <v>2967737.3138457621</v>
      </c>
      <c r="K106" s="72">
        <v>0</v>
      </c>
      <c r="L106" s="72">
        <v>1164024.8886745321</v>
      </c>
      <c r="M106" s="72">
        <v>0</v>
      </c>
      <c r="N106" s="72">
        <v>139779.50601105634</v>
      </c>
      <c r="O106" s="72">
        <v>14449.868206988915</v>
      </c>
      <c r="Q106" s="72">
        <v>2742341.649686248</v>
      </c>
      <c r="R106" s="72">
        <v>7889.2312852764089</v>
      </c>
      <c r="S106" s="72">
        <v>217506.43287423786</v>
      </c>
      <c r="T106" s="72">
        <f>SUM(Q106:S106)</f>
        <v>2967737.3138457621</v>
      </c>
      <c r="U106" s="72">
        <f>+T106-S106</f>
        <v>2750230.8809715244</v>
      </c>
    </row>
    <row r="107" spans="1:21" x14ac:dyDescent="0.2">
      <c r="A107" s="74">
        <f t="shared" si="13"/>
        <v>101</v>
      </c>
      <c r="B107" s="97">
        <v>403.02</v>
      </c>
      <c r="C107" s="14" t="s">
        <v>376</v>
      </c>
      <c r="D107" s="14" t="s">
        <v>255</v>
      </c>
      <c r="E107" s="72">
        <v>19269085.490000002</v>
      </c>
      <c r="F107" s="72">
        <v>10156683.15490582</v>
      </c>
      <c r="G107" s="72">
        <v>2551923.8740964266</v>
      </c>
      <c r="H107" s="72">
        <v>2826171.4231867483</v>
      </c>
      <c r="I107" s="72">
        <v>1787731.2055361201</v>
      </c>
      <c r="J107" s="72">
        <v>1347862.1290405865</v>
      </c>
      <c r="K107" s="72">
        <v>0</v>
      </c>
      <c r="L107" s="72">
        <v>528667.095091364</v>
      </c>
      <c r="M107" s="72">
        <v>0</v>
      </c>
      <c r="N107" s="72">
        <v>63483.887771778529</v>
      </c>
      <c r="O107" s="72">
        <v>6562.7203711602424</v>
      </c>
      <c r="Q107" s="72">
        <v>1245493.8101354083</v>
      </c>
      <c r="R107" s="72">
        <v>3583.0651274477682</v>
      </c>
      <c r="S107" s="72">
        <v>98785.253777730439</v>
      </c>
      <c r="T107" s="72">
        <f>SUM(Q107:S107)</f>
        <v>1347862.1290405865</v>
      </c>
      <c r="U107" s="72">
        <f>+T107-S107</f>
        <v>1249076.875262856</v>
      </c>
    </row>
    <row r="108" spans="1:21" x14ac:dyDescent="0.2">
      <c r="A108" s="74">
        <f t="shared" si="13"/>
        <v>102</v>
      </c>
      <c r="B108" s="97">
        <v>403.03</v>
      </c>
      <c r="C108" s="14" t="s">
        <v>377</v>
      </c>
      <c r="D108" s="14" t="s">
        <v>255</v>
      </c>
      <c r="E108" s="72">
        <v>74989413.669999972</v>
      </c>
      <c r="F108" s="72">
        <v>39526718.32888075</v>
      </c>
      <c r="G108" s="72">
        <v>9931310.7074167561</v>
      </c>
      <c r="H108" s="72">
        <v>10998598.665498141</v>
      </c>
      <c r="I108" s="72">
        <v>6957305.5229989449</v>
      </c>
      <c r="J108" s="72">
        <v>5245469.0087501099</v>
      </c>
      <c r="K108" s="72">
        <v>0</v>
      </c>
      <c r="L108" s="72">
        <v>2057411.3653757786</v>
      </c>
      <c r="M108" s="72">
        <v>0</v>
      </c>
      <c r="N108" s="72">
        <v>247059.96161407622</v>
      </c>
      <c r="O108" s="72">
        <v>25540.109465437385</v>
      </c>
      <c r="Q108" s="72">
        <v>4847082.6807084</v>
      </c>
      <c r="R108" s="72">
        <v>13944.198503254025</v>
      </c>
      <c r="S108" s="72">
        <v>384442.12953845557</v>
      </c>
      <c r="T108" s="72">
        <f>SUM(Q108:S108)</f>
        <v>5245469.0087501099</v>
      </c>
      <c r="U108" s="72">
        <f>+T108-S108</f>
        <v>4861026.879211654</v>
      </c>
    </row>
    <row r="109" spans="1:21" x14ac:dyDescent="0.2">
      <c r="A109" s="74">
        <f t="shared" si="13"/>
        <v>103</v>
      </c>
      <c r="B109" s="97" t="s">
        <v>378</v>
      </c>
      <c r="C109" s="14" t="s">
        <v>379</v>
      </c>
      <c r="D109" s="14" t="s">
        <v>306</v>
      </c>
      <c r="E109" s="72">
        <v>28661894.716571223</v>
      </c>
      <c r="F109" s="72">
        <v>13661604.619655773</v>
      </c>
      <c r="G109" s="72">
        <v>3431576.0908129783</v>
      </c>
      <c r="H109" s="72">
        <v>3799952.3849299494</v>
      </c>
      <c r="I109" s="72">
        <v>2402458.5356350271</v>
      </c>
      <c r="J109" s="72">
        <v>1811045.2716178382</v>
      </c>
      <c r="K109" s="72">
        <v>405119.17388867284</v>
      </c>
      <c r="L109" s="72">
        <v>710111.98580070399</v>
      </c>
      <c r="M109" s="72">
        <v>2345933.5225884616</v>
      </c>
      <c r="N109" s="72">
        <v>85266.066013048825</v>
      </c>
      <c r="O109" s="72">
        <v>8827.0656287773181</v>
      </c>
      <c r="Q109" s="72">
        <v>1673827.6515720226</v>
      </c>
      <c r="R109" s="72">
        <v>4802.9927362448225</v>
      </c>
      <c r="S109" s="72">
        <v>132414.6273095709</v>
      </c>
      <c r="T109" s="72">
        <f>SUM(Q109:S109)</f>
        <v>1811045.2716178382</v>
      </c>
      <c r="U109" s="72">
        <f>+T109-S109</f>
        <v>1678630.6443082672</v>
      </c>
    </row>
    <row r="110" spans="1:21" x14ac:dyDescent="0.2">
      <c r="A110" s="74">
        <f t="shared" si="13"/>
        <v>104</v>
      </c>
      <c r="B110" s="97" t="s">
        <v>380</v>
      </c>
      <c r="C110" s="14" t="s">
        <v>381</v>
      </c>
      <c r="D110" s="14" t="s">
        <v>232</v>
      </c>
      <c r="E110" s="72">
        <v>3536313.4800000051</v>
      </c>
      <c r="F110" s="72">
        <v>1863981.3275737581</v>
      </c>
      <c r="G110" s="72">
        <v>468335.8118154796</v>
      </c>
      <c r="H110" s="72">
        <v>518666.44661433261</v>
      </c>
      <c r="I110" s="72">
        <v>328089.15420687362</v>
      </c>
      <c r="J110" s="72">
        <v>247363.2191097686</v>
      </c>
      <c r="K110" s="72">
        <v>0</v>
      </c>
      <c r="L110" s="72">
        <v>97022.382083169374</v>
      </c>
      <c r="M110" s="72">
        <v>0</v>
      </c>
      <c r="N110" s="72">
        <v>11650.730814737171</v>
      </c>
      <c r="O110" s="72">
        <v>1204.4077818871415</v>
      </c>
      <c r="Q110" s="72">
        <v>228576.31475682513</v>
      </c>
      <c r="R110" s="72">
        <v>657.57357901013086</v>
      </c>
      <c r="S110" s="72">
        <v>18129.33077393335</v>
      </c>
      <c r="T110" s="72">
        <f t="shared" ref="T110:T144" si="24">SUM(Q110:S110)</f>
        <v>247363.2191097686</v>
      </c>
      <c r="U110" s="72">
        <f t="shared" ref="U110:U144" si="25">+T110-S110</f>
        <v>229233.88833583525</v>
      </c>
    </row>
    <row r="111" spans="1:21" x14ac:dyDescent="0.2">
      <c r="A111" s="74">
        <f t="shared" si="13"/>
        <v>105</v>
      </c>
      <c r="B111" s="97" t="s">
        <v>382</v>
      </c>
      <c r="C111" s="14" t="s">
        <v>383</v>
      </c>
      <c r="D111" s="14" t="s">
        <v>227</v>
      </c>
      <c r="E111" s="72">
        <v>9969.1200000000008</v>
      </c>
      <c r="F111" s="72">
        <v>0</v>
      </c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9969.1200000000008</v>
      </c>
      <c r="N111" s="72">
        <v>0</v>
      </c>
      <c r="O111" s="72">
        <v>0</v>
      </c>
      <c r="Q111" s="72">
        <v>0</v>
      </c>
      <c r="R111" s="72">
        <v>0</v>
      </c>
      <c r="S111" s="72">
        <v>0</v>
      </c>
      <c r="T111" s="72">
        <f t="shared" si="24"/>
        <v>0</v>
      </c>
      <c r="U111" s="72">
        <f t="shared" si="25"/>
        <v>0</v>
      </c>
    </row>
    <row r="112" spans="1:21" x14ac:dyDescent="0.2">
      <c r="A112" s="74">
        <f t="shared" si="13"/>
        <v>106</v>
      </c>
      <c r="B112" s="97" t="s">
        <v>384</v>
      </c>
      <c r="C112" s="14" t="s">
        <v>385</v>
      </c>
      <c r="D112" s="14" t="s">
        <v>232</v>
      </c>
      <c r="E112" s="72">
        <v>3010267.3200000003</v>
      </c>
      <c r="F112" s="72">
        <v>1586703.8109657322</v>
      </c>
      <c r="G112" s="72">
        <v>398668.2733493995</v>
      </c>
      <c r="H112" s="72">
        <v>441511.94826303917</v>
      </c>
      <c r="I112" s="72">
        <v>279284.08059440221</v>
      </c>
      <c r="J112" s="72">
        <v>210566.57416472444</v>
      </c>
      <c r="K112" s="72">
        <v>0</v>
      </c>
      <c r="L112" s="72">
        <v>82589.766926861324</v>
      </c>
      <c r="M112" s="72">
        <v>0</v>
      </c>
      <c r="N112" s="72">
        <v>9917.6202630430362</v>
      </c>
      <c r="O112" s="72">
        <v>1025.2454727991324</v>
      </c>
      <c r="Q112" s="72">
        <v>194574.32558792931</v>
      </c>
      <c r="R112" s="72">
        <v>559.75587757837354</v>
      </c>
      <c r="S112" s="72">
        <v>15432.492699216755</v>
      </c>
      <c r="T112" s="72">
        <f t="shared" si="24"/>
        <v>210566.57416472444</v>
      </c>
      <c r="U112" s="72">
        <f t="shared" si="25"/>
        <v>195134.08146550768</v>
      </c>
    </row>
    <row r="113" spans="1:21" x14ac:dyDescent="0.2">
      <c r="A113" s="74">
        <f t="shared" si="13"/>
        <v>107</v>
      </c>
      <c r="B113" s="97" t="s">
        <v>386</v>
      </c>
      <c r="C113" s="14" t="s">
        <v>387</v>
      </c>
      <c r="D113" s="14" t="s">
        <v>388</v>
      </c>
      <c r="E113" s="72">
        <v>71582.14</v>
      </c>
      <c r="F113" s="72">
        <v>29713.45009938669</v>
      </c>
      <c r="G113" s="72">
        <v>9578.9042275408283</v>
      </c>
      <c r="H113" s="72">
        <v>12462.470301047517</v>
      </c>
      <c r="I113" s="72">
        <v>7324.296776331299</v>
      </c>
      <c r="J113" s="72">
        <v>6342.5083580582914</v>
      </c>
      <c r="K113" s="72">
        <v>6092.0196687522339</v>
      </c>
      <c r="L113" s="72">
        <v>22.309030880357984</v>
      </c>
      <c r="M113" s="72">
        <v>0</v>
      </c>
      <c r="N113" s="72">
        <v>42.173194815993277</v>
      </c>
      <c r="O113" s="72">
        <v>4.0083431867810164</v>
      </c>
      <c r="Q113" s="72">
        <v>6032.7788113126835</v>
      </c>
      <c r="R113" s="72">
        <v>1.3205523310859257</v>
      </c>
      <c r="S113" s="72">
        <v>308.40899441452206</v>
      </c>
      <c r="T113" s="72">
        <f t="shared" si="24"/>
        <v>6342.5083580582914</v>
      </c>
      <c r="U113" s="72">
        <f t="shared" si="25"/>
        <v>6034.0993636437697</v>
      </c>
    </row>
    <row r="114" spans="1:21" x14ac:dyDescent="0.2">
      <c r="A114" s="74">
        <f t="shared" si="13"/>
        <v>108</v>
      </c>
      <c r="B114" s="97" t="s">
        <v>389</v>
      </c>
      <c r="C114" s="14" t="s">
        <v>390</v>
      </c>
      <c r="D114" s="14" t="s">
        <v>364</v>
      </c>
      <c r="E114" s="72">
        <v>142607.19</v>
      </c>
      <c r="F114" s="72">
        <v>66752.40422647653</v>
      </c>
      <c r="G114" s="72">
        <v>18375.886789560911</v>
      </c>
      <c r="H114" s="72">
        <v>22822.467407878503</v>
      </c>
      <c r="I114" s="72">
        <v>13273.198772920263</v>
      </c>
      <c r="J114" s="72">
        <v>9785.1872166935846</v>
      </c>
      <c r="K114" s="72">
        <v>6319.3133796683096</v>
      </c>
      <c r="L114" s="72">
        <v>2362.3335502731711</v>
      </c>
      <c r="M114" s="72">
        <v>2800.045381951029</v>
      </c>
      <c r="N114" s="72">
        <v>101.4301143610944</v>
      </c>
      <c r="O114" s="72">
        <v>14.92316021660193</v>
      </c>
      <c r="Q114" s="72">
        <v>8713.8559134993211</v>
      </c>
      <c r="R114" s="72">
        <v>1.8950044719494515E-2</v>
      </c>
      <c r="S114" s="72">
        <v>1071.3123531495432</v>
      </c>
      <c r="T114" s="72">
        <f t="shared" si="24"/>
        <v>9785.1872166935846</v>
      </c>
      <c r="U114" s="72">
        <f t="shared" si="25"/>
        <v>8713.8748635440406</v>
      </c>
    </row>
    <row r="115" spans="1:21" x14ac:dyDescent="0.2">
      <c r="A115" s="74">
        <f t="shared" si="13"/>
        <v>109</v>
      </c>
      <c r="B115" s="97" t="s">
        <v>391</v>
      </c>
      <c r="C115" s="14" t="s">
        <v>392</v>
      </c>
      <c r="D115" s="14" t="s">
        <v>314</v>
      </c>
      <c r="E115" s="72">
        <v>9552274.1199999992</v>
      </c>
      <c r="F115" s="72">
        <v>4953698.6881863559</v>
      </c>
      <c r="G115" s="72">
        <v>1197675.2996748986</v>
      </c>
      <c r="H115" s="72">
        <v>1315993.206882704</v>
      </c>
      <c r="I115" s="72">
        <v>700229.02851630352</v>
      </c>
      <c r="J115" s="72">
        <v>710560.73561160045</v>
      </c>
      <c r="K115" s="72">
        <v>307347.95330093685</v>
      </c>
      <c r="L115" s="72">
        <v>249623.39140111397</v>
      </c>
      <c r="M115" s="72">
        <v>107546.17512136335</v>
      </c>
      <c r="N115" s="72">
        <v>7159.2498824371323</v>
      </c>
      <c r="O115" s="72">
        <v>2440.3914222854173</v>
      </c>
      <c r="Q115" s="72">
        <v>636677.45724569506</v>
      </c>
      <c r="R115" s="72">
        <v>2292.2534956184973</v>
      </c>
      <c r="S115" s="72">
        <v>71591.024870286885</v>
      </c>
      <c r="T115" s="72">
        <f t="shared" si="24"/>
        <v>710560.73561160045</v>
      </c>
      <c r="U115" s="72">
        <f t="shared" si="25"/>
        <v>638969.71074131352</v>
      </c>
    </row>
    <row r="116" spans="1:21" x14ac:dyDescent="0.2">
      <c r="A116" s="74">
        <f t="shared" si="13"/>
        <v>110</v>
      </c>
      <c r="B116" s="97" t="s">
        <v>393</v>
      </c>
      <c r="C116" s="14" t="s">
        <v>394</v>
      </c>
      <c r="D116" s="14" t="s">
        <v>395</v>
      </c>
      <c r="E116" s="72">
        <v>54950.929999999986</v>
      </c>
      <c r="F116" s="72">
        <v>30673.375654063973</v>
      </c>
      <c r="G116" s="72">
        <v>7416.0231961891568</v>
      </c>
      <c r="H116" s="72">
        <v>8148.6494302075253</v>
      </c>
      <c r="I116" s="72">
        <v>4335.8285167369559</v>
      </c>
      <c r="J116" s="72">
        <v>4317.6120816485491</v>
      </c>
      <c r="K116" s="72">
        <v>0</v>
      </c>
      <c r="L116" s="72">
        <v>0</v>
      </c>
      <c r="M116" s="72">
        <v>0</v>
      </c>
      <c r="N116" s="72">
        <v>44.330181318659626</v>
      </c>
      <c r="O116" s="72">
        <v>15.110939835164247</v>
      </c>
      <c r="Q116" s="72">
        <v>3860.1257276085316</v>
      </c>
      <c r="R116" s="72">
        <v>14.193667598945087</v>
      </c>
      <c r="S116" s="72">
        <v>443.29268644107248</v>
      </c>
      <c r="T116" s="72">
        <f t="shared" si="24"/>
        <v>4317.6120816485491</v>
      </c>
      <c r="U116" s="72">
        <f t="shared" si="25"/>
        <v>3874.3193952074766</v>
      </c>
    </row>
    <row r="117" spans="1:21" x14ac:dyDescent="0.2">
      <c r="A117" s="74">
        <f t="shared" si="13"/>
        <v>111</v>
      </c>
      <c r="B117" s="97" t="s">
        <v>396</v>
      </c>
      <c r="C117" s="14" t="s">
        <v>397</v>
      </c>
      <c r="D117" s="14" t="s">
        <v>398</v>
      </c>
      <c r="E117" s="72">
        <v>12015090.43</v>
      </c>
      <c r="F117" s="72">
        <v>8280957.1348556913</v>
      </c>
      <c r="G117" s="72">
        <v>1513073.6062078436</v>
      </c>
      <c r="H117" s="72">
        <v>1176308.0451656198</v>
      </c>
      <c r="I117" s="72">
        <v>465329.02715162426</v>
      </c>
      <c r="J117" s="72">
        <v>563854.52582027565</v>
      </c>
      <c r="K117" s="72">
        <v>0</v>
      </c>
      <c r="L117" s="72">
        <v>0</v>
      </c>
      <c r="M117" s="72">
        <v>0</v>
      </c>
      <c r="N117" s="72">
        <v>7277.1773269471823</v>
      </c>
      <c r="O117" s="72">
        <v>8290.9134719945505</v>
      </c>
      <c r="Q117" s="72">
        <v>435568.63032201934</v>
      </c>
      <c r="R117" s="72">
        <v>10909.731846700251</v>
      </c>
      <c r="S117" s="72">
        <v>117376.16365155604</v>
      </c>
      <c r="T117" s="72">
        <f t="shared" si="24"/>
        <v>563854.52582027565</v>
      </c>
      <c r="U117" s="72">
        <f t="shared" si="25"/>
        <v>446478.36216871964</v>
      </c>
    </row>
    <row r="118" spans="1:21" x14ac:dyDescent="0.2">
      <c r="A118" s="74">
        <f t="shared" si="13"/>
        <v>112</v>
      </c>
      <c r="B118" s="97" t="s">
        <v>399</v>
      </c>
      <c r="C118" s="14" t="s">
        <v>400</v>
      </c>
      <c r="D118" s="14" t="s">
        <v>398</v>
      </c>
      <c r="E118" s="72">
        <v>17443235.939999998</v>
      </c>
      <c r="F118" s="72">
        <v>12022105.863777025</v>
      </c>
      <c r="G118" s="72">
        <v>2196645.9646255085</v>
      </c>
      <c r="H118" s="72">
        <v>1707737.3565755244</v>
      </c>
      <c r="I118" s="72">
        <v>675554.13399717933</v>
      </c>
      <c r="J118" s="72">
        <v>818591.21968505147</v>
      </c>
      <c r="K118" s="72">
        <v>0</v>
      </c>
      <c r="L118" s="72">
        <v>0</v>
      </c>
      <c r="M118" s="72">
        <v>0</v>
      </c>
      <c r="N118" s="72">
        <v>10564.84109135067</v>
      </c>
      <c r="O118" s="72">
        <v>12036.560248354743</v>
      </c>
      <c r="Q118" s="72">
        <v>632348.66445941688</v>
      </c>
      <c r="R118" s="72">
        <v>15838.5014039486</v>
      </c>
      <c r="S118" s="72">
        <v>170404.05382168596</v>
      </c>
      <c r="T118" s="72">
        <f t="shared" si="24"/>
        <v>818591.21968505147</v>
      </c>
      <c r="U118" s="72">
        <f t="shared" si="25"/>
        <v>648187.16586336552</v>
      </c>
    </row>
    <row r="119" spans="1:21" x14ac:dyDescent="0.2">
      <c r="A119" s="74">
        <f t="shared" si="13"/>
        <v>113</v>
      </c>
      <c r="B119" s="97" t="s">
        <v>401</v>
      </c>
      <c r="C119" s="14" t="s">
        <v>402</v>
      </c>
      <c r="D119" s="14" t="s">
        <v>403</v>
      </c>
      <c r="E119" s="72">
        <v>13080710</v>
      </c>
      <c r="F119" s="72">
        <v>8803246.325757876</v>
      </c>
      <c r="G119" s="72">
        <v>1568630.7978229651</v>
      </c>
      <c r="H119" s="72">
        <v>1463813.2585704878</v>
      </c>
      <c r="I119" s="72">
        <v>635547.13899224869</v>
      </c>
      <c r="J119" s="72">
        <v>599859.88026903523</v>
      </c>
      <c r="K119" s="72">
        <v>0</v>
      </c>
      <c r="L119" s="72">
        <v>0</v>
      </c>
      <c r="M119" s="72">
        <v>0</v>
      </c>
      <c r="N119" s="72">
        <v>6032.1974941091539</v>
      </c>
      <c r="O119" s="72">
        <v>3580.4010932776905</v>
      </c>
      <c r="Q119" s="72">
        <v>453322.88479923527</v>
      </c>
      <c r="R119" s="72">
        <v>5383.5741076458035</v>
      </c>
      <c r="S119" s="72">
        <v>141153.42136215419</v>
      </c>
      <c r="T119" s="72">
        <f t="shared" si="24"/>
        <v>599859.88026903523</v>
      </c>
      <c r="U119" s="72">
        <f t="shared" si="25"/>
        <v>458706.45890688105</v>
      </c>
    </row>
    <row r="120" spans="1:21" x14ac:dyDescent="0.2">
      <c r="A120" s="74">
        <f t="shared" si="13"/>
        <v>114</v>
      </c>
      <c r="B120" s="97" t="s">
        <v>404</v>
      </c>
      <c r="C120" s="14" t="s">
        <v>405</v>
      </c>
      <c r="D120" s="14" t="s">
        <v>403</v>
      </c>
      <c r="E120" s="72">
        <v>38836748.5598768</v>
      </c>
      <c r="F120" s="72">
        <v>26136919.48404314</v>
      </c>
      <c r="G120" s="72">
        <v>4657279.297402774</v>
      </c>
      <c r="H120" s="72">
        <v>4346075.0572190629</v>
      </c>
      <c r="I120" s="72">
        <v>1886945.3137475743</v>
      </c>
      <c r="J120" s="72">
        <v>1780989.5136553233</v>
      </c>
      <c r="K120" s="72">
        <v>0</v>
      </c>
      <c r="L120" s="72">
        <v>0</v>
      </c>
      <c r="M120" s="72">
        <v>0</v>
      </c>
      <c r="N120" s="72">
        <v>17909.649961067564</v>
      </c>
      <c r="O120" s="72">
        <v>10630.243847859456</v>
      </c>
      <c r="Q120" s="72">
        <v>1345919.8234182927</v>
      </c>
      <c r="R120" s="72">
        <v>15983.881148049548</v>
      </c>
      <c r="S120" s="72">
        <v>419085.80908898101</v>
      </c>
      <c r="T120" s="72">
        <f t="shared" si="24"/>
        <v>1780989.5136553233</v>
      </c>
      <c r="U120" s="72">
        <f t="shared" si="25"/>
        <v>1361903.7045663423</v>
      </c>
    </row>
    <row r="121" spans="1:21" x14ac:dyDescent="0.2">
      <c r="A121" s="74">
        <f t="shared" si="13"/>
        <v>115</v>
      </c>
      <c r="B121" s="97" t="s">
        <v>406</v>
      </c>
      <c r="C121" s="14" t="s">
        <v>407</v>
      </c>
      <c r="D121" s="14" t="s">
        <v>367</v>
      </c>
      <c r="E121" s="72">
        <v>20242879.390000001</v>
      </c>
      <c r="F121" s="72">
        <v>15558858.408078132</v>
      </c>
      <c r="G121" s="72">
        <v>2453563.8691945719</v>
      </c>
      <c r="H121" s="72">
        <v>885151.63384795154</v>
      </c>
      <c r="I121" s="72">
        <v>211251.65846275602</v>
      </c>
      <c r="J121" s="72">
        <v>107443.37113840765</v>
      </c>
      <c r="K121" s="72">
        <v>197247.081502015</v>
      </c>
      <c r="L121" s="72">
        <v>0</v>
      </c>
      <c r="M121" s="72">
        <v>0</v>
      </c>
      <c r="N121" s="72">
        <v>826972.48304086004</v>
      </c>
      <c r="O121" s="72">
        <v>2390.8847353073461</v>
      </c>
      <c r="Q121" s="72">
        <v>101619.41317769684</v>
      </c>
      <c r="R121" s="72">
        <v>0</v>
      </c>
      <c r="S121" s="72">
        <v>5823.957960710808</v>
      </c>
      <c r="T121" s="72">
        <f t="shared" si="24"/>
        <v>107443.37113840765</v>
      </c>
      <c r="U121" s="72">
        <f t="shared" si="25"/>
        <v>101619.41317769684</v>
      </c>
    </row>
    <row r="122" spans="1:21" x14ac:dyDescent="0.2">
      <c r="A122" s="74">
        <f t="shared" si="13"/>
        <v>116</v>
      </c>
      <c r="B122" s="97" t="s">
        <v>408</v>
      </c>
      <c r="C122" s="14" t="s">
        <v>409</v>
      </c>
      <c r="D122" s="14" t="s">
        <v>410</v>
      </c>
      <c r="E122" s="72">
        <v>5946476.4000000004</v>
      </c>
      <c r="F122" s="72">
        <v>5770232.7534907376</v>
      </c>
      <c r="G122" s="72">
        <v>169604.63106701686</v>
      </c>
      <c r="H122" s="72">
        <v>6498.2257651022683</v>
      </c>
      <c r="I122" s="72">
        <v>140.78967714472898</v>
      </c>
      <c r="J122" s="72">
        <v>0</v>
      </c>
      <c r="K122" s="72">
        <v>0</v>
      </c>
      <c r="L122" s="72">
        <v>0</v>
      </c>
      <c r="M122" s="72">
        <v>0</v>
      </c>
      <c r="N122" s="72">
        <v>0</v>
      </c>
      <c r="O122" s="72">
        <v>0</v>
      </c>
      <c r="Q122" s="72">
        <v>0</v>
      </c>
      <c r="R122" s="72">
        <v>0</v>
      </c>
      <c r="S122" s="72">
        <v>0</v>
      </c>
      <c r="T122" s="72">
        <f t="shared" si="24"/>
        <v>0</v>
      </c>
      <c r="U122" s="72">
        <f t="shared" si="25"/>
        <v>0</v>
      </c>
    </row>
    <row r="123" spans="1:21" x14ac:dyDescent="0.2">
      <c r="A123" s="74">
        <f t="shared" si="13"/>
        <v>117</v>
      </c>
      <c r="B123" s="97" t="s">
        <v>411</v>
      </c>
      <c r="C123" s="14" t="s">
        <v>412</v>
      </c>
      <c r="D123" s="14" t="s">
        <v>413</v>
      </c>
      <c r="E123" s="72">
        <v>15485581.179727737</v>
      </c>
      <c r="F123" s="72">
        <v>10053641.400099199</v>
      </c>
      <c r="G123" s="72">
        <v>2821910.7948202551</v>
      </c>
      <c r="H123" s="72">
        <v>833976.50522781222</v>
      </c>
      <c r="I123" s="72">
        <v>93731.805714208371</v>
      </c>
      <c r="J123" s="72">
        <v>1489177.4545950438</v>
      </c>
      <c r="K123" s="72">
        <v>73384.185148474222</v>
      </c>
      <c r="L123" s="72">
        <v>45571.404163884014</v>
      </c>
      <c r="M123" s="72">
        <v>73369.567913433959</v>
      </c>
      <c r="N123" s="72">
        <v>0</v>
      </c>
      <c r="O123" s="72">
        <v>818.06204542367198</v>
      </c>
      <c r="Q123" s="72">
        <v>1122700.9247211104</v>
      </c>
      <c r="R123" s="72">
        <v>3640.1501402089707</v>
      </c>
      <c r="S123" s="72">
        <v>362836.37973372452</v>
      </c>
      <c r="T123" s="72">
        <f t="shared" si="24"/>
        <v>1489177.4545950438</v>
      </c>
      <c r="U123" s="72">
        <f t="shared" si="25"/>
        <v>1126341.0748613193</v>
      </c>
    </row>
    <row r="124" spans="1:21" x14ac:dyDescent="0.2">
      <c r="A124" s="74">
        <f t="shared" si="13"/>
        <v>118</v>
      </c>
      <c r="B124" s="97" t="s">
        <v>414</v>
      </c>
      <c r="C124" s="14" t="s">
        <v>415</v>
      </c>
      <c r="D124" s="14" t="s">
        <v>273</v>
      </c>
      <c r="E124" s="72">
        <v>2670044.1300000004</v>
      </c>
      <c r="F124" s="72">
        <v>0</v>
      </c>
      <c r="G124" s="72">
        <v>0</v>
      </c>
      <c r="H124" s="72">
        <v>0</v>
      </c>
      <c r="I124" s="72">
        <v>0</v>
      </c>
      <c r="J124" s="72">
        <v>0</v>
      </c>
      <c r="K124" s="72">
        <v>0</v>
      </c>
      <c r="L124" s="72">
        <v>0</v>
      </c>
      <c r="M124" s="72">
        <v>0</v>
      </c>
      <c r="N124" s="72">
        <v>2670044.1300000004</v>
      </c>
      <c r="O124" s="72">
        <v>0</v>
      </c>
      <c r="Q124" s="72">
        <v>0</v>
      </c>
      <c r="R124" s="72">
        <v>0</v>
      </c>
      <c r="S124" s="72">
        <v>0</v>
      </c>
      <c r="T124" s="72">
        <f t="shared" si="24"/>
        <v>0</v>
      </c>
      <c r="U124" s="72">
        <f t="shared" si="25"/>
        <v>0</v>
      </c>
    </row>
    <row r="125" spans="1:21" x14ac:dyDescent="0.2">
      <c r="A125" s="74">
        <f t="shared" si="13"/>
        <v>119</v>
      </c>
      <c r="B125" s="97">
        <v>403.06</v>
      </c>
      <c r="C125" s="14" t="s">
        <v>416</v>
      </c>
      <c r="D125" s="14" t="s">
        <v>267</v>
      </c>
      <c r="E125" s="72">
        <v>31544118.98686849</v>
      </c>
      <c r="F125" s="72">
        <v>19204220.155772388</v>
      </c>
      <c r="G125" s="72">
        <v>3817043.3514522328</v>
      </c>
      <c r="H125" s="72">
        <v>3464678.646676938</v>
      </c>
      <c r="I125" s="72">
        <v>1970805.6248956688</v>
      </c>
      <c r="J125" s="72">
        <v>1665624.6292787532</v>
      </c>
      <c r="K125" s="72">
        <v>192182.01057728429</v>
      </c>
      <c r="L125" s="72">
        <v>493358.72608552326</v>
      </c>
      <c r="M125" s="72">
        <v>294501.34343528392</v>
      </c>
      <c r="N125" s="72">
        <v>432671.89903803356</v>
      </c>
      <c r="O125" s="72">
        <v>9032.5996563927765</v>
      </c>
      <c r="Q125" s="72">
        <v>1472246.3550639858</v>
      </c>
      <c r="R125" s="72">
        <v>7723.1321495409484</v>
      </c>
      <c r="S125" s="72">
        <v>185655.14206522625</v>
      </c>
      <c r="T125" s="72">
        <f t="shared" si="24"/>
        <v>1665624.6292787532</v>
      </c>
      <c r="U125" s="72">
        <f t="shared" si="25"/>
        <v>1479969.4872135269</v>
      </c>
    </row>
    <row r="126" spans="1:21" x14ac:dyDescent="0.2">
      <c r="A126" s="74">
        <f t="shared" si="13"/>
        <v>120</v>
      </c>
      <c r="B126" s="97" t="s">
        <v>417</v>
      </c>
      <c r="C126" s="14" t="s">
        <v>418</v>
      </c>
      <c r="D126" s="14" t="s">
        <v>255</v>
      </c>
      <c r="E126" s="72">
        <v>7651253.0900000008</v>
      </c>
      <c r="F126" s="72">
        <v>4032954.9325759993</v>
      </c>
      <c r="G126" s="72">
        <v>1013302.6519218093</v>
      </c>
      <c r="H126" s="72">
        <v>1122199.2266186841</v>
      </c>
      <c r="I126" s="72">
        <v>709861.60280135146</v>
      </c>
      <c r="J126" s="72">
        <v>535201.02368468791</v>
      </c>
      <c r="K126" s="72">
        <v>0</v>
      </c>
      <c r="L126" s="72">
        <v>209919.96465002568</v>
      </c>
      <c r="M126" s="72">
        <v>0</v>
      </c>
      <c r="N126" s="72">
        <v>25207.802037679045</v>
      </c>
      <c r="O126" s="72">
        <v>2605.8857097657601</v>
      </c>
      <c r="Q126" s="72">
        <v>494553.22455857851</v>
      </c>
      <c r="R126" s="72">
        <v>1422.7420466987603</v>
      </c>
      <c r="S126" s="72">
        <v>39225.057079410682</v>
      </c>
      <c r="T126" s="72">
        <f t="shared" si="24"/>
        <v>535201.02368468791</v>
      </c>
      <c r="U126" s="72">
        <f t="shared" si="25"/>
        <v>495975.96660527721</v>
      </c>
    </row>
    <row r="127" spans="1:21" x14ac:dyDescent="0.2">
      <c r="A127" s="74">
        <f t="shared" si="13"/>
        <v>121</v>
      </c>
      <c r="B127" s="97" t="s">
        <v>419</v>
      </c>
      <c r="C127" s="14" t="s">
        <v>420</v>
      </c>
      <c r="D127" s="14" t="s">
        <v>421</v>
      </c>
      <c r="E127" s="72">
        <v>88906.44</v>
      </c>
      <c r="F127" s="72">
        <v>43386.323738282743</v>
      </c>
      <c r="G127" s="72">
        <v>10898.712853841056</v>
      </c>
      <c r="H127" s="72">
        <v>12068.994789190316</v>
      </c>
      <c r="I127" s="72">
        <v>7631.402925595251</v>
      </c>
      <c r="J127" s="72">
        <v>5753.0077661606538</v>
      </c>
      <c r="K127" s="72">
        <v>970.52268084914999</v>
      </c>
      <c r="L127" s="72">
        <v>2255.9358253249052</v>
      </c>
      <c r="M127" s="72">
        <v>5642.6219036800976</v>
      </c>
      <c r="N127" s="72">
        <v>270.88437626702137</v>
      </c>
      <c r="O127" s="72">
        <v>28.033140808833657</v>
      </c>
      <c r="Q127" s="72">
        <v>5316.8623275433038</v>
      </c>
      <c r="R127" s="72">
        <v>15.266173749344105</v>
      </c>
      <c r="S127" s="72">
        <v>420.87926486800558</v>
      </c>
      <c r="T127" s="72">
        <f t="shared" si="24"/>
        <v>5753.0077661606538</v>
      </c>
      <c r="U127" s="72">
        <f t="shared" si="25"/>
        <v>5332.1285012926483</v>
      </c>
    </row>
    <row r="128" spans="1:21" x14ac:dyDescent="0.2">
      <c r="A128" s="74">
        <f t="shared" si="13"/>
        <v>122</v>
      </c>
      <c r="B128" s="97" t="s">
        <v>422</v>
      </c>
      <c r="C128" s="14" t="s">
        <v>423</v>
      </c>
      <c r="D128" s="14" t="s">
        <v>279</v>
      </c>
      <c r="E128" s="72">
        <v>52744.2</v>
      </c>
      <c r="F128" s="72">
        <v>35070.275070259799</v>
      </c>
      <c r="G128" s="72">
        <v>6252.162704503141</v>
      </c>
      <c r="H128" s="72">
        <v>4963.8433462669764</v>
      </c>
      <c r="I128" s="72">
        <v>2113.7587402921895</v>
      </c>
      <c r="J128" s="72">
        <v>2344.6374651228321</v>
      </c>
      <c r="K128" s="72">
        <v>634.18256529725932</v>
      </c>
      <c r="L128" s="72">
        <v>241.68901694500363</v>
      </c>
      <c r="M128" s="72">
        <v>83.504604579257091</v>
      </c>
      <c r="N128" s="72">
        <v>1023.961656822574</v>
      </c>
      <c r="O128" s="72">
        <v>16.18482991095474</v>
      </c>
      <c r="Q128" s="72">
        <v>1862.6297935550667</v>
      </c>
      <c r="R128" s="72">
        <v>21.240486102670747</v>
      </c>
      <c r="S128" s="72">
        <v>460.76718546509449</v>
      </c>
      <c r="T128" s="72">
        <f t="shared" si="24"/>
        <v>2344.6374651228321</v>
      </c>
      <c r="U128" s="72">
        <f t="shared" si="25"/>
        <v>1883.8702796577377</v>
      </c>
    </row>
    <row r="129" spans="1:21" x14ac:dyDescent="0.2">
      <c r="A129" s="74">
        <f t="shared" si="13"/>
        <v>123</v>
      </c>
      <c r="B129" s="97" t="s">
        <v>424</v>
      </c>
      <c r="C129" s="14" t="s">
        <v>425</v>
      </c>
      <c r="D129" s="14" t="s">
        <v>267</v>
      </c>
      <c r="E129" s="72">
        <v>15331.973602</v>
      </c>
      <c r="F129" s="72">
        <v>9334.1835477437326</v>
      </c>
      <c r="G129" s="72">
        <v>1855.2684234585131</v>
      </c>
      <c r="H129" s="72">
        <v>1684.0020661974233</v>
      </c>
      <c r="I129" s="72">
        <v>957.90723551836345</v>
      </c>
      <c r="J129" s="72">
        <v>809.57445213714198</v>
      </c>
      <c r="K129" s="72">
        <v>93.409789450034054</v>
      </c>
      <c r="L129" s="72">
        <v>239.79629825161641</v>
      </c>
      <c r="M129" s="72">
        <v>143.14195381975887</v>
      </c>
      <c r="N129" s="72">
        <v>210.29955336967538</v>
      </c>
      <c r="O129" s="72">
        <v>4.3902820537450857</v>
      </c>
      <c r="Q129" s="72">
        <v>715.58322046903379</v>
      </c>
      <c r="R129" s="72">
        <v>3.7538172580065599</v>
      </c>
      <c r="S129" s="72">
        <v>90.237414410101707</v>
      </c>
      <c r="T129" s="72">
        <f t="shared" si="24"/>
        <v>809.57445213714198</v>
      </c>
      <c r="U129" s="72">
        <f t="shared" si="25"/>
        <v>719.3370377270403</v>
      </c>
    </row>
    <row r="130" spans="1:21" x14ac:dyDescent="0.2">
      <c r="A130" s="74">
        <f t="shared" si="13"/>
        <v>124</v>
      </c>
      <c r="B130" s="97">
        <v>403.08</v>
      </c>
      <c r="C130" s="14" t="s">
        <v>426</v>
      </c>
      <c r="D130" s="14" t="s">
        <v>279</v>
      </c>
      <c r="E130" s="72">
        <v>0</v>
      </c>
      <c r="F130" s="72">
        <v>0</v>
      </c>
      <c r="G130" s="72">
        <v>0</v>
      </c>
      <c r="H130" s="72">
        <v>0</v>
      </c>
      <c r="I130" s="72">
        <v>0</v>
      </c>
      <c r="J130" s="72">
        <v>0</v>
      </c>
      <c r="K130" s="72">
        <v>0</v>
      </c>
      <c r="L130" s="72">
        <v>0</v>
      </c>
      <c r="M130" s="72">
        <v>0</v>
      </c>
      <c r="N130" s="72">
        <v>0</v>
      </c>
      <c r="O130" s="72">
        <v>0</v>
      </c>
      <c r="Q130" s="72">
        <v>0</v>
      </c>
      <c r="R130" s="72">
        <v>0</v>
      </c>
      <c r="S130" s="72">
        <v>0</v>
      </c>
      <c r="T130" s="72">
        <f t="shared" si="24"/>
        <v>0</v>
      </c>
      <c r="U130" s="72">
        <f t="shared" si="25"/>
        <v>0</v>
      </c>
    </row>
    <row r="131" spans="1:21" x14ac:dyDescent="0.2">
      <c r="A131" s="74">
        <f t="shared" si="13"/>
        <v>125</v>
      </c>
      <c r="B131" s="97">
        <v>404</v>
      </c>
      <c r="C131" s="14" t="s">
        <v>427</v>
      </c>
      <c r="D131" s="14" t="s">
        <v>255</v>
      </c>
      <c r="E131" s="72">
        <v>1210780.8199999998</v>
      </c>
      <c r="F131" s="72">
        <v>638199.31491606322</v>
      </c>
      <c r="G131" s="72">
        <v>160351.17403260051</v>
      </c>
      <c r="H131" s="72">
        <v>177583.63026633795</v>
      </c>
      <c r="I131" s="72">
        <v>112332.81704531019</v>
      </c>
      <c r="J131" s="72">
        <v>84693.464808884761</v>
      </c>
      <c r="K131" s="72">
        <v>0</v>
      </c>
      <c r="L131" s="72">
        <v>33219.0118329139</v>
      </c>
      <c r="M131" s="72">
        <v>0</v>
      </c>
      <c r="N131" s="72">
        <v>3989.0358955017518</v>
      </c>
      <c r="O131" s="72">
        <v>412.37120238777356</v>
      </c>
      <c r="Q131" s="72">
        <v>78261.109875883049</v>
      </c>
      <c r="R131" s="72">
        <v>225.14335386472004</v>
      </c>
      <c r="S131" s="72">
        <v>6207.2115791369879</v>
      </c>
      <c r="T131" s="72">
        <f t="shared" si="24"/>
        <v>84693.464808884761</v>
      </c>
      <c r="U131" s="72">
        <f t="shared" si="25"/>
        <v>78486.253229747774</v>
      </c>
    </row>
    <row r="132" spans="1:21" x14ac:dyDescent="0.2">
      <c r="A132" s="74">
        <f t="shared" si="13"/>
        <v>126</v>
      </c>
      <c r="B132" s="97">
        <v>404.01</v>
      </c>
      <c r="C132" s="14" t="s">
        <v>428</v>
      </c>
      <c r="D132" s="14" t="s">
        <v>232</v>
      </c>
      <c r="E132" s="72">
        <v>0</v>
      </c>
      <c r="F132" s="72">
        <v>0</v>
      </c>
      <c r="G132" s="72">
        <v>0</v>
      </c>
      <c r="H132" s="72">
        <v>0</v>
      </c>
      <c r="I132" s="72">
        <v>0</v>
      </c>
      <c r="J132" s="72">
        <v>0</v>
      </c>
      <c r="K132" s="72">
        <v>0</v>
      </c>
      <c r="L132" s="72">
        <v>0</v>
      </c>
      <c r="M132" s="72">
        <v>0</v>
      </c>
      <c r="N132" s="72">
        <v>0</v>
      </c>
      <c r="O132" s="72">
        <v>0</v>
      </c>
      <c r="Q132" s="72">
        <v>0</v>
      </c>
      <c r="R132" s="72">
        <v>0</v>
      </c>
      <c r="S132" s="72">
        <v>0</v>
      </c>
      <c r="T132" s="72">
        <f t="shared" si="24"/>
        <v>0</v>
      </c>
      <c r="U132" s="72">
        <f t="shared" si="25"/>
        <v>0</v>
      </c>
    </row>
    <row r="133" spans="1:21" x14ac:dyDescent="0.2">
      <c r="A133" s="74">
        <f t="shared" si="13"/>
        <v>127</v>
      </c>
      <c r="B133" s="97">
        <v>404.02</v>
      </c>
      <c r="C133" s="14" t="s">
        <v>429</v>
      </c>
      <c r="D133" s="14" t="s">
        <v>267</v>
      </c>
      <c r="E133" s="72">
        <v>77938784.204467431</v>
      </c>
      <c r="F133" s="72">
        <v>47449528.425850533</v>
      </c>
      <c r="G133" s="72">
        <v>9431099.2864241134</v>
      </c>
      <c r="H133" s="72">
        <v>8560481.3212121185</v>
      </c>
      <c r="I133" s="72">
        <v>4869439.9856796516</v>
      </c>
      <c r="J133" s="72">
        <v>4115402.8933584811</v>
      </c>
      <c r="K133" s="72">
        <v>474840.72250041319</v>
      </c>
      <c r="L133" s="72">
        <v>1218984.0934780159</v>
      </c>
      <c r="M133" s="72">
        <v>727649.95159584226</v>
      </c>
      <c r="N133" s="72">
        <v>1069039.8988318718</v>
      </c>
      <c r="O133" s="72">
        <v>22317.625536411637</v>
      </c>
      <c r="Q133" s="72">
        <v>3637606.4587796219</v>
      </c>
      <c r="R133" s="72">
        <v>19082.210862704233</v>
      </c>
      <c r="S133" s="72">
        <v>458714.22371615539</v>
      </c>
      <c r="T133" s="72">
        <f t="shared" si="24"/>
        <v>4115402.8933584811</v>
      </c>
      <c r="U133" s="72">
        <f t="shared" si="25"/>
        <v>3656688.6696423255</v>
      </c>
    </row>
    <row r="134" spans="1:21" x14ac:dyDescent="0.2">
      <c r="A134" s="74">
        <f t="shared" si="13"/>
        <v>128</v>
      </c>
      <c r="B134" s="97">
        <v>405</v>
      </c>
      <c r="C134" s="14" t="s">
        <v>430</v>
      </c>
      <c r="D134" s="14" t="s">
        <v>260</v>
      </c>
      <c r="E134" s="72">
        <v>2500924.8299999996</v>
      </c>
      <c r="F134" s="72">
        <v>1446376.0980899078</v>
      </c>
      <c r="G134" s="72">
        <v>312665.67102773936</v>
      </c>
      <c r="H134" s="72">
        <v>307406.61176838458</v>
      </c>
      <c r="I134" s="72">
        <v>174099.06687869286</v>
      </c>
      <c r="J134" s="72">
        <v>146144.79897969155</v>
      </c>
      <c r="K134" s="72">
        <v>17021.715353724936</v>
      </c>
      <c r="L134" s="72">
        <v>43881.100468316108</v>
      </c>
      <c r="M134" s="72">
        <v>27532.398740159737</v>
      </c>
      <c r="N134" s="72">
        <v>24991.163216948869</v>
      </c>
      <c r="O134" s="72">
        <v>806.20547643490477</v>
      </c>
      <c r="Q134" s="72">
        <v>129024.24341447576</v>
      </c>
      <c r="R134" s="72">
        <v>685.86112363780205</v>
      </c>
      <c r="S134" s="72">
        <v>16434.694441577976</v>
      </c>
      <c r="T134" s="72">
        <f t="shared" si="24"/>
        <v>146144.79897969155</v>
      </c>
      <c r="U134" s="72">
        <f t="shared" si="25"/>
        <v>129710.10453811358</v>
      </c>
    </row>
    <row r="135" spans="1:21" x14ac:dyDescent="0.2">
      <c r="A135" s="74">
        <f t="shared" si="13"/>
        <v>129</v>
      </c>
      <c r="B135" s="97">
        <v>406</v>
      </c>
      <c r="C135" s="14" t="s">
        <v>431</v>
      </c>
      <c r="D135" s="14" t="s">
        <v>232</v>
      </c>
      <c r="E135" s="72">
        <v>25800</v>
      </c>
      <c r="F135" s="72">
        <v>13599.110634106702</v>
      </c>
      <c r="G135" s="72">
        <v>3416.8531758217759</v>
      </c>
      <c r="H135" s="72">
        <v>3784.0520639165061</v>
      </c>
      <c r="I135" s="72">
        <v>2393.6509662987587</v>
      </c>
      <c r="J135" s="72">
        <v>1804.6960737858624</v>
      </c>
      <c r="K135" s="72">
        <v>0</v>
      </c>
      <c r="L135" s="72">
        <v>707.84942339041902</v>
      </c>
      <c r="M135" s="72">
        <v>0</v>
      </c>
      <c r="N135" s="72">
        <v>85.000624724089391</v>
      </c>
      <c r="O135" s="72">
        <v>8.7870379558907779</v>
      </c>
      <c r="Q135" s="72">
        <v>1667.6318301753267</v>
      </c>
      <c r="R135" s="72">
        <v>4.7974814547440374</v>
      </c>
      <c r="S135" s="72">
        <v>132.26676215579161</v>
      </c>
      <c r="T135" s="72">
        <f t="shared" si="24"/>
        <v>1804.6960737858624</v>
      </c>
      <c r="U135" s="72">
        <f t="shared" si="25"/>
        <v>1672.4293116300707</v>
      </c>
    </row>
    <row r="136" spans="1:21" x14ac:dyDescent="0.2">
      <c r="A136" s="74">
        <f t="shared" ref="A136:A160" si="26">+A135+1</f>
        <v>130</v>
      </c>
      <c r="B136" s="97">
        <v>406.01</v>
      </c>
      <c r="C136" s="14" t="s">
        <v>432</v>
      </c>
      <c r="D136" s="14" t="s">
        <v>279</v>
      </c>
      <c r="E136" s="72">
        <v>0</v>
      </c>
      <c r="F136" s="72">
        <v>0</v>
      </c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0</v>
      </c>
      <c r="N136" s="72">
        <v>0</v>
      </c>
      <c r="O136" s="72">
        <v>0</v>
      </c>
      <c r="Q136" s="72">
        <v>0</v>
      </c>
      <c r="R136" s="72">
        <v>0</v>
      </c>
      <c r="S136" s="72">
        <v>0</v>
      </c>
      <c r="T136" s="72">
        <f t="shared" si="24"/>
        <v>0</v>
      </c>
      <c r="U136" s="72">
        <f t="shared" si="25"/>
        <v>0</v>
      </c>
    </row>
    <row r="137" spans="1:21" x14ac:dyDescent="0.2">
      <c r="A137" s="74">
        <f t="shared" si="26"/>
        <v>131</v>
      </c>
      <c r="B137" s="97">
        <v>406.02</v>
      </c>
      <c r="C137" s="14" t="s">
        <v>433</v>
      </c>
      <c r="D137" s="14" t="s">
        <v>232</v>
      </c>
      <c r="E137" s="72">
        <v>715282.68</v>
      </c>
      <c r="F137" s="72">
        <v>377023.57751861797</v>
      </c>
      <c r="G137" s="72">
        <v>94729.298324353163</v>
      </c>
      <c r="H137" s="72">
        <v>104909.5698270438</v>
      </c>
      <c r="I137" s="72">
        <v>66361.902254215747</v>
      </c>
      <c r="J137" s="72">
        <v>50033.637373760837</v>
      </c>
      <c r="K137" s="72">
        <v>0</v>
      </c>
      <c r="L137" s="72">
        <v>19624.512891440067</v>
      </c>
      <c r="M137" s="72">
        <v>0</v>
      </c>
      <c r="N137" s="72">
        <v>2356.5687850511986</v>
      </c>
      <c r="O137" s="72">
        <v>243.61302551749139</v>
      </c>
      <c r="Q137" s="72">
        <v>46233.649796167163</v>
      </c>
      <c r="R137" s="72">
        <v>133.0060229534734</v>
      </c>
      <c r="S137" s="72">
        <v>3666.9815546402019</v>
      </c>
      <c r="T137" s="72">
        <f t="shared" si="24"/>
        <v>50033.637373760837</v>
      </c>
      <c r="U137" s="72">
        <f t="shared" si="25"/>
        <v>46366.655819120635</v>
      </c>
    </row>
    <row r="138" spans="1:21" x14ac:dyDescent="0.2">
      <c r="A138" s="74">
        <f t="shared" si="26"/>
        <v>132</v>
      </c>
      <c r="B138" s="97">
        <v>406.03</v>
      </c>
      <c r="C138" s="14" t="s">
        <v>434</v>
      </c>
      <c r="D138" s="14" t="s">
        <v>255</v>
      </c>
      <c r="E138" s="72">
        <v>8414393.160000002</v>
      </c>
      <c r="F138" s="72">
        <v>4435204.0116942143</v>
      </c>
      <c r="G138" s="72">
        <v>1114369.9996650789</v>
      </c>
      <c r="H138" s="72">
        <v>1234127.9768877109</v>
      </c>
      <c r="I138" s="72">
        <v>780663.57822680904</v>
      </c>
      <c r="J138" s="72">
        <v>588582.25965669064</v>
      </c>
      <c r="K138" s="72">
        <v>0</v>
      </c>
      <c r="L138" s="72">
        <v>230857.49404985609</v>
      </c>
      <c r="M138" s="72">
        <v>0</v>
      </c>
      <c r="N138" s="72">
        <v>27722.041677290883</v>
      </c>
      <c r="O138" s="72">
        <v>2865.7981423530136</v>
      </c>
      <c r="Q138" s="72">
        <v>543880.2273343238</v>
      </c>
      <c r="R138" s="72">
        <v>1564.6470983730653</v>
      </c>
      <c r="S138" s="72">
        <v>43137.385223993799</v>
      </c>
      <c r="T138" s="72">
        <f t="shared" si="24"/>
        <v>588582.25965669064</v>
      </c>
      <c r="U138" s="72">
        <f t="shared" si="25"/>
        <v>545444.87443269684</v>
      </c>
    </row>
    <row r="139" spans="1:21" x14ac:dyDescent="0.2">
      <c r="A139" s="74">
        <f t="shared" si="26"/>
        <v>133</v>
      </c>
      <c r="B139" s="97">
        <v>407</v>
      </c>
      <c r="C139" s="14" t="s">
        <v>435</v>
      </c>
      <c r="D139" s="14" t="s">
        <v>255</v>
      </c>
      <c r="E139" s="72">
        <v>10322245.039999999</v>
      </c>
      <c r="F139" s="72">
        <v>5440827.608190666</v>
      </c>
      <c r="G139" s="72">
        <v>1367038.5948269214</v>
      </c>
      <c r="H139" s="72">
        <v>1513950.1026303843</v>
      </c>
      <c r="I139" s="72">
        <v>957668.67497552605</v>
      </c>
      <c r="J139" s="72">
        <v>722035.46885052673</v>
      </c>
      <c r="K139" s="72">
        <v>0</v>
      </c>
      <c r="L139" s="72">
        <v>283201.3643278532</v>
      </c>
      <c r="M139" s="72">
        <v>0</v>
      </c>
      <c r="N139" s="72">
        <v>34007.646393609808</v>
      </c>
      <c r="O139" s="72">
        <v>3515.5798045149349</v>
      </c>
      <c r="Q139" s="72">
        <v>667197.84447958868</v>
      </c>
      <c r="R139" s="72">
        <v>1919.4100446016907</v>
      </c>
      <c r="S139" s="72">
        <v>52918.21432633642</v>
      </c>
      <c r="T139" s="72">
        <f t="shared" si="24"/>
        <v>722035.46885052673</v>
      </c>
      <c r="U139" s="72">
        <f t="shared" si="25"/>
        <v>669117.25452419033</v>
      </c>
    </row>
    <row r="140" spans="1:21" x14ac:dyDescent="0.2">
      <c r="A140" s="74">
        <f t="shared" si="26"/>
        <v>134</v>
      </c>
      <c r="B140" s="97">
        <v>407.01</v>
      </c>
      <c r="C140" s="14" t="s">
        <v>436</v>
      </c>
      <c r="D140" s="14" t="s">
        <v>437</v>
      </c>
      <c r="E140" s="72">
        <v>32828154.283406239</v>
      </c>
      <c r="F140" s="72">
        <v>20198404.662394237</v>
      </c>
      <c r="G140" s="72">
        <v>3928657.4119423325</v>
      </c>
      <c r="H140" s="72">
        <v>3473013.5626360574</v>
      </c>
      <c r="I140" s="72">
        <v>1737086.0202150384</v>
      </c>
      <c r="J140" s="72">
        <v>1645872.3957739794</v>
      </c>
      <c r="K140" s="72">
        <v>384516.49533341121</v>
      </c>
      <c r="L140" s="72">
        <v>341931.32981774828</v>
      </c>
      <c r="M140" s="72">
        <v>621950.32942855079</v>
      </c>
      <c r="N140" s="72">
        <v>486570.70922292734</v>
      </c>
      <c r="O140" s="72">
        <v>10151.366641962532</v>
      </c>
      <c r="Q140" s="72">
        <v>1384856.4145011271</v>
      </c>
      <c r="R140" s="72">
        <v>11092.560559736185</v>
      </c>
      <c r="S140" s="72">
        <v>249923.42071311607</v>
      </c>
      <c r="T140" s="72">
        <f t="shared" si="24"/>
        <v>1645872.3957739794</v>
      </c>
      <c r="U140" s="72">
        <f t="shared" si="25"/>
        <v>1395948.9750608634</v>
      </c>
    </row>
    <row r="141" spans="1:21" x14ac:dyDescent="0.2">
      <c r="A141" s="74">
        <f t="shared" si="26"/>
        <v>135</v>
      </c>
      <c r="B141" s="97">
        <v>407.02</v>
      </c>
      <c r="C141" s="14" t="s">
        <v>438</v>
      </c>
      <c r="D141" s="14" t="s">
        <v>255</v>
      </c>
      <c r="E141" s="72">
        <v>17023692.917146448</v>
      </c>
      <c r="F141" s="72">
        <v>8973142.7667183429</v>
      </c>
      <c r="G141" s="72">
        <v>2254552.6824870743</v>
      </c>
      <c r="H141" s="72">
        <v>2496842.6480080942</v>
      </c>
      <c r="I141" s="72">
        <v>1579410.0388023618</v>
      </c>
      <c r="J141" s="72">
        <v>1190798.1305779221</v>
      </c>
      <c r="K141" s="72">
        <v>0</v>
      </c>
      <c r="L141" s="72">
        <v>467062.45020843693</v>
      </c>
      <c r="M141" s="72">
        <v>0</v>
      </c>
      <c r="N141" s="72">
        <v>56086.222211957509</v>
      </c>
      <c r="O141" s="72">
        <v>5797.9781322633662</v>
      </c>
      <c r="Q141" s="72">
        <v>1100358.6114637086</v>
      </c>
      <c r="R141" s="72">
        <v>3165.536862839826</v>
      </c>
      <c r="S141" s="72">
        <v>87273.982251373774</v>
      </c>
      <c r="T141" s="72">
        <f t="shared" si="24"/>
        <v>1190798.1305779221</v>
      </c>
      <c r="U141" s="72">
        <f t="shared" si="25"/>
        <v>1103524.1483265483</v>
      </c>
    </row>
    <row r="142" spans="1:21" x14ac:dyDescent="0.2">
      <c r="A142" s="74">
        <f t="shared" si="26"/>
        <v>136</v>
      </c>
      <c r="B142" s="97">
        <v>411</v>
      </c>
      <c r="C142" s="14" t="s">
        <v>439</v>
      </c>
      <c r="D142" s="14" t="s">
        <v>255</v>
      </c>
      <c r="E142" s="72">
        <v>3537694.08</v>
      </c>
      <c r="F142" s="72">
        <v>1864709.0381218735</v>
      </c>
      <c r="G142" s="72">
        <v>468518.65319123631</v>
      </c>
      <c r="H142" s="72">
        <v>518868.93740035681</v>
      </c>
      <c r="I142" s="72">
        <v>328217.24236672092</v>
      </c>
      <c r="J142" s="72">
        <v>247459.79133455383</v>
      </c>
      <c r="K142" s="72">
        <v>0</v>
      </c>
      <c r="L142" s="72">
        <v>97060.260258127877</v>
      </c>
      <c r="M142" s="72">
        <v>0</v>
      </c>
      <c r="N142" s="72">
        <v>11655.279336539252</v>
      </c>
      <c r="O142" s="72">
        <v>1204.8779905926399</v>
      </c>
      <c r="Q142" s="72">
        <v>228665.55245080695</v>
      </c>
      <c r="R142" s="72">
        <v>657.83030005262674</v>
      </c>
      <c r="S142" s="72">
        <v>18136.408583694265</v>
      </c>
      <c r="T142" s="72">
        <f t="shared" si="24"/>
        <v>247459.79133455383</v>
      </c>
      <c r="U142" s="72">
        <f t="shared" si="25"/>
        <v>229323.38275085957</v>
      </c>
    </row>
    <row r="143" spans="1:21" x14ac:dyDescent="0.2">
      <c r="A143" s="74">
        <f t="shared" si="26"/>
        <v>137</v>
      </c>
      <c r="B143" s="97">
        <v>411.01</v>
      </c>
      <c r="C143" s="14" t="s">
        <v>440</v>
      </c>
      <c r="D143" s="14" t="s">
        <v>260</v>
      </c>
      <c r="E143" s="72">
        <v>-244707.35333333293</v>
      </c>
      <c r="F143" s="72">
        <v>-141523.19279751182</v>
      </c>
      <c r="G143" s="72">
        <v>-30593.318086808977</v>
      </c>
      <c r="H143" s="72">
        <v>-30078.736258142075</v>
      </c>
      <c r="I143" s="72">
        <v>-17035.026947886257</v>
      </c>
      <c r="J143" s="72">
        <v>-14299.792833738351</v>
      </c>
      <c r="K143" s="72">
        <v>-1665.5194364251993</v>
      </c>
      <c r="L143" s="72">
        <v>-4293.6228342999466</v>
      </c>
      <c r="M143" s="72">
        <v>-2693.9555902695724</v>
      </c>
      <c r="N143" s="72">
        <v>-2445.3039668293036</v>
      </c>
      <c r="O143" s="72">
        <v>-78.884581421515293</v>
      </c>
      <c r="Q143" s="72">
        <v>-12624.602204374165</v>
      </c>
      <c r="R143" s="72">
        <v>-67.109278258328303</v>
      </c>
      <c r="S143" s="72">
        <v>-1608.0813511058566</v>
      </c>
      <c r="T143" s="72">
        <f t="shared" si="24"/>
        <v>-14299.792833738351</v>
      </c>
      <c r="U143" s="72">
        <f t="shared" si="25"/>
        <v>-12691.711482632494</v>
      </c>
    </row>
    <row r="144" spans="1:21" x14ac:dyDescent="0.2">
      <c r="A144" s="74">
        <f t="shared" si="26"/>
        <v>138</v>
      </c>
      <c r="B144" s="97">
        <v>411.02</v>
      </c>
      <c r="C144" s="14" t="s">
        <v>441</v>
      </c>
      <c r="D144" s="14" t="s">
        <v>260</v>
      </c>
      <c r="E144" s="72">
        <v>-4419.1099999999997</v>
      </c>
      <c r="F144" s="72">
        <v>-2555.7325842656742</v>
      </c>
      <c r="G144" s="72">
        <v>-552.47721839580174</v>
      </c>
      <c r="H144" s="72">
        <v>-543.18451151999886</v>
      </c>
      <c r="I144" s="72">
        <v>-307.63136828638721</v>
      </c>
      <c r="J144" s="72">
        <v>-258.23644712230106</v>
      </c>
      <c r="K144" s="72">
        <v>-30.077206493567189</v>
      </c>
      <c r="L144" s="72">
        <v>-77.537480361031257</v>
      </c>
      <c r="M144" s="72">
        <v>-48.649482438313548</v>
      </c>
      <c r="N144" s="72">
        <v>-44.159143833063922</v>
      </c>
      <c r="O144" s="72">
        <v>-1.424557283862167</v>
      </c>
      <c r="Q144" s="72">
        <v>-227.98459093044553</v>
      </c>
      <c r="R144" s="72">
        <v>-1.2119099757504699</v>
      </c>
      <c r="S144" s="72">
        <v>-29.039946216105044</v>
      </c>
      <c r="T144" s="72">
        <f t="shared" si="24"/>
        <v>-258.23644712230106</v>
      </c>
      <c r="U144" s="72">
        <f t="shared" si="25"/>
        <v>-229.19650090619601</v>
      </c>
    </row>
    <row r="145" spans="1:21" x14ac:dyDescent="0.2">
      <c r="A145" s="31">
        <f>+A144+1</f>
        <v>139</v>
      </c>
      <c r="B145" s="68"/>
      <c r="C145" s="26" t="s">
        <v>442</v>
      </c>
      <c r="D145" s="26"/>
      <c r="E145" s="28">
        <f t="shared" ref="E145:O145" si="27">SUM(E106:E144)</f>
        <v>501066983.85999936</v>
      </c>
      <c r="F145" s="28">
        <f t="shared" si="27"/>
        <v>294883486.15866089</v>
      </c>
      <c r="G145" s="28">
        <f t="shared" si="27"/>
        <v>62968029.207263425</v>
      </c>
      <c r="H145" s="28">
        <f t="shared" si="27"/>
        <v>59552523.54733894</v>
      </c>
      <c r="I145" s="28">
        <f t="shared" si="27"/>
        <v>33666477.10633719</v>
      </c>
      <c r="J145" s="28">
        <f t="shared" si="27"/>
        <v>28908967.905114204</v>
      </c>
      <c r="K145" s="28">
        <f t="shared" si="27"/>
        <v>2064073.1890460306</v>
      </c>
      <c r="L145" s="28">
        <f t="shared" si="27"/>
        <v>8375581.3404160691</v>
      </c>
      <c r="M145" s="28">
        <f t="shared" si="27"/>
        <v>4214379.1175944181</v>
      </c>
      <c r="N145" s="28">
        <f t="shared" si="27"/>
        <v>6276704.3845229391</v>
      </c>
      <c r="O145" s="28">
        <f t="shared" si="27"/>
        <v>156761.90370541249</v>
      </c>
      <c r="Q145" s="28">
        <f>SUM(Q106:Q144)</f>
        <v>25458254.803137422</v>
      </c>
      <c r="R145" s="28">
        <f>SUM(R106:R144)</f>
        <v>133149.25961629202</v>
      </c>
      <c r="S145" s="28">
        <f>SUM(S106:S144)</f>
        <v>3317563.8423604867</v>
      </c>
      <c r="T145" s="28">
        <f>SUM(T106:T144)</f>
        <v>28908967.905114204</v>
      </c>
      <c r="U145" s="28">
        <f>SUM(U106:U144)</f>
        <v>25591404.062753722</v>
      </c>
    </row>
    <row r="146" spans="1:21" x14ac:dyDescent="0.2">
      <c r="A146" s="74">
        <f t="shared" si="26"/>
        <v>140</v>
      </c>
      <c r="B146" s="97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Q146" s="72"/>
      <c r="R146" s="72"/>
      <c r="S146" s="72"/>
      <c r="T146" s="72"/>
      <c r="U146" s="72"/>
    </row>
    <row r="147" spans="1:21" x14ac:dyDescent="0.2">
      <c r="A147" s="74">
        <f t="shared" si="26"/>
        <v>141</v>
      </c>
      <c r="B147" s="97"/>
      <c r="C147" s="13" t="s">
        <v>443</v>
      </c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Q147" s="72"/>
      <c r="R147" s="72"/>
      <c r="S147" s="72"/>
      <c r="T147" s="72"/>
      <c r="U147" s="72"/>
    </row>
    <row r="148" spans="1:21" x14ac:dyDescent="0.2">
      <c r="A148" s="74">
        <f t="shared" si="26"/>
        <v>142</v>
      </c>
      <c r="B148" s="97">
        <v>236</v>
      </c>
      <c r="C148" s="14" t="s">
        <v>444</v>
      </c>
      <c r="D148" s="14" t="s">
        <v>354</v>
      </c>
      <c r="E148" s="72">
        <v>1.6871670037508011</v>
      </c>
      <c r="F148" s="72">
        <v>0.97843996382494791</v>
      </c>
      <c r="G148" s="72">
        <v>0.21057534503766628</v>
      </c>
      <c r="H148" s="72">
        <v>0.20622701327855747</v>
      </c>
      <c r="I148" s="72">
        <v>0.11682026741869453</v>
      </c>
      <c r="J148" s="72">
        <v>9.809450420884093E-2</v>
      </c>
      <c r="K148" s="72">
        <v>1.1420139734264343E-2</v>
      </c>
      <c r="L148" s="72">
        <v>2.9434717342337994E-2</v>
      </c>
      <c r="M148" s="72">
        <v>1.8426166548715296E-2</v>
      </c>
      <c r="N148" s="72">
        <v>1.7188185567693529E-2</v>
      </c>
      <c r="O148" s="72">
        <v>5.4070078908323514E-4</v>
      </c>
      <c r="Q148" s="72">
        <v>8.660782622880793E-2</v>
      </c>
      <c r="R148" s="72">
        <v>4.600977289027175E-4</v>
      </c>
      <c r="S148" s="72">
        <v>1.1026580251130277E-2</v>
      </c>
      <c r="T148" s="72">
        <f>SUM(Q148:S148)</f>
        <v>9.809450420884093E-2</v>
      </c>
      <c r="U148" s="72">
        <f>+T148-S148</f>
        <v>8.7067923957710652E-2</v>
      </c>
    </row>
    <row r="149" spans="1:21" x14ac:dyDescent="0.2">
      <c r="A149" s="74">
        <f t="shared" si="26"/>
        <v>143</v>
      </c>
      <c r="B149" s="97">
        <v>236.01</v>
      </c>
      <c r="C149" s="14" t="s">
        <v>445</v>
      </c>
      <c r="D149" s="14" t="s">
        <v>356</v>
      </c>
      <c r="E149" s="72">
        <v>7271650.778474519</v>
      </c>
      <c r="F149" s="72">
        <v>4438158.6169110974</v>
      </c>
      <c r="G149" s="72">
        <v>878322.48955484794</v>
      </c>
      <c r="H149" s="72">
        <v>793675.66313582915</v>
      </c>
      <c r="I149" s="72">
        <v>451660.99002155603</v>
      </c>
      <c r="J149" s="72">
        <v>381812.57973544946</v>
      </c>
      <c r="K149" s="72">
        <v>44060.86037466312</v>
      </c>
      <c r="L149" s="72">
        <v>113051.63527236505</v>
      </c>
      <c r="M149" s="72">
        <v>67701.134297063138</v>
      </c>
      <c r="N149" s="72">
        <v>101138.75210783882</v>
      </c>
      <c r="O149" s="72">
        <v>2068.0570638089052</v>
      </c>
      <c r="Q149" s="72">
        <v>337531.27557212033</v>
      </c>
      <c r="R149" s="72">
        <v>1767.9599027002603</v>
      </c>
      <c r="S149" s="72">
        <v>42513.344260628866</v>
      </c>
      <c r="T149" s="72">
        <f>SUM(Q149:S149)</f>
        <v>381812.57973544946</v>
      </c>
      <c r="U149" s="72">
        <f>+T149-S149</f>
        <v>339299.2354748206</v>
      </c>
    </row>
    <row r="150" spans="1:21" x14ac:dyDescent="0.2">
      <c r="A150" s="74">
        <f t="shared" si="26"/>
        <v>144</v>
      </c>
      <c r="B150" s="97">
        <v>236.02</v>
      </c>
      <c r="C150" s="14" t="s">
        <v>446</v>
      </c>
      <c r="D150" s="14" t="s">
        <v>447</v>
      </c>
      <c r="E150" s="72">
        <v>78476383.807139233</v>
      </c>
      <c r="F150" s="72">
        <v>44836727.996464066</v>
      </c>
      <c r="G150" s="72">
        <v>9908741.0799795203</v>
      </c>
      <c r="H150" s="72">
        <v>9963923.695887493</v>
      </c>
      <c r="I150" s="72">
        <v>5925330.9823050192</v>
      </c>
      <c r="J150" s="72">
        <v>4835400.3030083366</v>
      </c>
      <c r="K150" s="72">
        <v>245122.65962459461</v>
      </c>
      <c r="L150" s="72">
        <v>1599415.2281320756</v>
      </c>
      <c r="M150" s="72">
        <v>463966.23966692039</v>
      </c>
      <c r="N150" s="72">
        <v>672356.62378297723</v>
      </c>
      <c r="O150" s="72">
        <v>25398.998288223491</v>
      </c>
      <c r="Q150" s="72">
        <v>4344207.5965262037</v>
      </c>
      <c r="R150" s="72">
        <v>18964.251067026955</v>
      </c>
      <c r="S150" s="72">
        <v>472228.45541510667</v>
      </c>
      <c r="T150" s="72">
        <f>SUM(Q150:S150)</f>
        <v>4835400.3030083366</v>
      </c>
      <c r="U150" s="72">
        <f>+T150-S150</f>
        <v>4363171.8475932302</v>
      </c>
    </row>
    <row r="151" spans="1:21" x14ac:dyDescent="0.2">
      <c r="A151" s="74">
        <f t="shared" si="26"/>
        <v>145</v>
      </c>
      <c r="B151" s="97">
        <v>236.03</v>
      </c>
      <c r="C151" s="14" t="s">
        <v>448</v>
      </c>
      <c r="D151" s="14" t="s">
        <v>447</v>
      </c>
      <c r="E151" s="72">
        <v>0</v>
      </c>
      <c r="F151" s="72">
        <v>0</v>
      </c>
      <c r="G151" s="72">
        <v>0</v>
      </c>
      <c r="H151" s="72">
        <v>0</v>
      </c>
      <c r="I151" s="72">
        <v>0</v>
      </c>
      <c r="J151" s="72">
        <v>0</v>
      </c>
      <c r="K151" s="72">
        <v>0</v>
      </c>
      <c r="L151" s="72">
        <v>0</v>
      </c>
      <c r="M151" s="72">
        <v>0</v>
      </c>
      <c r="N151" s="72">
        <v>0</v>
      </c>
      <c r="O151" s="72">
        <v>0</v>
      </c>
      <c r="Q151" s="72">
        <v>0</v>
      </c>
      <c r="R151" s="72">
        <v>0</v>
      </c>
      <c r="S151" s="72">
        <v>0</v>
      </c>
      <c r="T151" s="72">
        <f>SUM(Q151:S151)</f>
        <v>0</v>
      </c>
      <c r="U151" s="72">
        <f>+T151-S151</f>
        <v>0</v>
      </c>
    </row>
    <row r="152" spans="1:21" x14ac:dyDescent="0.2">
      <c r="A152" s="74">
        <f t="shared" si="26"/>
        <v>146</v>
      </c>
      <c r="B152" s="97">
        <v>236.04</v>
      </c>
      <c r="C152" s="14" t="s">
        <v>449</v>
      </c>
      <c r="D152" s="14" t="s">
        <v>450</v>
      </c>
      <c r="E152" s="72">
        <v>747526.2321675783</v>
      </c>
      <c r="F152" s="72">
        <v>389433.90493976098</v>
      </c>
      <c r="G152" s="72">
        <v>98950.585681266166</v>
      </c>
      <c r="H152" s="72">
        <v>110040.62889680151</v>
      </c>
      <c r="I152" s="72">
        <v>71016.460487840945</v>
      </c>
      <c r="J152" s="72">
        <v>53871.139943114053</v>
      </c>
      <c r="K152" s="72">
        <v>0</v>
      </c>
      <c r="L152" s="72">
        <v>21386.306468412899</v>
      </c>
      <c r="M152" s="72">
        <v>0</v>
      </c>
      <c r="N152" s="72">
        <v>2575.1764315864129</v>
      </c>
      <c r="O152" s="72">
        <v>252.02931879550664</v>
      </c>
      <c r="Q152" s="72">
        <v>49409.190293366635</v>
      </c>
      <c r="R152" s="72">
        <v>156.01487249263829</v>
      </c>
      <c r="S152" s="72">
        <v>4305.9347772547744</v>
      </c>
      <c r="T152" s="72">
        <f>SUM(Q152:S152)</f>
        <v>53871.139943114053</v>
      </c>
      <c r="U152" s="72">
        <f>+T152-S152</f>
        <v>49565.205165859275</v>
      </c>
    </row>
    <row r="153" spans="1:21" x14ac:dyDescent="0.2">
      <c r="A153" s="31">
        <f>+A152+1</f>
        <v>147</v>
      </c>
      <c r="B153" s="68"/>
      <c r="C153" s="26" t="s">
        <v>451</v>
      </c>
      <c r="D153" s="26"/>
      <c r="E153" s="28">
        <f t="shared" ref="E153:O153" si="28">SUM(E148:E152)</f>
        <v>86495562.504948333</v>
      </c>
      <c r="F153" s="28">
        <f t="shared" si="28"/>
        <v>49664321.496754892</v>
      </c>
      <c r="G153" s="28">
        <f t="shared" si="28"/>
        <v>10886014.36579098</v>
      </c>
      <c r="H153" s="28">
        <f t="shared" si="28"/>
        <v>10867640.194147136</v>
      </c>
      <c r="I153" s="28">
        <f t="shared" si="28"/>
        <v>6448008.5496346829</v>
      </c>
      <c r="J153" s="28">
        <f t="shared" si="28"/>
        <v>5271084.1207814049</v>
      </c>
      <c r="K153" s="28">
        <f t="shared" si="28"/>
        <v>289183.53141939745</v>
      </c>
      <c r="L153" s="28">
        <f t="shared" si="28"/>
        <v>1733853.1993075709</v>
      </c>
      <c r="M153" s="28">
        <f t="shared" si="28"/>
        <v>531667.39239015011</v>
      </c>
      <c r="N153" s="28">
        <f t="shared" si="28"/>
        <v>776070.56951058796</v>
      </c>
      <c r="O153" s="28">
        <f t="shared" si="28"/>
        <v>27719.085211528691</v>
      </c>
      <c r="Q153" s="28">
        <f>SUM(Q148:Q152)</f>
        <v>4731148.1489995169</v>
      </c>
      <c r="R153" s="28">
        <f>SUM(R148:R152)</f>
        <v>20888.22630231758</v>
      </c>
      <c r="S153" s="28">
        <f>SUM(S148:S152)</f>
        <v>519047.74547957053</v>
      </c>
      <c r="T153" s="28">
        <f>SUM(T148:T152)</f>
        <v>5271084.1207814049</v>
      </c>
      <c r="U153" s="28">
        <f>SUM(U148:U152)</f>
        <v>4752036.3753018342</v>
      </c>
    </row>
    <row r="154" spans="1:21" x14ac:dyDescent="0.2">
      <c r="A154" s="74">
        <f t="shared" si="26"/>
        <v>148</v>
      </c>
      <c r="B154" s="97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Q154" s="72"/>
      <c r="R154" s="72"/>
      <c r="S154" s="72"/>
      <c r="T154" s="72"/>
      <c r="U154" s="72"/>
    </row>
    <row r="155" spans="1:21" x14ac:dyDescent="0.2">
      <c r="A155" s="74">
        <f t="shared" si="26"/>
        <v>149</v>
      </c>
      <c r="B155" s="97"/>
      <c r="C155" s="13" t="s">
        <v>452</v>
      </c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Q155" s="72"/>
      <c r="R155" s="72"/>
      <c r="S155" s="72"/>
      <c r="T155" s="72"/>
      <c r="U155" s="72"/>
    </row>
    <row r="156" spans="1:21" ht="12.6" customHeight="1" x14ac:dyDescent="0.2">
      <c r="A156" s="74">
        <f t="shared" si="26"/>
        <v>150</v>
      </c>
      <c r="B156" s="97" t="s">
        <v>453</v>
      </c>
      <c r="C156" s="14" t="s">
        <v>454</v>
      </c>
      <c r="D156" s="14" t="s">
        <v>234</v>
      </c>
      <c r="E156" s="72">
        <v>74218132.81078124</v>
      </c>
      <c r="F156" s="72">
        <v>42826580.085002027</v>
      </c>
      <c r="G156" s="72">
        <v>8911453.60387755</v>
      </c>
      <c r="H156" s="72">
        <v>9226441.3287920058</v>
      </c>
      <c r="I156" s="72">
        <v>5232221.4906988218</v>
      </c>
      <c r="J156" s="72">
        <v>4465386.9706069753</v>
      </c>
      <c r="K156" s="72">
        <v>521855.1877097885</v>
      </c>
      <c r="L156" s="72">
        <v>1306972.1476525906</v>
      </c>
      <c r="M156" s="72">
        <v>914397.23041310057</v>
      </c>
      <c r="N156" s="72">
        <v>788265.82567263837</v>
      </c>
      <c r="O156" s="72">
        <v>24558.94035574275</v>
      </c>
      <c r="Q156" s="72">
        <v>3935935.7709835945</v>
      </c>
      <c r="R156" s="72">
        <v>21001.948789466918</v>
      </c>
      <c r="S156" s="72">
        <v>508449.25083391357</v>
      </c>
      <c r="T156" s="72">
        <f>SUM(Q156:S156)</f>
        <v>4465386.9706069753</v>
      </c>
      <c r="U156" s="72">
        <f>+T156-S156</f>
        <v>3956937.7197730616</v>
      </c>
    </row>
    <row r="157" spans="1:21" x14ac:dyDescent="0.2">
      <c r="A157" s="74">
        <f t="shared" si="26"/>
        <v>151</v>
      </c>
      <c r="B157" s="97" t="s">
        <v>455</v>
      </c>
      <c r="C157" s="14" t="s">
        <v>456</v>
      </c>
      <c r="D157" s="14" t="s">
        <v>234</v>
      </c>
      <c r="E157" s="72">
        <v>-60815173.145295307</v>
      </c>
      <c r="F157" s="72">
        <v>-35092581.616549537</v>
      </c>
      <c r="G157" s="72">
        <v>-7302145.3568197666</v>
      </c>
      <c r="H157" s="72">
        <v>-7560249.8429317176</v>
      </c>
      <c r="I157" s="72">
        <v>-4287341.1636833996</v>
      </c>
      <c r="J157" s="72">
        <v>-3658988.3293151297</v>
      </c>
      <c r="K157" s="72">
        <v>-427614.0128485036</v>
      </c>
      <c r="L157" s="72">
        <v>-1070947.6841490227</v>
      </c>
      <c r="M157" s="72">
        <v>-749267.37961633503</v>
      </c>
      <c r="N157" s="72">
        <v>-645913.88731133507</v>
      </c>
      <c r="O157" s="72">
        <v>-20123.872070553029</v>
      </c>
      <c r="Q157" s="72">
        <v>-3225150.0588324899</v>
      </c>
      <c r="R157" s="72">
        <v>-17209.233157028695</v>
      </c>
      <c r="S157" s="72">
        <v>-416629.03732561111</v>
      </c>
      <c r="T157" s="72">
        <f>SUM(Q157:S157)</f>
        <v>-3658988.3293151297</v>
      </c>
      <c r="U157" s="72">
        <f>+T157-S157</f>
        <v>-3242359.2919895183</v>
      </c>
    </row>
    <row r="158" spans="1:21" x14ac:dyDescent="0.2">
      <c r="A158" s="31">
        <f t="shared" si="26"/>
        <v>152</v>
      </c>
      <c r="B158" s="68"/>
      <c r="C158" s="26" t="s">
        <v>457</v>
      </c>
      <c r="D158" s="26"/>
      <c r="E158" s="28">
        <f t="shared" ref="E158:L158" si="29">SUM(E156:E157)</f>
        <v>13402959.665485933</v>
      </c>
      <c r="F158" s="28">
        <f t="shared" si="29"/>
        <v>7733998.4684524909</v>
      </c>
      <c r="G158" s="28">
        <f t="shared" si="29"/>
        <v>1609308.2470577834</v>
      </c>
      <c r="H158" s="28">
        <f t="shared" si="29"/>
        <v>1666191.4858602881</v>
      </c>
      <c r="I158" s="28">
        <f t="shared" si="29"/>
        <v>944880.32701542228</v>
      </c>
      <c r="J158" s="28">
        <f t="shared" si="29"/>
        <v>806398.64129184559</v>
      </c>
      <c r="K158" s="28">
        <f t="shared" si="29"/>
        <v>94241.174861284904</v>
      </c>
      <c r="L158" s="28">
        <f t="shared" si="29"/>
        <v>236024.46350356797</v>
      </c>
      <c r="M158" s="28">
        <f>SUM(M156:M157)</f>
        <v>165129.85079676553</v>
      </c>
      <c r="N158" s="28">
        <f>SUM(N156:N157)</f>
        <v>142351.9383613033</v>
      </c>
      <c r="O158" s="28">
        <f>SUM(O156:O157)</f>
        <v>4435.0682851897218</v>
      </c>
      <c r="Q158" s="28">
        <f>SUM(Q156:Q157)</f>
        <v>710785.71215110458</v>
      </c>
      <c r="R158" s="28">
        <f>SUM(R156:R157)</f>
        <v>3792.7156324382231</v>
      </c>
      <c r="S158" s="28">
        <f>SUM(S156:S157)</f>
        <v>91820.213508302462</v>
      </c>
      <c r="T158" s="28">
        <f>SUM(T156:T157)</f>
        <v>806398.64129184559</v>
      </c>
      <c r="U158" s="28">
        <f>SUM(U156:U157)</f>
        <v>714578.42778354324</v>
      </c>
    </row>
    <row r="159" spans="1:21" x14ac:dyDescent="0.2">
      <c r="A159" s="74">
        <f t="shared" si="26"/>
        <v>153</v>
      </c>
      <c r="B159" s="97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Q159" s="72"/>
      <c r="R159" s="72"/>
      <c r="S159" s="72"/>
      <c r="T159" s="72"/>
      <c r="U159" s="72"/>
    </row>
    <row r="160" spans="1:21" ht="13.5" thickBot="1" x14ac:dyDescent="0.25">
      <c r="A160" s="32">
        <f t="shared" si="26"/>
        <v>154</v>
      </c>
      <c r="B160" s="70"/>
      <c r="C160" s="21" t="s">
        <v>87</v>
      </c>
      <c r="D160" s="21"/>
      <c r="E160" s="22">
        <f t="shared" ref="E160:O160" si="30">SUM(E158,E153,E145,E103)</f>
        <v>1744165931.2048485</v>
      </c>
      <c r="F160" s="22">
        <f t="shared" si="30"/>
        <v>994478418.54846168</v>
      </c>
      <c r="G160" s="22">
        <f t="shared" si="30"/>
        <v>222668816.29898381</v>
      </c>
      <c r="H160" s="22">
        <f t="shared" si="30"/>
        <v>222398807.38541123</v>
      </c>
      <c r="I160" s="22">
        <f t="shared" si="30"/>
        <v>133613790.13679644</v>
      </c>
      <c r="J160" s="22">
        <f t="shared" si="30"/>
        <v>107990571.60987984</v>
      </c>
      <c r="K160" s="22">
        <f t="shared" si="30"/>
        <v>3902814.3841542187</v>
      </c>
      <c r="L160" s="22">
        <f t="shared" si="30"/>
        <v>36627676.923703074</v>
      </c>
      <c r="M160" s="22">
        <f t="shared" si="30"/>
        <v>7767180.2021584753</v>
      </c>
      <c r="N160" s="22">
        <f t="shared" si="30"/>
        <v>14156531.271813747</v>
      </c>
      <c r="O160" s="22">
        <f t="shared" si="30"/>
        <v>561324.44348647387</v>
      </c>
      <c r="Q160" s="22">
        <f>SUM(Q158,Q153,Q145,Q103)</f>
        <v>97425150.74314636</v>
      </c>
      <c r="R160" s="22">
        <f>SUM(R158,R153,R145,R103)</f>
        <v>404934.67518688604</v>
      </c>
      <c r="S160" s="22">
        <f>SUM(S158,S153,S145,S103)</f>
        <v>10160486.191546598</v>
      </c>
      <c r="T160" s="22">
        <f>SUM(T158,T153,T145,T103)</f>
        <v>107990571.60987984</v>
      </c>
      <c r="U160" s="22">
        <f>SUM(U158,U153,U145,U103)</f>
        <v>97830085.418333247</v>
      </c>
    </row>
    <row r="161" spans="1:15" ht="13.5" thickTop="1" x14ac:dyDescent="0.2">
      <c r="A161" s="74"/>
      <c r="B161" s="99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1:15" x14ac:dyDescent="0.2">
      <c r="A162" s="74"/>
      <c r="B162" s="99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1:15" x14ac:dyDescent="0.2">
      <c r="E163" s="75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fitToHeight="0" pageOrder="overThenDown" orientation="landscape" r:id="rId1"/>
  <headerFooter alignWithMargins="0"/>
  <rowBreaks count="2" manualBreakCount="2">
    <brk id="58" max="16383" man="1"/>
    <brk id="10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Y158"/>
  <sheetViews>
    <sheetView showGridLines="0" zoomScale="86" zoomScaleNormal="86" workbookViewId="0">
      <selection activeCell="E155" sqref="E155:E156"/>
    </sheetView>
  </sheetViews>
  <sheetFormatPr defaultColWidth="4.5703125" defaultRowHeight="12.75" x14ac:dyDescent="0.2"/>
  <cols>
    <col min="1" max="1" width="4.7109375" style="14" bestFit="1" customWidth="1"/>
    <col min="2" max="2" width="11.7109375" style="14" bestFit="1" customWidth="1"/>
    <col min="3" max="3" width="50.7109375" style="14" bestFit="1" customWidth="1"/>
    <col min="4" max="4" width="10.7109375" style="74" bestFit="1" customWidth="1"/>
    <col min="5" max="5" width="16.28515625" style="74" bestFit="1" customWidth="1"/>
    <col min="6" max="6" width="16" style="74" bestFit="1" customWidth="1"/>
    <col min="7" max="15" width="15.28515625" style="74" customWidth="1"/>
    <col min="16" max="16" width="4.5703125" style="96"/>
    <col min="17" max="17" width="14.42578125" style="96" bestFit="1" customWidth="1"/>
    <col min="18" max="18" width="12.140625" style="96" bestFit="1" customWidth="1"/>
    <col min="19" max="19" width="13.42578125" style="96" bestFit="1" customWidth="1"/>
    <col min="20" max="21" width="14.42578125" style="96" bestFit="1" customWidth="1"/>
    <col min="22" max="25" width="4.5703125" style="96"/>
    <col min="26" max="16384" width="4.5703125" style="24"/>
  </cols>
  <sheetData>
    <row r="1" spans="1:25" x14ac:dyDescent="0.2">
      <c r="A1" s="103" t="str">
        <f>+'Customer Summary'!A1</f>
        <v>Puget Sound Energy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5" x14ac:dyDescent="0.2">
      <c r="A2" s="104" t="s">
        <v>85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25" x14ac:dyDescent="0.2">
      <c r="A3" s="103" t="str">
        <f>+'Customer Summary'!A3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25" s="14" customFormat="1" x14ac:dyDescent="0.2"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</row>
    <row r="5" spans="1:25" s="33" customFormat="1" ht="51" x14ac:dyDescent="0.2">
      <c r="A5" s="18" t="s">
        <v>2</v>
      </c>
      <c r="B5" s="18" t="s">
        <v>76</v>
      </c>
      <c r="C5" s="67" t="s">
        <v>77</v>
      </c>
      <c r="D5" s="18" t="s">
        <v>78</v>
      </c>
      <c r="E5" s="18" t="s">
        <v>53</v>
      </c>
      <c r="F5" s="18" t="str">
        <f>+'Class Summary'!G6</f>
        <v>Residential
Sch 7</v>
      </c>
      <c r="G5" s="18" t="str">
        <f>+'Class Summary'!H6</f>
        <v>Sec Volt
Sch 24
(kW&lt; 50)</v>
      </c>
      <c r="H5" s="18" t="str">
        <f>+'Class Summary'!I6</f>
        <v>Sec Volt
Sch 25
(kW &gt; 50 &amp; &lt; 350)</v>
      </c>
      <c r="I5" s="18" t="str">
        <f>+'Class Summary'!J6</f>
        <v>Sec Volt
Sch 26
(kW &gt; 350)</v>
      </c>
      <c r="J5" s="18" t="str">
        <f>+'Class Summary'!K6</f>
        <v>Pri Volt
Sch 31/35/43</v>
      </c>
      <c r="K5" s="18" t="str">
        <f>+'Class Summary'!L6</f>
        <v>Special Contract</v>
      </c>
      <c r="L5" s="18" t="str">
        <f>+'Class Summary'!M6</f>
        <v>High Volt
Sch 46/49</v>
      </c>
      <c r="M5" s="18" t="str">
        <f>+'Class Summary'!N6</f>
        <v>Choice /
Retail Wheeling
Sch 448/449</v>
      </c>
      <c r="N5" s="18" t="str">
        <f>+'Class Summary'!O6</f>
        <v>Lighting
Sch 50-59</v>
      </c>
      <c r="O5" s="18" t="str">
        <f>+'Class Summary'!P6</f>
        <v>Firm Resale</v>
      </c>
      <c r="Q5" s="19" t="s">
        <v>79</v>
      </c>
      <c r="R5" s="19" t="s">
        <v>80</v>
      </c>
      <c r="S5" s="19" t="s">
        <v>81</v>
      </c>
      <c r="T5" s="19" t="s">
        <v>82</v>
      </c>
      <c r="U5" s="19" t="s">
        <v>88</v>
      </c>
    </row>
    <row r="6" spans="1:25" s="33" customFormat="1" x14ac:dyDescent="0.2">
      <c r="B6" s="33" t="s">
        <v>15</v>
      </c>
      <c r="C6" s="33" t="s">
        <v>16</v>
      </c>
      <c r="D6" s="33" t="s">
        <v>17</v>
      </c>
      <c r="E6" s="33" t="s">
        <v>18</v>
      </c>
      <c r="F6" s="33" t="s">
        <v>19</v>
      </c>
      <c r="G6" s="33" t="s">
        <v>63</v>
      </c>
      <c r="H6" s="33" t="s">
        <v>20</v>
      </c>
      <c r="I6" s="33" t="s">
        <v>21</v>
      </c>
      <c r="J6" s="33" t="s">
        <v>64</v>
      </c>
      <c r="K6" s="33" t="s">
        <v>65</v>
      </c>
      <c r="L6" s="33" t="s">
        <v>22</v>
      </c>
      <c r="M6" s="33" t="s">
        <v>23</v>
      </c>
      <c r="N6" s="33" t="s">
        <v>24</v>
      </c>
      <c r="O6" s="33" t="s">
        <v>24</v>
      </c>
    </row>
    <row r="7" spans="1:25" x14ac:dyDescent="0.2">
      <c r="A7" s="14">
        <v>1</v>
      </c>
      <c r="C7" s="13" t="s">
        <v>458</v>
      </c>
      <c r="F7" s="96"/>
      <c r="G7" s="96"/>
      <c r="H7" s="96"/>
      <c r="I7" s="96"/>
      <c r="J7" s="96"/>
      <c r="K7" s="96"/>
      <c r="L7" s="96"/>
      <c r="M7" s="96"/>
      <c r="N7" s="96"/>
      <c r="O7" s="96"/>
    </row>
    <row r="8" spans="1:25" x14ac:dyDescent="0.2">
      <c r="A8" s="14">
        <f t="shared" ref="A8:A71" si="0">+A7+1</f>
        <v>2</v>
      </c>
      <c r="F8" s="96"/>
      <c r="G8" s="96"/>
      <c r="H8" s="96"/>
      <c r="I8" s="96"/>
      <c r="J8" s="96"/>
      <c r="K8" s="96"/>
      <c r="L8" s="96"/>
      <c r="M8" s="96"/>
      <c r="N8" s="96"/>
      <c r="O8" s="96"/>
    </row>
    <row r="9" spans="1:25" x14ac:dyDescent="0.2">
      <c r="A9" s="14">
        <f t="shared" si="0"/>
        <v>3</v>
      </c>
      <c r="C9" s="13" t="s">
        <v>459</v>
      </c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1:25" s="14" customFormat="1" x14ac:dyDescent="0.2">
      <c r="A10" s="14">
        <f t="shared" si="0"/>
        <v>4</v>
      </c>
      <c r="C10" s="13" t="s">
        <v>158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</row>
    <row r="11" spans="1:25" s="14" customFormat="1" x14ac:dyDescent="0.2">
      <c r="A11" s="14">
        <f t="shared" si="0"/>
        <v>5</v>
      </c>
      <c r="B11" s="97">
        <v>300</v>
      </c>
      <c r="C11" s="14" t="s">
        <v>460</v>
      </c>
      <c r="D11" s="74" t="s">
        <v>232</v>
      </c>
      <c r="E11" s="98">
        <v>77723700.535854891</v>
      </c>
      <c r="F11" s="98">
        <v>40967953.584467798</v>
      </c>
      <c r="G11" s="98">
        <v>10293429.186533198</v>
      </c>
      <c r="H11" s="98">
        <v>11399632.923563184</v>
      </c>
      <c r="I11" s="98">
        <v>7210984.9182931948</v>
      </c>
      <c r="J11" s="98">
        <v>5436730.8991149403</v>
      </c>
      <c r="K11" s="98">
        <v>0</v>
      </c>
      <c r="L11" s="98">
        <v>2132429.3258943604</v>
      </c>
      <c r="M11" s="98">
        <v>0</v>
      </c>
      <c r="N11" s="98">
        <v>256068.33726417471</v>
      </c>
      <c r="O11" s="98">
        <v>26471.360724063776</v>
      </c>
      <c r="P11" s="74"/>
      <c r="Q11" s="98">
        <v>5023818.4873103388</v>
      </c>
      <c r="R11" s="98">
        <v>14452.636120730351</v>
      </c>
      <c r="S11" s="98">
        <v>398459.77568387176</v>
      </c>
      <c r="T11" s="98">
        <f>SUM(Q11:S11)</f>
        <v>5436730.8991149403</v>
      </c>
      <c r="U11" s="98">
        <f>SUM(Q11:R11)</f>
        <v>5038271.1234310688</v>
      </c>
      <c r="V11" s="74"/>
      <c r="W11" s="74"/>
      <c r="X11" s="74"/>
      <c r="Y11" s="74"/>
    </row>
    <row r="12" spans="1:25" s="14" customFormat="1" x14ac:dyDescent="0.2">
      <c r="A12" s="14">
        <f t="shared" si="0"/>
        <v>6</v>
      </c>
      <c r="B12" s="97">
        <v>300.01</v>
      </c>
      <c r="C12" s="14" t="s">
        <v>207</v>
      </c>
      <c r="D12" s="74" t="s">
        <v>279</v>
      </c>
      <c r="E12" s="98">
        <v>48660476.437339872</v>
      </c>
      <c r="F12" s="98">
        <v>32354956.444640446</v>
      </c>
      <c r="G12" s="98">
        <v>5768088.5474590622</v>
      </c>
      <c r="H12" s="98">
        <v>4579517.4102492891</v>
      </c>
      <c r="I12" s="98">
        <v>1950100.8144252701</v>
      </c>
      <c r="J12" s="98">
        <v>2163103.7370121046</v>
      </c>
      <c r="K12" s="98">
        <v>585080.93355514063</v>
      </c>
      <c r="L12" s="98">
        <v>222976.22703948841</v>
      </c>
      <c r="M12" s="98">
        <v>77039.254430597561</v>
      </c>
      <c r="N12" s="98">
        <v>944681.35026323958</v>
      </c>
      <c r="O12" s="98">
        <v>14931.718265219053</v>
      </c>
      <c r="P12" s="74"/>
      <c r="Q12" s="98">
        <v>1718415.5448518235</v>
      </c>
      <c r="R12" s="98">
        <v>19595.939904608564</v>
      </c>
      <c r="S12" s="98">
        <v>425092.25225567259</v>
      </c>
      <c r="T12" s="98">
        <f>SUM(Q12:S12)</f>
        <v>2163103.7370121046</v>
      </c>
      <c r="U12" s="98">
        <f>SUM(Q12:R12)</f>
        <v>1738011.484756432</v>
      </c>
      <c r="V12" s="74"/>
      <c r="W12" s="74"/>
      <c r="X12" s="74"/>
      <c r="Y12" s="74"/>
    </row>
    <row r="13" spans="1:25" s="14" customFormat="1" x14ac:dyDescent="0.2">
      <c r="A13" s="14">
        <f t="shared" si="0"/>
        <v>7</v>
      </c>
      <c r="B13" s="97">
        <v>300.02</v>
      </c>
      <c r="C13" s="14" t="s">
        <v>461</v>
      </c>
      <c r="D13" s="74" t="s">
        <v>267</v>
      </c>
      <c r="E13" s="98">
        <v>306106347.0642063</v>
      </c>
      <c r="F13" s="98">
        <v>186359101.75673202</v>
      </c>
      <c r="G13" s="98">
        <v>37040856.883185126</v>
      </c>
      <c r="H13" s="98">
        <v>33621485.02949588</v>
      </c>
      <c r="I13" s="98">
        <v>19124836.260652632</v>
      </c>
      <c r="J13" s="98">
        <v>16163338.435951915</v>
      </c>
      <c r="K13" s="98">
        <v>1864947.7341166744</v>
      </c>
      <c r="L13" s="98">
        <v>4787587.7432860984</v>
      </c>
      <c r="M13" s="98">
        <v>2857861.7295351969</v>
      </c>
      <c r="N13" s="98">
        <v>4198678.5095187007</v>
      </c>
      <c r="O13" s="98">
        <v>87652.98173211985</v>
      </c>
      <c r="P13" s="74"/>
      <c r="Q13" s="98">
        <v>14286782.075442851</v>
      </c>
      <c r="R13" s="98">
        <v>74945.817037218992</v>
      </c>
      <c r="S13" s="98">
        <v>1801610.5434718451</v>
      </c>
      <c r="T13" s="98">
        <f>SUM(Q13:S13)</f>
        <v>16163338.435951915</v>
      </c>
      <c r="U13" s="98">
        <f>SUM(Q13:R13)</f>
        <v>14361727.89248007</v>
      </c>
      <c r="V13" s="74"/>
      <c r="W13" s="74"/>
      <c r="X13" s="74"/>
      <c r="Y13" s="74"/>
    </row>
    <row r="14" spans="1:25" s="13" customFormat="1" x14ac:dyDescent="0.2">
      <c r="A14" s="26">
        <f>+A13+1</f>
        <v>8</v>
      </c>
      <c r="B14" s="68"/>
      <c r="C14" s="26" t="s">
        <v>292</v>
      </c>
      <c r="D14" s="31"/>
      <c r="E14" s="69">
        <f t="shared" ref="E14:N14" si="1">SUM(E11:E13)</f>
        <v>432490524.03740108</v>
      </c>
      <c r="F14" s="69">
        <f t="shared" si="1"/>
        <v>259682011.78584027</v>
      </c>
      <c r="G14" s="69">
        <f t="shared" si="1"/>
        <v>53102374.617177382</v>
      </c>
      <c r="H14" s="69">
        <f t="shared" si="1"/>
        <v>49600635.363308355</v>
      </c>
      <c r="I14" s="69">
        <f t="shared" si="1"/>
        <v>28285921.993371096</v>
      </c>
      <c r="J14" s="69">
        <f t="shared" si="1"/>
        <v>23763173.072078958</v>
      </c>
      <c r="K14" s="69">
        <f t="shared" si="1"/>
        <v>2450028.667671815</v>
      </c>
      <c r="L14" s="69">
        <f t="shared" si="1"/>
        <v>7142993.2962199468</v>
      </c>
      <c r="M14" s="69">
        <f>SUM(M11:M13)</f>
        <v>2934900.9839657946</v>
      </c>
      <c r="N14" s="69">
        <f t="shared" si="1"/>
        <v>5399428.1970461151</v>
      </c>
      <c r="O14" s="69">
        <f>SUM(O11:O13)</f>
        <v>129056.06072140268</v>
      </c>
      <c r="P14" s="39"/>
      <c r="Q14" s="69">
        <f>SUM(Q11:Q13)</f>
        <v>21029016.107605014</v>
      </c>
      <c r="R14" s="69">
        <f>SUM(R11:R13)</f>
        <v>108994.39306255791</v>
      </c>
      <c r="S14" s="69">
        <f>SUM(S11:S13)</f>
        <v>2625162.5714113894</v>
      </c>
      <c r="T14" s="69">
        <f>SUM(T11:T13)</f>
        <v>23763173.072078958</v>
      </c>
      <c r="U14" s="69">
        <f>SUM(U11:U13)</f>
        <v>21138010.500667572</v>
      </c>
      <c r="V14" s="39"/>
      <c r="W14" s="39"/>
      <c r="X14" s="39"/>
      <c r="Y14" s="39"/>
    </row>
    <row r="15" spans="1:25" s="14" customFormat="1" x14ac:dyDescent="0.2">
      <c r="A15" s="14">
        <f t="shared" si="0"/>
        <v>9</v>
      </c>
      <c r="B15" s="97"/>
      <c r="D15" s="74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74"/>
      <c r="Q15" s="98"/>
      <c r="R15" s="98"/>
      <c r="S15" s="98"/>
      <c r="T15" s="98"/>
      <c r="U15" s="98"/>
      <c r="V15" s="74"/>
      <c r="W15" s="74"/>
      <c r="X15" s="74"/>
      <c r="Y15" s="74"/>
    </row>
    <row r="16" spans="1:25" s="14" customFormat="1" x14ac:dyDescent="0.2">
      <c r="A16" s="14">
        <f t="shared" si="0"/>
        <v>10</v>
      </c>
      <c r="B16" s="97"/>
      <c r="C16" s="13" t="s">
        <v>462</v>
      </c>
      <c r="D16" s="74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74"/>
      <c r="Q16" s="98"/>
      <c r="R16" s="98"/>
      <c r="S16" s="98"/>
      <c r="T16" s="98"/>
      <c r="U16" s="98"/>
      <c r="V16" s="74"/>
      <c r="W16" s="74"/>
      <c r="X16" s="74"/>
      <c r="Y16" s="74"/>
    </row>
    <row r="17" spans="1:25" s="14" customFormat="1" x14ac:dyDescent="0.2">
      <c r="A17" s="14">
        <f t="shared" si="0"/>
        <v>11</v>
      </c>
      <c r="B17" s="97">
        <v>310</v>
      </c>
      <c r="C17" s="14" t="s">
        <v>463</v>
      </c>
      <c r="D17" s="74" t="s">
        <v>232</v>
      </c>
      <c r="E17" s="98">
        <v>1396510000</v>
      </c>
      <c r="F17" s="98">
        <v>736096666.34249425</v>
      </c>
      <c r="G17" s="98">
        <v>184948435.2157701</v>
      </c>
      <c r="H17" s="98">
        <v>204824284.79767597</v>
      </c>
      <c r="I17" s="98">
        <v>129564244.61030541</v>
      </c>
      <c r="J17" s="98">
        <v>97685120.697778881</v>
      </c>
      <c r="K17" s="98">
        <v>0</v>
      </c>
      <c r="L17" s="98">
        <v>38314682.103060238</v>
      </c>
      <c r="M17" s="98">
        <v>0</v>
      </c>
      <c r="N17" s="98">
        <v>4600938.8540092278</v>
      </c>
      <c r="O17" s="98">
        <v>475627.3789062415</v>
      </c>
      <c r="P17" s="74"/>
      <c r="Q17" s="98">
        <v>90266066.944114178</v>
      </c>
      <c r="R17" s="98">
        <v>259679.48939397655</v>
      </c>
      <c r="S17" s="98">
        <v>7159374.2642707182</v>
      </c>
      <c r="T17" s="98">
        <f>SUM(Q17:S17)</f>
        <v>97685120.697778881</v>
      </c>
      <c r="U17" s="98">
        <f>SUM(Q17:R17)</f>
        <v>90525746.433508158</v>
      </c>
      <c r="V17" s="74"/>
      <c r="W17" s="74"/>
      <c r="X17" s="74"/>
      <c r="Y17" s="74"/>
    </row>
    <row r="18" spans="1:25" s="14" customFormat="1" x14ac:dyDescent="0.2">
      <c r="A18" s="14">
        <f t="shared" si="0"/>
        <v>12</v>
      </c>
      <c r="B18" s="97">
        <v>330</v>
      </c>
      <c r="C18" s="14" t="s">
        <v>464</v>
      </c>
      <c r="D18" s="74" t="s">
        <v>232</v>
      </c>
      <c r="E18" s="98">
        <v>729618000</v>
      </c>
      <c r="F18" s="98">
        <v>384579686.14866918</v>
      </c>
      <c r="G18" s="98">
        <v>96627813.195222199</v>
      </c>
      <c r="H18" s="98">
        <v>107012112.3554509</v>
      </c>
      <c r="I18" s="98">
        <v>67691892.663913488</v>
      </c>
      <c r="J18" s="98">
        <v>51036385.26990284</v>
      </c>
      <c r="K18" s="98">
        <v>0</v>
      </c>
      <c r="L18" s="98">
        <v>20017817.077336077</v>
      </c>
      <c r="M18" s="98">
        <v>0</v>
      </c>
      <c r="N18" s="98">
        <v>2403797.8996101026</v>
      </c>
      <c r="O18" s="98">
        <v>248495.38989539215</v>
      </c>
      <c r="P18" s="74"/>
      <c r="Q18" s="98">
        <v>47160240.336002387</v>
      </c>
      <c r="R18" s="98">
        <v>135671.65984679983</v>
      </c>
      <c r="S18" s="98">
        <v>3740473.2740536574</v>
      </c>
      <c r="T18" s="98">
        <f>SUM(Q18:S18)</f>
        <v>51036385.26990284</v>
      </c>
      <c r="U18" s="98">
        <f>SUM(Q18:R18)</f>
        <v>47295911.995849185</v>
      </c>
      <c r="V18" s="74"/>
      <c r="W18" s="74"/>
      <c r="X18" s="74"/>
      <c r="Y18" s="74"/>
    </row>
    <row r="19" spans="1:25" s="14" customFormat="1" x14ac:dyDescent="0.2">
      <c r="A19" s="14">
        <f t="shared" si="0"/>
        <v>13</v>
      </c>
      <c r="B19" s="97">
        <v>340</v>
      </c>
      <c r="C19" s="14" t="s">
        <v>465</v>
      </c>
      <c r="D19" s="74" t="s">
        <v>232</v>
      </c>
      <c r="E19" s="98">
        <v>1971707000</v>
      </c>
      <c r="F19" s="98">
        <v>1039281458.5675436</v>
      </c>
      <c r="G19" s="98">
        <v>261125322.66434211</v>
      </c>
      <c r="H19" s="98">
        <v>289187672.20110941</v>
      </c>
      <c r="I19" s="98">
        <v>182929394.02356693</v>
      </c>
      <c r="J19" s="98">
        <v>137919840.37039155</v>
      </c>
      <c r="K19" s="98">
        <v>0</v>
      </c>
      <c r="L19" s="98">
        <v>54095800.893211357</v>
      </c>
      <c r="M19" s="98">
        <v>0</v>
      </c>
      <c r="N19" s="98">
        <v>6495981.6578627955</v>
      </c>
      <c r="O19" s="98">
        <v>671529.62197269534</v>
      </c>
      <c r="P19" s="74"/>
      <c r="Q19" s="98">
        <v>127445013.68137608</v>
      </c>
      <c r="R19" s="98">
        <v>366636.73514298454</v>
      </c>
      <c r="S19" s="98">
        <v>10108189.953872457</v>
      </c>
      <c r="T19" s="98">
        <f>SUM(Q19:S19)</f>
        <v>137919840.37039155</v>
      </c>
      <c r="U19" s="98">
        <f>SUM(Q19:R19)</f>
        <v>127811650.41651908</v>
      </c>
      <c r="V19" s="74"/>
      <c r="W19" s="74"/>
      <c r="X19" s="74"/>
      <c r="Y19" s="74"/>
    </row>
    <row r="20" spans="1:25" s="14" customFormat="1" x14ac:dyDescent="0.2">
      <c r="A20" s="26">
        <f t="shared" si="0"/>
        <v>14</v>
      </c>
      <c r="B20" s="68"/>
      <c r="C20" s="26" t="s">
        <v>292</v>
      </c>
      <c r="D20" s="31"/>
      <c r="E20" s="69">
        <f>SUM(E17:E19)</f>
        <v>4097835000</v>
      </c>
      <c r="F20" s="69">
        <f t="shared" ref="F20:N20" si="2">SUM(F17:F19)</f>
        <v>2159957811.0587072</v>
      </c>
      <c r="G20" s="69">
        <f t="shared" si="2"/>
        <v>542701571.07533431</v>
      </c>
      <c r="H20" s="69">
        <f t="shared" si="2"/>
        <v>601024069.35423625</v>
      </c>
      <c r="I20" s="69">
        <f t="shared" si="2"/>
        <v>380185531.29778588</v>
      </c>
      <c r="J20" s="69">
        <f t="shared" si="2"/>
        <v>286641346.33807325</v>
      </c>
      <c r="K20" s="69">
        <f t="shared" si="2"/>
        <v>0</v>
      </c>
      <c r="L20" s="69">
        <f t="shared" si="2"/>
        <v>112428300.07360768</v>
      </c>
      <c r="M20" s="69">
        <f>SUM(M17:M19)</f>
        <v>0</v>
      </c>
      <c r="N20" s="69">
        <f t="shared" si="2"/>
        <v>13500718.411482126</v>
      </c>
      <c r="O20" s="69">
        <f>SUM(O17:O19)</f>
        <v>1395652.390774329</v>
      </c>
      <c r="P20" s="74"/>
      <c r="Q20" s="69">
        <f>SUM(Q17:Q19)</f>
        <v>264871320.96149266</v>
      </c>
      <c r="R20" s="69">
        <f>SUM(R17:R19)</f>
        <v>761987.88438376086</v>
      </c>
      <c r="S20" s="69">
        <f>SUM(S17:S19)</f>
        <v>21008037.492196832</v>
      </c>
      <c r="T20" s="69">
        <f>SUM(T17:T19)</f>
        <v>286641346.33807325</v>
      </c>
      <c r="U20" s="69">
        <f>SUM(U17:U19)</f>
        <v>265633308.84587643</v>
      </c>
      <c r="V20" s="74"/>
      <c r="W20" s="74"/>
      <c r="X20" s="74"/>
      <c r="Y20" s="74"/>
    </row>
    <row r="21" spans="1:25" s="14" customFormat="1" x14ac:dyDescent="0.2">
      <c r="A21" s="14">
        <f t="shared" si="0"/>
        <v>15</v>
      </c>
      <c r="B21" s="97"/>
      <c r="D21" s="74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74"/>
      <c r="Q21" s="98"/>
      <c r="R21" s="98"/>
      <c r="S21" s="98"/>
      <c r="T21" s="98"/>
      <c r="U21" s="98"/>
      <c r="V21" s="74"/>
      <c r="W21" s="74"/>
      <c r="X21" s="74"/>
      <c r="Y21" s="74"/>
    </row>
    <row r="22" spans="1:25" s="14" customFormat="1" x14ac:dyDescent="0.2">
      <c r="A22" s="14">
        <f t="shared" si="0"/>
        <v>16</v>
      </c>
      <c r="B22" s="97"/>
      <c r="C22" s="13" t="s">
        <v>466</v>
      </c>
      <c r="D22" s="74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74"/>
      <c r="Q22" s="98"/>
      <c r="R22" s="98"/>
      <c r="S22" s="98"/>
      <c r="T22" s="98"/>
      <c r="U22" s="98"/>
      <c r="V22" s="74"/>
      <c r="W22" s="74"/>
      <c r="X22" s="74"/>
      <c r="Y22" s="74"/>
    </row>
    <row r="23" spans="1:25" s="14" customFormat="1" x14ac:dyDescent="0.2">
      <c r="A23" s="14">
        <f t="shared" si="0"/>
        <v>17</v>
      </c>
      <c r="B23" s="97">
        <v>350</v>
      </c>
      <c r="C23" s="14" t="s">
        <v>467</v>
      </c>
      <c r="D23" s="74" t="s">
        <v>306</v>
      </c>
      <c r="E23" s="98">
        <v>1231639678.3700972</v>
      </c>
      <c r="F23" s="98">
        <v>587057292.8329128</v>
      </c>
      <c r="G23" s="98">
        <v>147459381.68378764</v>
      </c>
      <c r="H23" s="98">
        <v>163289000.23803759</v>
      </c>
      <c r="I23" s="98">
        <v>103236833.69111878</v>
      </c>
      <c r="J23" s="98">
        <v>77823020.351807266</v>
      </c>
      <c r="K23" s="98">
        <v>17408508.891818799</v>
      </c>
      <c r="L23" s="98">
        <v>30514455.043778673</v>
      </c>
      <c r="M23" s="98">
        <v>100807878.81646819</v>
      </c>
      <c r="N23" s="98">
        <v>3663996.0881399107</v>
      </c>
      <c r="O23" s="98">
        <v>379310.73222781019</v>
      </c>
      <c r="P23" s="74"/>
      <c r="Q23" s="98">
        <v>71926596.996297985</v>
      </c>
      <c r="R23" s="98">
        <v>206390.97615072655</v>
      </c>
      <c r="S23" s="98">
        <v>5690032.3793585561</v>
      </c>
      <c r="T23" s="98">
        <f>SUM(Q23:S23)</f>
        <v>77823020.351807266</v>
      </c>
      <c r="U23" s="98">
        <f>SUM(Q23:R23)</f>
        <v>72132987.972448707</v>
      </c>
      <c r="V23" s="74"/>
      <c r="W23" s="74"/>
      <c r="X23" s="74"/>
      <c r="Y23" s="74"/>
    </row>
    <row r="24" spans="1:25" s="14" customFormat="1" x14ac:dyDescent="0.2">
      <c r="A24" s="14">
        <f t="shared" si="0"/>
        <v>18</v>
      </c>
      <c r="B24" s="97">
        <v>350.01</v>
      </c>
      <c r="C24" s="14" t="s">
        <v>468</v>
      </c>
      <c r="D24" s="74" t="s">
        <v>232</v>
      </c>
      <c r="E24" s="98">
        <v>176912910.8499999</v>
      </c>
      <c r="F24" s="98">
        <v>93250319.660891667</v>
      </c>
      <c r="G24" s="98">
        <v>23429668.266732439</v>
      </c>
      <c r="H24" s="98">
        <v>25947583.931605387</v>
      </c>
      <c r="I24" s="98">
        <v>16413479.070032112</v>
      </c>
      <c r="J24" s="98">
        <v>12374962.620659813</v>
      </c>
      <c r="K24" s="98">
        <v>0</v>
      </c>
      <c r="L24" s="98">
        <v>4853786.8967245361</v>
      </c>
      <c r="M24" s="98">
        <v>0</v>
      </c>
      <c r="N24" s="98">
        <v>582856.89705453976</v>
      </c>
      <c r="O24" s="98">
        <v>60253.50629946011</v>
      </c>
      <c r="P24" s="74"/>
      <c r="Q24" s="98">
        <v>11435100.825675573</v>
      </c>
      <c r="R24" s="98">
        <v>32896.76003518061</v>
      </c>
      <c r="S24" s="98">
        <v>906965.0349490582</v>
      </c>
      <c r="T24" s="98">
        <f>SUM(Q24:S24)</f>
        <v>12374962.620659813</v>
      </c>
      <c r="U24" s="98">
        <f>SUM(Q24:R24)</f>
        <v>11467997.585710755</v>
      </c>
      <c r="V24" s="74"/>
      <c r="W24" s="74"/>
      <c r="X24" s="74"/>
      <c r="Y24" s="74"/>
    </row>
    <row r="25" spans="1:25" s="14" customFormat="1" x14ac:dyDescent="0.2">
      <c r="A25" s="14">
        <f t="shared" si="0"/>
        <v>19</v>
      </c>
      <c r="B25" s="97">
        <v>350.02</v>
      </c>
      <c r="C25" s="14" t="s">
        <v>469</v>
      </c>
      <c r="D25" s="74" t="s">
        <v>227</v>
      </c>
      <c r="E25" s="98">
        <v>405246.36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405246.36</v>
      </c>
      <c r="N25" s="98">
        <v>0</v>
      </c>
      <c r="O25" s="98">
        <v>0</v>
      </c>
      <c r="P25" s="74"/>
      <c r="Q25" s="98">
        <v>0</v>
      </c>
      <c r="R25" s="98">
        <v>0</v>
      </c>
      <c r="S25" s="98">
        <v>0</v>
      </c>
      <c r="T25" s="98">
        <f>SUM(Q25:S25)</f>
        <v>0</v>
      </c>
      <c r="U25" s="98">
        <f>SUM(Q25:R25)</f>
        <v>0</v>
      </c>
      <c r="V25" s="74"/>
      <c r="W25" s="74"/>
      <c r="X25" s="74"/>
      <c r="Y25" s="74"/>
    </row>
    <row r="26" spans="1:25" s="14" customFormat="1" x14ac:dyDescent="0.2">
      <c r="A26" s="14">
        <f t="shared" si="0"/>
        <v>20</v>
      </c>
      <c r="B26" s="97">
        <v>350.03</v>
      </c>
      <c r="C26" s="14" t="s">
        <v>470</v>
      </c>
      <c r="D26" s="74" t="s">
        <v>232</v>
      </c>
      <c r="E26" s="98">
        <v>185779290.94</v>
      </c>
      <c r="F26" s="98">
        <v>97923764.76817663</v>
      </c>
      <c r="G26" s="98">
        <v>24603897.684118476</v>
      </c>
      <c r="H26" s="98">
        <v>27248004.236994267</v>
      </c>
      <c r="I26" s="98">
        <v>17236076.716156173</v>
      </c>
      <c r="J26" s="98">
        <v>12995161.122098427</v>
      </c>
      <c r="K26" s="98">
        <v>0</v>
      </c>
      <c r="L26" s="98">
        <v>5097045.1151069729</v>
      </c>
      <c r="M26" s="98">
        <v>0</v>
      </c>
      <c r="N26" s="98">
        <v>612068.05390303722</v>
      </c>
      <c r="O26" s="98">
        <v>63273.243446056425</v>
      </c>
      <c r="P26" s="74"/>
      <c r="Q26" s="98">
        <v>12008196.083680104</v>
      </c>
      <c r="R26" s="98">
        <v>34545.453603106464</v>
      </c>
      <c r="S26" s="98">
        <v>952419.5848152166</v>
      </c>
      <c r="T26" s="98">
        <f>SUM(Q26:S26)</f>
        <v>12995161.122098427</v>
      </c>
      <c r="U26" s="98">
        <f>SUM(Q26:R26)</f>
        <v>12042741.53728321</v>
      </c>
      <c r="V26" s="74"/>
      <c r="W26" s="74"/>
      <c r="X26" s="74"/>
      <c r="Y26" s="74"/>
    </row>
    <row r="27" spans="1:25" s="14" customFormat="1" x14ac:dyDescent="0.2">
      <c r="A27" s="26">
        <f>+A26+1</f>
        <v>21</v>
      </c>
      <c r="B27" s="68"/>
      <c r="C27" s="26" t="s">
        <v>292</v>
      </c>
      <c r="D27" s="31"/>
      <c r="E27" s="69">
        <f t="shared" ref="E27:N27" si="3">SUM(E23:E26)</f>
        <v>1594737126.520097</v>
      </c>
      <c r="F27" s="69">
        <f t="shared" si="3"/>
        <v>778231377.26198113</v>
      </c>
      <c r="G27" s="69">
        <f t="shared" si="3"/>
        <v>195492947.63463858</v>
      </c>
      <c r="H27" s="69">
        <f t="shared" si="3"/>
        <v>216484588.40663725</v>
      </c>
      <c r="I27" s="69">
        <f t="shared" si="3"/>
        <v>136886389.47730708</v>
      </c>
      <c r="J27" s="69">
        <f t="shared" si="3"/>
        <v>103193144.09456551</v>
      </c>
      <c r="K27" s="69">
        <f t="shared" si="3"/>
        <v>17408508.891818799</v>
      </c>
      <c r="L27" s="69">
        <f t="shared" si="3"/>
        <v>40465287.05561018</v>
      </c>
      <c r="M27" s="69">
        <f>SUM(M23:M26)</f>
        <v>101213125.17646819</v>
      </c>
      <c r="N27" s="69">
        <f t="shared" si="3"/>
        <v>4858921.0390974879</v>
      </c>
      <c r="O27" s="69">
        <f>SUM(O23:O26)</f>
        <v>502837.48197332677</v>
      </c>
      <c r="P27" s="74"/>
      <c r="Q27" s="69">
        <f>SUM(Q23:Q26)</f>
        <v>95369893.90565367</v>
      </c>
      <c r="R27" s="69">
        <f>SUM(R23:R26)</f>
        <v>273833.18978901359</v>
      </c>
      <c r="S27" s="69">
        <f>SUM(S23:S26)</f>
        <v>7549416.999122831</v>
      </c>
      <c r="T27" s="69">
        <f>SUM(T23:T26)</f>
        <v>103193144.09456551</v>
      </c>
      <c r="U27" s="69">
        <f>SUM(U23:U26)</f>
        <v>95643727.095442668</v>
      </c>
      <c r="V27" s="74"/>
      <c r="W27" s="74"/>
      <c r="X27" s="74"/>
      <c r="Y27" s="74"/>
    </row>
    <row r="28" spans="1:25" s="14" customFormat="1" x14ac:dyDescent="0.2">
      <c r="A28" s="14">
        <f t="shared" si="0"/>
        <v>22</v>
      </c>
      <c r="B28" s="97"/>
      <c r="D28" s="74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74"/>
      <c r="Q28" s="98"/>
      <c r="R28" s="98"/>
      <c r="S28" s="98"/>
      <c r="T28" s="98"/>
      <c r="U28" s="98"/>
      <c r="V28" s="74"/>
      <c r="W28" s="74"/>
      <c r="X28" s="74"/>
      <c r="Y28" s="74"/>
    </row>
    <row r="29" spans="1:25" s="14" customFormat="1" x14ac:dyDescent="0.2">
      <c r="A29" s="14">
        <f t="shared" si="0"/>
        <v>23</v>
      </c>
      <c r="B29" s="97"/>
      <c r="C29" s="13" t="s">
        <v>471</v>
      </c>
      <c r="D29" s="74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74"/>
      <c r="Q29" s="98"/>
      <c r="R29" s="98"/>
      <c r="S29" s="98"/>
      <c r="T29" s="98"/>
      <c r="U29" s="98"/>
      <c r="V29" s="74"/>
      <c r="W29" s="74"/>
      <c r="X29" s="74"/>
      <c r="Y29" s="74"/>
    </row>
    <row r="30" spans="1:25" s="14" customFormat="1" x14ac:dyDescent="0.2">
      <c r="A30" s="14">
        <f t="shared" si="0"/>
        <v>24</v>
      </c>
      <c r="B30" s="97">
        <v>360.01</v>
      </c>
      <c r="C30" s="14" t="s">
        <v>472</v>
      </c>
      <c r="D30" s="74" t="s">
        <v>473</v>
      </c>
      <c r="E30" s="98">
        <v>4397948.3721314128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4381901.8082543351</v>
      </c>
      <c r="L30" s="98">
        <v>16046.563877077044</v>
      </c>
      <c r="M30" s="98">
        <v>0</v>
      </c>
      <c r="N30" s="98">
        <v>0</v>
      </c>
      <c r="O30" s="98">
        <v>0</v>
      </c>
      <c r="P30" s="74"/>
      <c r="Q30" s="98">
        <v>0</v>
      </c>
      <c r="R30" s="98">
        <v>0</v>
      </c>
      <c r="S30" s="98">
        <v>0</v>
      </c>
      <c r="T30" s="98">
        <f t="shared" ref="T30:T50" si="4">SUM(Q30:S30)</f>
        <v>0</v>
      </c>
      <c r="U30" s="98">
        <f t="shared" ref="U30:U50" si="5">SUM(Q30:R30)</f>
        <v>0</v>
      </c>
      <c r="V30" s="74"/>
      <c r="W30" s="74"/>
      <c r="X30" s="74"/>
      <c r="Y30" s="74"/>
    </row>
    <row r="31" spans="1:25" s="14" customFormat="1" x14ac:dyDescent="0.2">
      <c r="A31" s="14">
        <f t="shared" si="0"/>
        <v>25</v>
      </c>
      <c r="B31" s="97">
        <v>360.02</v>
      </c>
      <c r="C31" s="14" t="s">
        <v>474</v>
      </c>
      <c r="D31" s="74" t="s">
        <v>475</v>
      </c>
      <c r="E31" s="98">
        <v>47090051.627868585</v>
      </c>
      <c r="F31" s="98">
        <v>21372455.737104561</v>
      </c>
      <c r="G31" s="98">
        <v>6889967.5375397019</v>
      </c>
      <c r="H31" s="98">
        <v>8964074.9893805142</v>
      </c>
      <c r="I31" s="98">
        <v>5268260.9435781874</v>
      </c>
      <c r="J31" s="98">
        <v>4562074.7066196306</v>
      </c>
      <c r="K31" s="98">
        <v>0</v>
      </c>
      <c r="L31" s="98">
        <v>0</v>
      </c>
      <c r="M31" s="98">
        <v>0</v>
      </c>
      <c r="N31" s="98">
        <v>30334.570252941056</v>
      </c>
      <c r="O31" s="98">
        <v>2883.1433930444241</v>
      </c>
      <c r="P31" s="74"/>
      <c r="Q31" s="98">
        <v>4339290.7146512726</v>
      </c>
      <c r="R31" s="98">
        <v>949.85422932245592</v>
      </c>
      <c r="S31" s="98">
        <v>221834.13773903536</v>
      </c>
      <c r="T31" s="98">
        <f t="shared" si="4"/>
        <v>4562074.7066196306</v>
      </c>
      <c r="U31" s="98">
        <f t="shared" si="5"/>
        <v>4340240.5688805953</v>
      </c>
      <c r="V31" s="74"/>
      <c r="W31" s="74"/>
      <c r="X31" s="74"/>
      <c r="Y31" s="74"/>
    </row>
    <row r="32" spans="1:25" s="14" customFormat="1" x14ac:dyDescent="0.2">
      <c r="A32" s="14">
        <f t="shared" si="0"/>
        <v>26</v>
      </c>
      <c r="B32" s="97">
        <v>361.01</v>
      </c>
      <c r="C32" s="14" t="s">
        <v>476</v>
      </c>
      <c r="D32" s="74" t="s">
        <v>477</v>
      </c>
      <c r="E32" s="98">
        <v>652394.54478603089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359066.02125357295</v>
      </c>
      <c r="L32" s="98">
        <v>134228.77736994543</v>
      </c>
      <c r="M32" s="98">
        <v>159099.74616251249</v>
      </c>
      <c r="N32" s="98">
        <v>0</v>
      </c>
      <c r="O32" s="98">
        <v>0</v>
      </c>
      <c r="P32" s="74"/>
      <c r="Q32" s="98">
        <v>0</v>
      </c>
      <c r="R32" s="98">
        <v>0</v>
      </c>
      <c r="S32" s="98">
        <v>0</v>
      </c>
      <c r="T32" s="98">
        <f t="shared" si="4"/>
        <v>0</v>
      </c>
      <c r="U32" s="98">
        <f t="shared" si="5"/>
        <v>0</v>
      </c>
      <c r="V32" s="74"/>
      <c r="W32" s="74"/>
      <c r="X32" s="74"/>
      <c r="Y32" s="74"/>
    </row>
    <row r="33" spans="1:25" s="14" customFormat="1" x14ac:dyDescent="0.2">
      <c r="A33" s="14">
        <f t="shared" si="0"/>
        <v>27</v>
      </c>
      <c r="B33" s="97">
        <v>361.02</v>
      </c>
      <c r="C33" s="14" t="s">
        <v>478</v>
      </c>
      <c r="D33" s="74" t="s">
        <v>479</v>
      </c>
      <c r="E33" s="98">
        <v>7450605.4552139696</v>
      </c>
      <c r="F33" s="98">
        <v>3792899.44249753</v>
      </c>
      <c r="G33" s="98">
        <v>1044125.5497413003</v>
      </c>
      <c r="H33" s="98">
        <v>1296782.1146047371</v>
      </c>
      <c r="I33" s="98">
        <v>754188.6889221567</v>
      </c>
      <c r="J33" s="98">
        <v>555998.41786987113</v>
      </c>
      <c r="K33" s="98">
        <v>0</v>
      </c>
      <c r="L33" s="98">
        <v>0</v>
      </c>
      <c r="M33" s="98">
        <v>0</v>
      </c>
      <c r="N33" s="98">
        <v>5763.3013922225664</v>
      </c>
      <c r="O33" s="98">
        <v>847.94018615138168</v>
      </c>
      <c r="P33" s="74"/>
      <c r="Q33" s="98">
        <v>495124.92649974383</v>
      </c>
      <c r="R33" s="98">
        <v>1.0767494427319133</v>
      </c>
      <c r="S33" s="98">
        <v>60872.41462068462</v>
      </c>
      <c r="T33" s="98">
        <f t="shared" si="4"/>
        <v>555998.41786987113</v>
      </c>
      <c r="U33" s="98">
        <f t="shared" si="5"/>
        <v>495126.00324918656</v>
      </c>
      <c r="V33" s="74"/>
      <c r="W33" s="74"/>
      <c r="X33" s="74"/>
      <c r="Y33" s="74"/>
    </row>
    <row r="34" spans="1:25" s="14" customFormat="1" x14ac:dyDescent="0.2">
      <c r="A34" s="14">
        <f t="shared" si="0"/>
        <v>28</v>
      </c>
      <c r="B34" s="97">
        <v>362.01</v>
      </c>
      <c r="C34" s="14" t="s">
        <v>480</v>
      </c>
      <c r="D34" s="74" t="s">
        <v>481</v>
      </c>
      <c r="E34" s="98">
        <v>33433473.231653392</v>
      </c>
      <c r="F34" s="98">
        <v>0</v>
      </c>
      <c r="G34" s="98">
        <v>0</v>
      </c>
      <c r="H34" s="98">
        <v>0</v>
      </c>
      <c r="I34" s="98">
        <v>0</v>
      </c>
      <c r="J34" s="98">
        <v>654749.74004621</v>
      </c>
      <c r="K34" s="98">
        <v>15160583.846818591</v>
      </c>
      <c r="L34" s="98">
        <v>12313198.493169427</v>
      </c>
      <c r="M34" s="98">
        <v>5304941.1516191633</v>
      </c>
      <c r="N34" s="98">
        <v>0</v>
      </c>
      <c r="O34" s="98">
        <v>0</v>
      </c>
      <c r="P34" s="74"/>
      <c r="Q34" s="98">
        <v>654749.74004621</v>
      </c>
      <c r="R34" s="98">
        <v>0</v>
      </c>
      <c r="S34" s="98">
        <v>0</v>
      </c>
      <c r="T34" s="98">
        <f t="shared" si="4"/>
        <v>654749.74004621</v>
      </c>
      <c r="U34" s="98">
        <f t="shared" si="5"/>
        <v>654749.74004621</v>
      </c>
      <c r="V34" s="74"/>
      <c r="W34" s="74"/>
      <c r="X34" s="74"/>
      <c r="Y34" s="74"/>
    </row>
    <row r="35" spans="1:25" s="14" customFormat="1" x14ac:dyDescent="0.2">
      <c r="A35" s="14">
        <f t="shared" si="0"/>
        <v>29</v>
      </c>
      <c r="B35" s="97">
        <v>362.02</v>
      </c>
      <c r="C35" s="14" t="s">
        <v>482</v>
      </c>
      <c r="D35" s="74" t="s">
        <v>395</v>
      </c>
      <c r="E35" s="98">
        <v>437752526.76834661</v>
      </c>
      <c r="F35" s="98">
        <v>244351600.54763758</v>
      </c>
      <c r="G35" s="98">
        <v>59077851.688851751</v>
      </c>
      <c r="H35" s="98">
        <v>64914131.167985559</v>
      </c>
      <c r="I35" s="98">
        <v>34540268.724038981</v>
      </c>
      <c r="J35" s="98">
        <v>34395152.153879717</v>
      </c>
      <c r="K35" s="98">
        <v>0</v>
      </c>
      <c r="L35" s="98">
        <v>0</v>
      </c>
      <c r="M35" s="98">
        <v>0</v>
      </c>
      <c r="N35" s="98">
        <v>353145.04930748604</v>
      </c>
      <c r="O35" s="98">
        <v>120377.43664552382</v>
      </c>
      <c r="P35" s="74"/>
      <c r="Q35" s="98">
        <v>30750704.14466393</v>
      </c>
      <c r="R35" s="98">
        <v>113070.2220244175</v>
      </c>
      <c r="S35" s="98">
        <v>3531377.7871913705</v>
      </c>
      <c r="T35" s="98">
        <f t="shared" si="4"/>
        <v>34395152.153879717</v>
      </c>
      <c r="U35" s="98">
        <f t="shared" si="5"/>
        <v>30863774.366688348</v>
      </c>
      <c r="V35" s="74"/>
      <c r="W35" s="74"/>
      <c r="X35" s="74"/>
      <c r="Y35" s="74"/>
    </row>
    <row r="36" spans="1:25" s="14" customFormat="1" x14ac:dyDescent="0.2">
      <c r="A36" s="14">
        <f t="shared" si="0"/>
        <v>30</v>
      </c>
      <c r="B36" s="97">
        <v>363.01</v>
      </c>
      <c r="C36" s="14" t="s">
        <v>483</v>
      </c>
      <c r="D36" s="74" t="s">
        <v>484</v>
      </c>
      <c r="E36" s="98">
        <v>1101000</v>
      </c>
      <c r="F36" s="98">
        <v>614573.52214283624</v>
      </c>
      <c r="G36" s="98">
        <v>148587.86810349277</v>
      </c>
      <c r="H36" s="98">
        <v>163266.80954550701</v>
      </c>
      <c r="I36" s="98">
        <v>86872.910011302622</v>
      </c>
      <c r="J36" s="98">
        <v>86507.924468158293</v>
      </c>
      <c r="K36" s="98">
        <v>0</v>
      </c>
      <c r="L36" s="98">
        <v>0</v>
      </c>
      <c r="M36" s="98">
        <v>0</v>
      </c>
      <c r="N36" s="98">
        <v>888.20206740530625</v>
      </c>
      <c r="O36" s="98">
        <v>302.76366129774038</v>
      </c>
      <c r="P36" s="74"/>
      <c r="Q36" s="98">
        <v>77341.701516188972</v>
      </c>
      <c r="R36" s="98">
        <v>284.38514191549706</v>
      </c>
      <c r="S36" s="98">
        <v>8881.837810053823</v>
      </c>
      <c r="T36" s="98">
        <f t="shared" si="4"/>
        <v>86507.924468158293</v>
      </c>
      <c r="U36" s="98">
        <f t="shared" si="5"/>
        <v>77626.086658104468</v>
      </c>
      <c r="V36" s="74"/>
      <c r="W36" s="74"/>
      <c r="X36" s="74"/>
      <c r="Y36" s="74"/>
    </row>
    <row r="37" spans="1:25" s="14" customFormat="1" x14ac:dyDescent="0.2">
      <c r="A37" s="14">
        <f t="shared" si="0"/>
        <v>31</v>
      </c>
      <c r="B37" s="97">
        <v>364.01</v>
      </c>
      <c r="C37" s="14" t="s">
        <v>485</v>
      </c>
      <c r="D37" s="74" t="s">
        <v>398</v>
      </c>
      <c r="E37" s="98">
        <v>372360470.93214625</v>
      </c>
      <c r="F37" s="98">
        <v>256635696.29111663</v>
      </c>
      <c r="G37" s="98">
        <v>46891765.305053428</v>
      </c>
      <c r="H37" s="98">
        <v>36455041.284208007</v>
      </c>
      <c r="I37" s="98">
        <v>14421042.995726857</v>
      </c>
      <c r="J37" s="98">
        <v>17474453.31309586</v>
      </c>
      <c r="K37" s="98">
        <v>0</v>
      </c>
      <c r="L37" s="98">
        <v>0</v>
      </c>
      <c r="M37" s="98">
        <v>0</v>
      </c>
      <c r="N37" s="98">
        <v>225527.48914423192</v>
      </c>
      <c r="O37" s="98">
        <v>256944.25380113986</v>
      </c>
      <c r="P37" s="74"/>
      <c r="Q37" s="98">
        <v>13498736.547584774</v>
      </c>
      <c r="R37" s="98">
        <v>338104.22916481865</v>
      </c>
      <c r="S37" s="98">
        <v>3637612.5363462684</v>
      </c>
      <c r="T37" s="98">
        <f t="shared" si="4"/>
        <v>17474453.31309586</v>
      </c>
      <c r="U37" s="98">
        <f t="shared" si="5"/>
        <v>13836840.776749592</v>
      </c>
      <c r="V37" s="74"/>
      <c r="W37" s="74"/>
      <c r="X37" s="74"/>
      <c r="Y37" s="74"/>
    </row>
    <row r="38" spans="1:25" s="14" customFormat="1" x14ac:dyDescent="0.2">
      <c r="A38" s="14">
        <f t="shared" si="0"/>
        <v>32</v>
      </c>
      <c r="B38" s="97">
        <v>365.01</v>
      </c>
      <c r="C38" s="14" t="s">
        <v>486</v>
      </c>
      <c r="D38" s="74" t="s">
        <v>487</v>
      </c>
      <c r="E38" s="98">
        <v>71791.370995891833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71791.370995891833</v>
      </c>
      <c r="L38" s="98">
        <v>0</v>
      </c>
      <c r="M38" s="98">
        <v>0</v>
      </c>
      <c r="N38" s="98">
        <v>0</v>
      </c>
      <c r="O38" s="98">
        <v>0</v>
      </c>
      <c r="P38" s="74"/>
      <c r="Q38" s="98">
        <v>0</v>
      </c>
      <c r="R38" s="98">
        <v>0</v>
      </c>
      <c r="S38" s="98">
        <v>0</v>
      </c>
      <c r="T38" s="98">
        <f t="shared" si="4"/>
        <v>0</v>
      </c>
      <c r="U38" s="98">
        <f t="shared" si="5"/>
        <v>0</v>
      </c>
      <c r="V38" s="74"/>
      <c r="W38" s="74"/>
      <c r="X38" s="74"/>
      <c r="Y38" s="74"/>
    </row>
    <row r="39" spans="1:25" s="14" customFormat="1" x14ac:dyDescent="0.2">
      <c r="A39" s="14">
        <f t="shared" si="0"/>
        <v>33</v>
      </c>
      <c r="B39" s="97">
        <v>365.02</v>
      </c>
      <c r="C39" s="14" t="s">
        <v>488</v>
      </c>
      <c r="D39" s="74" t="s">
        <v>398</v>
      </c>
      <c r="E39" s="98">
        <v>471990557.83454573</v>
      </c>
      <c r="F39" s="98">
        <v>325302052.46940446</v>
      </c>
      <c r="G39" s="98">
        <v>59438292.170953557</v>
      </c>
      <c r="H39" s="98">
        <v>46209081.293030679</v>
      </c>
      <c r="I39" s="98">
        <v>18279588.354450829</v>
      </c>
      <c r="J39" s="98">
        <v>22149979.954786338</v>
      </c>
      <c r="K39" s="98">
        <v>0</v>
      </c>
      <c r="L39" s="98">
        <v>0</v>
      </c>
      <c r="M39" s="98">
        <v>0</v>
      </c>
      <c r="N39" s="98">
        <v>285870.4231996953</v>
      </c>
      <c r="O39" s="98">
        <v>325693.16872005083</v>
      </c>
      <c r="P39" s="74"/>
      <c r="Q39" s="98">
        <v>17110506.325246107</v>
      </c>
      <c r="R39" s="98">
        <v>428568.594647636</v>
      </c>
      <c r="S39" s="98">
        <v>4610905.0348925982</v>
      </c>
      <c r="T39" s="98">
        <f t="shared" si="4"/>
        <v>22149979.954786338</v>
      </c>
      <c r="U39" s="98">
        <f t="shared" si="5"/>
        <v>17539074.919893742</v>
      </c>
      <c r="V39" s="74"/>
      <c r="W39" s="74"/>
      <c r="X39" s="74"/>
      <c r="Y39" s="74"/>
    </row>
    <row r="40" spans="1:25" s="14" customFormat="1" x14ac:dyDescent="0.2">
      <c r="A40" s="14">
        <f>+A38+1</f>
        <v>33</v>
      </c>
      <c r="B40" s="97">
        <v>366.01</v>
      </c>
      <c r="C40" s="14" t="s">
        <v>489</v>
      </c>
      <c r="D40" s="74" t="s">
        <v>490</v>
      </c>
      <c r="E40" s="98">
        <v>28743419.414837807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23101629.51589638</v>
      </c>
      <c r="L40" s="98">
        <v>5608088.4825534066</v>
      </c>
      <c r="M40" s="98">
        <v>33701.416388018217</v>
      </c>
      <c r="N40" s="98">
        <v>0</v>
      </c>
      <c r="O40" s="98">
        <v>0</v>
      </c>
      <c r="P40" s="74"/>
      <c r="Q40" s="98">
        <v>0</v>
      </c>
      <c r="R40" s="98">
        <v>0</v>
      </c>
      <c r="S40" s="98">
        <v>0</v>
      </c>
      <c r="T40" s="98">
        <f t="shared" si="4"/>
        <v>0</v>
      </c>
      <c r="U40" s="98">
        <f t="shared" si="5"/>
        <v>0</v>
      </c>
      <c r="V40" s="74"/>
      <c r="W40" s="74"/>
      <c r="X40" s="74"/>
      <c r="Y40" s="74"/>
    </row>
    <row r="41" spans="1:25" s="14" customFormat="1" x14ac:dyDescent="0.2">
      <c r="A41" s="14">
        <f t="shared" si="0"/>
        <v>34</v>
      </c>
      <c r="B41" s="97">
        <v>366.02</v>
      </c>
      <c r="C41" s="14" t="s">
        <v>491</v>
      </c>
      <c r="D41" s="74" t="s">
        <v>403</v>
      </c>
      <c r="E41" s="98">
        <v>718024871.41305971</v>
      </c>
      <c r="F41" s="98">
        <v>483226813.4581219</v>
      </c>
      <c r="G41" s="98">
        <v>86105106.443105906</v>
      </c>
      <c r="H41" s="98">
        <v>80351473.792921528</v>
      </c>
      <c r="I41" s="98">
        <v>34886382.524484321</v>
      </c>
      <c r="J41" s="98">
        <v>32927441.507076252</v>
      </c>
      <c r="K41" s="98">
        <v>0</v>
      </c>
      <c r="L41" s="98">
        <v>0</v>
      </c>
      <c r="M41" s="98">
        <v>0</v>
      </c>
      <c r="N41" s="98">
        <v>331118.71068511618</v>
      </c>
      <c r="O41" s="98">
        <v>196534.97666471408</v>
      </c>
      <c r="P41" s="74"/>
      <c r="Q41" s="98">
        <v>24883749.128798679</v>
      </c>
      <c r="R41" s="98">
        <v>295514.54824585636</v>
      </c>
      <c r="S41" s="98">
        <v>7748177.8300317181</v>
      </c>
      <c r="T41" s="98">
        <f t="shared" si="4"/>
        <v>32927441.507076252</v>
      </c>
      <c r="U41" s="98">
        <f t="shared" si="5"/>
        <v>25179263.677044533</v>
      </c>
      <c r="V41" s="74"/>
      <c r="W41" s="74"/>
      <c r="X41" s="74"/>
      <c r="Y41" s="74"/>
    </row>
    <row r="42" spans="1:25" s="14" customFormat="1" x14ac:dyDescent="0.2">
      <c r="A42" s="14">
        <f t="shared" si="0"/>
        <v>35</v>
      </c>
      <c r="B42" s="97">
        <v>367.01</v>
      </c>
      <c r="C42" s="14" t="s">
        <v>492</v>
      </c>
      <c r="D42" s="74" t="s">
        <v>403</v>
      </c>
      <c r="E42" s="98">
        <v>986578386.56156349</v>
      </c>
      <c r="F42" s="98">
        <v>663961861.13523018</v>
      </c>
      <c r="G42" s="98">
        <v>118309880.85715218</v>
      </c>
      <c r="H42" s="98">
        <v>110404291.72941658</v>
      </c>
      <c r="I42" s="98">
        <v>47934482.988369167</v>
      </c>
      <c r="J42" s="98">
        <v>45242864.709854238</v>
      </c>
      <c r="K42" s="98">
        <v>0</v>
      </c>
      <c r="L42" s="98">
        <v>0</v>
      </c>
      <c r="M42" s="98">
        <v>0</v>
      </c>
      <c r="N42" s="98">
        <v>454962.74064320017</v>
      </c>
      <c r="O42" s="98">
        <v>270042.40089789941</v>
      </c>
      <c r="P42" s="74"/>
      <c r="Q42" s="98">
        <v>34190694.562960498</v>
      </c>
      <c r="R42" s="98">
        <v>406042.01584285608</v>
      </c>
      <c r="S42" s="98">
        <v>10646128.131050883</v>
      </c>
      <c r="T42" s="98">
        <f t="shared" si="4"/>
        <v>45242864.709854238</v>
      </c>
      <c r="U42" s="98">
        <f t="shared" si="5"/>
        <v>34596736.578803353</v>
      </c>
      <c r="V42" s="74"/>
      <c r="W42" s="74"/>
      <c r="X42" s="74"/>
      <c r="Y42" s="74"/>
    </row>
    <row r="43" spans="1:25" s="14" customFormat="1" x14ac:dyDescent="0.2">
      <c r="A43" s="14">
        <f t="shared" si="0"/>
        <v>36</v>
      </c>
      <c r="B43" s="97" t="s">
        <v>493</v>
      </c>
      <c r="C43" s="14" t="s">
        <v>494</v>
      </c>
      <c r="D43" s="74" t="s">
        <v>495</v>
      </c>
      <c r="E43" s="98">
        <v>173605063.30048591</v>
      </c>
      <c r="F43" s="98">
        <v>129622783.85526644</v>
      </c>
      <c r="G43" s="98">
        <v>21229564.703891553</v>
      </c>
      <c r="H43" s="98">
        <v>3103642.0998950875</v>
      </c>
      <c r="I43" s="98">
        <v>34997.8638195979</v>
      </c>
      <c r="J43" s="98">
        <v>0</v>
      </c>
      <c r="K43" s="98">
        <v>0</v>
      </c>
      <c r="L43" s="98">
        <v>0</v>
      </c>
      <c r="M43" s="98">
        <v>0</v>
      </c>
      <c r="N43" s="98">
        <v>19614074.777613256</v>
      </c>
      <c r="O43" s="98">
        <v>0</v>
      </c>
      <c r="P43" s="74"/>
      <c r="Q43" s="98">
        <v>0</v>
      </c>
      <c r="R43" s="98">
        <v>0</v>
      </c>
      <c r="S43" s="98">
        <v>0</v>
      </c>
      <c r="T43" s="98">
        <f t="shared" si="4"/>
        <v>0</v>
      </c>
      <c r="U43" s="98">
        <f t="shared" si="5"/>
        <v>0</v>
      </c>
      <c r="V43" s="74"/>
      <c r="W43" s="74"/>
      <c r="X43" s="74"/>
      <c r="Y43" s="74"/>
    </row>
    <row r="44" spans="1:25" s="14" customFormat="1" x14ac:dyDescent="0.2">
      <c r="A44" s="14">
        <f t="shared" si="0"/>
        <v>37</v>
      </c>
      <c r="B44" s="97" t="s">
        <v>496</v>
      </c>
      <c r="C44" s="14" t="s">
        <v>497</v>
      </c>
      <c r="D44" s="74" t="s">
        <v>498</v>
      </c>
      <c r="E44" s="98">
        <v>318350548.27234882</v>
      </c>
      <c r="F44" s="98">
        <v>254323105.00839216</v>
      </c>
      <c r="G44" s="98">
        <v>39317021.423054866</v>
      </c>
      <c r="H44" s="98">
        <v>18739241.351015534</v>
      </c>
      <c r="I44" s="98">
        <v>5178058.4964268021</v>
      </c>
      <c r="J44" s="98">
        <v>0</v>
      </c>
      <c r="K44" s="98">
        <v>0</v>
      </c>
      <c r="L44" s="98">
        <v>0</v>
      </c>
      <c r="M44" s="98">
        <v>0</v>
      </c>
      <c r="N44" s="98">
        <v>793121.9934594743</v>
      </c>
      <c r="O44" s="98">
        <v>0</v>
      </c>
      <c r="P44" s="74"/>
      <c r="Q44" s="98">
        <v>0</v>
      </c>
      <c r="R44" s="98">
        <v>0</v>
      </c>
      <c r="S44" s="98">
        <v>0</v>
      </c>
      <c r="T44" s="98">
        <f t="shared" si="4"/>
        <v>0</v>
      </c>
      <c r="U44" s="98">
        <f t="shared" si="5"/>
        <v>0</v>
      </c>
      <c r="V44" s="74"/>
      <c r="W44" s="74"/>
      <c r="X44" s="74"/>
      <c r="Y44" s="74"/>
    </row>
    <row r="45" spans="1:25" s="14" customFormat="1" x14ac:dyDescent="0.2">
      <c r="A45" s="14">
        <f t="shared" si="0"/>
        <v>38</v>
      </c>
      <c r="B45" s="97">
        <v>368.03</v>
      </c>
      <c r="C45" s="14" t="s">
        <v>499</v>
      </c>
      <c r="D45" s="74" t="s">
        <v>500</v>
      </c>
      <c r="E45" s="98">
        <v>7577844.9767851122</v>
      </c>
      <c r="F45" s="98">
        <v>0</v>
      </c>
      <c r="G45" s="98">
        <v>0</v>
      </c>
      <c r="H45" s="98">
        <v>0</v>
      </c>
      <c r="I45" s="98">
        <v>0</v>
      </c>
      <c r="J45" s="98">
        <v>2651379.6547454726</v>
      </c>
      <c r="K45" s="98">
        <v>4867465.4686576258</v>
      </c>
      <c r="L45" s="98">
        <v>0</v>
      </c>
      <c r="M45" s="98">
        <v>0</v>
      </c>
      <c r="N45" s="98">
        <v>0</v>
      </c>
      <c r="O45" s="98">
        <v>58999.853382014429</v>
      </c>
      <c r="P45" s="74"/>
      <c r="Q45" s="98">
        <v>2507661.8666352136</v>
      </c>
      <c r="R45" s="98">
        <v>0</v>
      </c>
      <c r="S45" s="98">
        <v>143717.78811025881</v>
      </c>
      <c r="T45" s="98">
        <f t="shared" si="4"/>
        <v>2651379.6547454726</v>
      </c>
      <c r="U45" s="98">
        <f t="shared" si="5"/>
        <v>2507661.8666352136</v>
      </c>
      <c r="V45" s="74"/>
      <c r="W45" s="74"/>
      <c r="X45" s="74"/>
      <c r="Y45" s="74"/>
    </row>
    <row r="46" spans="1:25" s="14" customFormat="1" x14ac:dyDescent="0.2">
      <c r="A46" s="14">
        <f t="shared" si="0"/>
        <v>39</v>
      </c>
      <c r="B46" s="97" t="s">
        <v>501</v>
      </c>
      <c r="C46" s="14" t="s">
        <v>502</v>
      </c>
      <c r="D46" s="74" t="s">
        <v>503</v>
      </c>
      <c r="E46" s="98">
        <v>40889975.452172115</v>
      </c>
      <c r="F46" s="98">
        <v>35287388.224718876</v>
      </c>
      <c r="G46" s="98">
        <v>5391540.3962266576</v>
      </c>
      <c r="H46" s="98">
        <v>206571.28579529174</v>
      </c>
      <c r="I46" s="98">
        <v>4475.5454312894217</v>
      </c>
      <c r="J46" s="98">
        <v>0</v>
      </c>
      <c r="K46" s="98">
        <v>0</v>
      </c>
      <c r="L46" s="98">
        <v>0</v>
      </c>
      <c r="M46" s="98">
        <v>0</v>
      </c>
      <c r="N46" s="98">
        <v>0</v>
      </c>
      <c r="O46" s="98">
        <v>0</v>
      </c>
      <c r="P46" s="74"/>
      <c r="Q46" s="98">
        <v>0</v>
      </c>
      <c r="R46" s="98">
        <v>0</v>
      </c>
      <c r="S46" s="98">
        <v>0</v>
      </c>
      <c r="T46" s="98">
        <f t="shared" si="4"/>
        <v>0</v>
      </c>
      <c r="U46" s="98">
        <f t="shared" si="5"/>
        <v>0</v>
      </c>
      <c r="V46" s="74"/>
      <c r="W46" s="74"/>
      <c r="X46" s="74"/>
      <c r="Y46" s="74"/>
    </row>
    <row r="47" spans="1:25" s="14" customFormat="1" x14ac:dyDescent="0.2">
      <c r="A47" s="14">
        <f t="shared" si="0"/>
        <v>40</v>
      </c>
      <c r="B47" s="97" t="s">
        <v>504</v>
      </c>
      <c r="C47" s="14" t="s">
        <v>505</v>
      </c>
      <c r="D47" s="74" t="s">
        <v>339</v>
      </c>
      <c r="E47" s="98">
        <v>148141818.81021541</v>
      </c>
      <c r="F47" s="98">
        <v>148141818.81021541</v>
      </c>
      <c r="G47" s="98">
        <v>0</v>
      </c>
      <c r="H47" s="98">
        <v>0</v>
      </c>
      <c r="I47" s="98">
        <v>0</v>
      </c>
      <c r="J47" s="98">
        <v>0</v>
      </c>
      <c r="K47" s="98">
        <v>0</v>
      </c>
      <c r="L47" s="98">
        <v>0</v>
      </c>
      <c r="M47" s="98">
        <v>0</v>
      </c>
      <c r="N47" s="98">
        <v>0</v>
      </c>
      <c r="O47" s="98">
        <v>0</v>
      </c>
      <c r="P47" s="74"/>
      <c r="Q47" s="98">
        <v>0</v>
      </c>
      <c r="R47" s="98">
        <v>0</v>
      </c>
      <c r="S47" s="98">
        <v>0</v>
      </c>
      <c r="T47" s="98">
        <f t="shared" si="4"/>
        <v>0</v>
      </c>
      <c r="U47" s="98">
        <f t="shared" si="5"/>
        <v>0</v>
      </c>
      <c r="V47" s="74"/>
      <c r="W47" s="74"/>
      <c r="X47" s="74"/>
      <c r="Y47" s="74"/>
    </row>
    <row r="48" spans="1:25" s="14" customFormat="1" x14ac:dyDescent="0.2">
      <c r="A48" s="14">
        <f t="shared" si="0"/>
        <v>41</v>
      </c>
      <c r="B48" s="97">
        <v>370.01</v>
      </c>
      <c r="C48" s="14" t="s">
        <v>506</v>
      </c>
      <c r="D48" s="74" t="s">
        <v>413</v>
      </c>
      <c r="E48" s="98">
        <v>206004867.61000001</v>
      </c>
      <c r="F48" s="98">
        <v>133743709.16973646</v>
      </c>
      <c r="G48" s="98">
        <v>37539912.318899311</v>
      </c>
      <c r="H48" s="98">
        <v>11094399.206289688</v>
      </c>
      <c r="I48" s="98">
        <v>1246915.3080466578</v>
      </c>
      <c r="J48" s="98">
        <v>19810545.101352308</v>
      </c>
      <c r="K48" s="98">
        <v>976230.67360039195</v>
      </c>
      <c r="L48" s="98">
        <v>606236.92276222247</v>
      </c>
      <c r="M48" s="98">
        <v>976036.22035163466</v>
      </c>
      <c r="N48" s="98">
        <v>0</v>
      </c>
      <c r="O48" s="98">
        <v>10882.688961321393</v>
      </c>
      <c r="P48" s="74"/>
      <c r="Q48" s="98">
        <v>14935303.536787456</v>
      </c>
      <c r="R48" s="98">
        <v>48424.959903730029</v>
      </c>
      <c r="S48" s="98">
        <v>4826816.6046611229</v>
      </c>
      <c r="T48" s="98">
        <f t="shared" si="4"/>
        <v>19810545.101352308</v>
      </c>
      <c r="U48" s="98">
        <f t="shared" si="5"/>
        <v>14983728.496691186</v>
      </c>
      <c r="V48" s="74"/>
      <c r="W48" s="74"/>
      <c r="X48" s="74"/>
      <c r="Y48" s="74"/>
    </row>
    <row r="49" spans="1:25" s="14" customFormat="1" x14ac:dyDescent="0.2">
      <c r="A49" s="14">
        <f t="shared" si="0"/>
        <v>42</v>
      </c>
      <c r="B49" s="97">
        <v>373</v>
      </c>
      <c r="C49" s="14" t="s">
        <v>507</v>
      </c>
      <c r="D49" s="74" t="s">
        <v>273</v>
      </c>
      <c r="E49" s="98">
        <v>57279322.090746596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  <c r="N49" s="98">
        <v>57279322.090746596</v>
      </c>
      <c r="O49" s="98">
        <v>0</v>
      </c>
      <c r="P49" s="74"/>
      <c r="Q49" s="98">
        <v>0</v>
      </c>
      <c r="R49" s="98">
        <v>0</v>
      </c>
      <c r="S49" s="98">
        <v>0</v>
      </c>
      <c r="T49" s="98">
        <f t="shared" si="4"/>
        <v>0</v>
      </c>
      <c r="U49" s="98">
        <f t="shared" si="5"/>
        <v>0</v>
      </c>
      <c r="V49" s="74"/>
      <c r="W49" s="74"/>
      <c r="X49" s="74"/>
      <c r="Y49" s="74"/>
    </row>
    <row r="50" spans="1:25" s="14" customFormat="1" x14ac:dyDescent="0.2">
      <c r="A50" s="14">
        <f t="shared" si="0"/>
        <v>43</v>
      </c>
      <c r="B50" s="97">
        <v>374</v>
      </c>
      <c r="C50" s="14" t="s">
        <v>508</v>
      </c>
      <c r="D50" s="74" t="s">
        <v>265</v>
      </c>
      <c r="E50" s="98">
        <v>27779665.853999924</v>
      </c>
      <c r="F50" s="98">
        <v>18634154.181036007</v>
      </c>
      <c r="G50" s="98">
        <v>3348784.1011199537</v>
      </c>
      <c r="H50" s="98">
        <v>2946544.7304464811</v>
      </c>
      <c r="I50" s="98">
        <v>1244932.3280795428</v>
      </c>
      <c r="J50" s="98">
        <v>1269430.220733925</v>
      </c>
      <c r="K50" s="98">
        <v>249731.36254017998</v>
      </c>
      <c r="L50" s="98">
        <v>60436.289697138964</v>
      </c>
      <c r="M50" s="98">
        <v>363.18766552392373</v>
      </c>
      <c r="N50" s="98">
        <v>13982.453904374266</v>
      </c>
      <c r="O50" s="98">
        <v>11306.998776795186</v>
      </c>
      <c r="P50" s="74"/>
      <c r="Q50" s="98">
        <v>966487.82899679535</v>
      </c>
      <c r="R50" s="98">
        <v>15822.5635891976</v>
      </c>
      <c r="S50" s="98">
        <v>287119.82814793213</v>
      </c>
      <c r="T50" s="98">
        <f t="shared" si="4"/>
        <v>1269430.220733925</v>
      </c>
      <c r="U50" s="98">
        <f t="shared" si="5"/>
        <v>982310.39258599293</v>
      </c>
      <c r="V50" s="74"/>
      <c r="W50" s="74"/>
      <c r="X50" s="74"/>
      <c r="Y50" s="74"/>
    </row>
    <row r="51" spans="1:25" s="14" customFormat="1" x14ac:dyDescent="0.2">
      <c r="A51" s="26">
        <f>+A50+1</f>
        <v>44</v>
      </c>
      <c r="B51" s="68"/>
      <c r="C51" s="26" t="s">
        <v>292</v>
      </c>
      <c r="D51" s="31"/>
      <c r="E51" s="69">
        <f t="shared" ref="E51:N51" si="6">SUM(E30:E50)</f>
        <v>4089276603.8939037</v>
      </c>
      <c r="F51" s="69">
        <f t="shared" si="6"/>
        <v>2719010911.8526211</v>
      </c>
      <c r="G51" s="69">
        <f t="shared" si="6"/>
        <v>484732400.36369371</v>
      </c>
      <c r="H51" s="69">
        <f t="shared" si="6"/>
        <v>384848541.8545351</v>
      </c>
      <c r="I51" s="69">
        <f t="shared" si="6"/>
        <v>163880467.67138571</v>
      </c>
      <c r="J51" s="69">
        <f t="shared" si="6"/>
        <v>181780577.40452793</v>
      </c>
      <c r="K51" s="69">
        <f t="shared" si="6"/>
        <v>49168400.068016969</v>
      </c>
      <c r="L51" s="69">
        <f t="shared" si="6"/>
        <v>18738235.52942922</v>
      </c>
      <c r="M51" s="69">
        <f>SUM(M30:M50)</f>
        <v>6474141.7221868522</v>
      </c>
      <c r="N51" s="69">
        <f t="shared" si="6"/>
        <v>79388111.802415997</v>
      </c>
      <c r="O51" s="69">
        <f>SUM(O30:O50)</f>
        <v>1254815.6250899525</v>
      </c>
      <c r="P51" s="74"/>
      <c r="Q51" s="69">
        <f>SUM(Q30:Q50)</f>
        <v>144410351.02438688</v>
      </c>
      <c r="R51" s="69">
        <f>SUM(R30:R50)</f>
        <v>1646782.449539193</v>
      </c>
      <c r="S51" s="69">
        <f>SUM(S30:S50)</f>
        <v>35723443.930601932</v>
      </c>
      <c r="T51" s="69">
        <f>SUM(T30:T50)</f>
        <v>181780577.40452793</v>
      </c>
      <c r="U51" s="69">
        <f>SUM(U30:U50)</f>
        <v>146057133.47392607</v>
      </c>
      <c r="V51" s="74"/>
      <c r="W51" s="74"/>
      <c r="X51" s="74"/>
      <c r="Y51" s="74"/>
    </row>
    <row r="52" spans="1:25" s="14" customFormat="1" x14ac:dyDescent="0.2">
      <c r="A52" s="14">
        <f t="shared" si="0"/>
        <v>45</v>
      </c>
      <c r="B52" s="97"/>
      <c r="D52" s="74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74"/>
      <c r="Q52" s="98"/>
      <c r="R52" s="98"/>
      <c r="S52" s="98"/>
      <c r="T52" s="98"/>
      <c r="U52" s="98"/>
      <c r="V52" s="74"/>
      <c r="W52" s="74"/>
      <c r="X52" s="74"/>
      <c r="Y52" s="74"/>
    </row>
    <row r="53" spans="1:25" s="14" customFormat="1" x14ac:dyDescent="0.2">
      <c r="A53" s="14">
        <f t="shared" si="0"/>
        <v>46</v>
      </c>
      <c r="B53" s="97"/>
      <c r="C53" s="13" t="s">
        <v>95</v>
      </c>
      <c r="D53" s="74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74"/>
      <c r="Q53" s="98"/>
      <c r="R53" s="98"/>
      <c r="S53" s="98"/>
      <c r="T53" s="98"/>
      <c r="U53" s="98"/>
      <c r="V53" s="74"/>
      <c r="W53" s="74"/>
      <c r="X53" s="74"/>
      <c r="Y53" s="74"/>
    </row>
    <row r="54" spans="1:25" s="14" customFormat="1" x14ac:dyDescent="0.2">
      <c r="A54" s="14">
        <f t="shared" si="0"/>
        <v>47</v>
      </c>
      <c r="B54" s="97">
        <v>389</v>
      </c>
      <c r="C54" s="14" t="s">
        <v>509</v>
      </c>
      <c r="D54" s="74" t="s">
        <v>356</v>
      </c>
      <c r="E54" s="98">
        <v>36039223.299999997</v>
      </c>
      <c r="F54" s="98">
        <v>21996076.861825421</v>
      </c>
      <c r="G54" s="98">
        <v>4353077.6291101836</v>
      </c>
      <c r="H54" s="98">
        <v>3933557.2241999614</v>
      </c>
      <c r="I54" s="98">
        <v>2238489.1369467964</v>
      </c>
      <c r="J54" s="98">
        <v>1892311.5588234565</v>
      </c>
      <c r="K54" s="98">
        <v>218371.21091309155</v>
      </c>
      <c r="L54" s="98">
        <v>560298.23930373671</v>
      </c>
      <c r="M54" s="98">
        <v>335535.40604806098</v>
      </c>
      <c r="N54" s="98">
        <v>501256.47979239258</v>
      </c>
      <c r="O54" s="98">
        <v>10249.553036894735</v>
      </c>
      <c r="P54" s="74"/>
      <c r="Q54" s="98">
        <v>1672847.8005415681</v>
      </c>
      <c r="R54" s="98">
        <v>8762.2334542621647</v>
      </c>
      <c r="S54" s="98">
        <v>210701.5248276263</v>
      </c>
      <c r="T54" s="98">
        <f t="shared" ref="T54:T64" si="7">SUM(Q54:S54)</f>
        <v>1892311.5588234565</v>
      </c>
      <c r="U54" s="98">
        <f t="shared" ref="U54:U64" si="8">SUM(Q54:R54)</f>
        <v>1681610.0339958302</v>
      </c>
      <c r="V54" s="74"/>
      <c r="W54" s="74"/>
      <c r="X54" s="74"/>
      <c r="Y54" s="74"/>
    </row>
    <row r="55" spans="1:25" s="14" customFormat="1" x14ac:dyDescent="0.2">
      <c r="A55" s="14">
        <f t="shared" si="0"/>
        <v>48</v>
      </c>
      <c r="B55" s="97">
        <v>390</v>
      </c>
      <c r="C55" s="14" t="s">
        <v>510</v>
      </c>
      <c r="D55" s="74" t="s">
        <v>356</v>
      </c>
      <c r="E55" s="98">
        <v>202454183.79999998</v>
      </c>
      <c r="F55" s="98">
        <v>123565309.68476591</v>
      </c>
      <c r="G55" s="98">
        <v>24453878.239366539</v>
      </c>
      <c r="H55" s="98">
        <v>22097177.584179427</v>
      </c>
      <c r="I55" s="98">
        <v>12574951.668443147</v>
      </c>
      <c r="J55" s="98">
        <v>10630262.171518791</v>
      </c>
      <c r="K55" s="98">
        <v>1226723.586765745</v>
      </c>
      <c r="L55" s="98">
        <v>3147535.1668529194</v>
      </c>
      <c r="M55" s="98">
        <v>1884905.959320765</v>
      </c>
      <c r="N55" s="98">
        <v>2815861.7805403713</v>
      </c>
      <c r="O55" s="98">
        <v>57577.958246379152</v>
      </c>
      <c r="P55" s="74"/>
      <c r="Q55" s="98">
        <v>9397401.0832877308</v>
      </c>
      <c r="R55" s="98">
        <v>49222.781730917639</v>
      </c>
      <c r="S55" s="98">
        <v>1183638.3065001434</v>
      </c>
      <c r="T55" s="98">
        <f t="shared" si="7"/>
        <v>10630262.171518791</v>
      </c>
      <c r="U55" s="98">
        <f t="shared" si="8"/>
        <v>9446623.865018649</v>
      </c>
      <c r="V55" s="74"/>
      <c r="W55" s="74"/>
      <c r="X55" s="74"/>
      <c r="Y55" s="74"/>
    </row>
    <row r="56" spans="1:25" s="14" customFormat="1" x14ac:dyDescent="0.2">
      <c r="A56" s="14">
        <f t="shared" si="0"/>
        <v>49</v>
      </c>
      <c r="B56" s="97">
        <v>391</v>
      </c>
      <c r="C56" s="14" t="s">
        <v>511</v>
      </c>
      <c r="D56" s="74" t="s">
        <v>356</v>
      </c>
      <c r="E56" s="98">
        <v>109384337.50000001</v>
      </c>
      <c r="F56" s="98">
        <v>66761324.879325397</v>
      </c>
      <c r="G56" s="98">
        <v>13212230.146654915</v>
      </c>
      <c r="H56" s="98">
        <v>11938924.082957467</v>
      </c>
      <c r="I56" s="98">
        <v>6794143.4033588674</v>
      </c>
      <c r="J56" s="98">
        <v>5743443.5942878965</v>
      </c>
      <c r="K56" s="98">
        <v>662788.70762459782</v>
      </c>
      <c r="L56" s="98">
        <v>1700587.473777653</v>
      </c>
      <c r="M56" s="98">
        <v>1018399.2533035708</v>
      </c>
      <c r="N56" s="98">
        <v>1521387.0594062721</v>
      </c>
      <c r="O56" s="98">
        <v>31108.899303383263</v>
      </c>
      <c r="P56" s="74"/>
      <c r="Q56" s="98">
        <v>5077338.8448849181</v>
      </c>
      <c r="R56" s="98">
        <v>26594.665857152468</v>
      </c>
      <c r="S56" s="98">
        <v>639510.08354582684</v>
      </c>
      <c r="T56" s="98">
        <f t="shared" si="7"/>
        <v>5743443.5942878965</v>
      </c>
      <c r="U56" s="98">
        <f t="shared" si="8"/>
        <v>5103933.5107420702</v>
      </c>
      <c r="V56" s="74"/>
      <c r="W56" s="74"/>
      <c r="X56" s="74"/>
      <c r="Y56" s="74"/>
    </row>
    <row r="57" spans="1:25" s="14" customFormat="1" x14ac:dyDescent="0.2">
      <c r="A57" s="14">
        <f t="shared" si="0"/>
        <v>50</v>
      </c>
      <c r="B57" s="97">
        <v>392</v>
      </c>
      <c r="C57" s="14" t="s">
        <v>512</v>
      </c>
      <c r="D57" s="74" t="s">
        <v>356</v>
      </c>
      <c r="E57" s="98">
        <v>15439498.100000001</v>
      </c>
      <c r="F57" s="98">
        <v>9423299.2783617415</v>
      </c>
      <c r="G57" s="98">
        <v>1864894.0690072866</v>
      </c>
      <c r="H57" s="98">
        <v>1685168.0954310854</v>
      </c>
      <c r="I57" s="98">
        <v>958987.05943423347</v>
      </c>
      <c r="J57" s="98">
        <v>810681.7528740362</v>
      </c>
      <c r="K57" s="98">
        <v>93552.013258492647</v>
      </c>
      <c r="L57" s="98">
        <v>240036.3495392919</v>
      </c>
      <c r="M57" s="98">
        <v>143746.11297912648</v>
      </c>
      <c r="N57" s="98">
        <v>214742.37674171338</v>
      </c>
      <c r="O57" s="98">
        <v>4390.9923729956063</v>
      </c>
      <c r="P57" s="74"/>
      <c r="Q57" s="98">
        <v>716661.68338457868</v>
      </c>
      <c r="R57" s="98">
        <v>3753.8124959767702</v>
      </c>
      <c r="S57" s="98">
        <v>90266.256993480754</v>
      </c>
      <c r="T57" s="98">
        <f t="shared" si="7"/>
        <v>810681.7528740362</v>
      </c>
      <c r="U57" s="98">
        <f t="shared" si="8"/>
        <v>720415.49588055548</v>
      </c>
      <c r="V57" s="74"/>
      <c r="W57" s="74"/>
      <c r="X57" s="74"/>
      <c r="Y57" s="74"/>
    </row>
    <row r="58" spans="1:25" s="14" customFormat="1" x14ac:dyDescent="0.2">
      <c r="A58" s="14">
        <f t="shared" si="0"/>
        <v>51</v>
      </c>
      <c r="B58" s="97">
        <v>393</v>
      </c>
      <c r="C58" s="14" t="s">
        <v>513</v>
      </c>
      <c r="D58" s="74" t="s">
        <v>260</v>
      </c>
      <c r="E58" s="98">
        <v>232556.7</v>
      </c>
      <c r="F58" s="98">
        <v>134496.0265481731</v>
      </c>
      <c r="G58" s="98">
        <v>29074.243170074285</v>
      </c>
      <c r="H58" s="98">
        <v>28585.212291661206</v>
      </c>
      <c r="I58" s="98">
        <v>16189.172893448425</v>
      </c>
      <c r="J58" s="98">
        <v>13589.753584429182</v>
      </c>
      <c r="K58" s="98">
        <v>1582.8200446158969</v>
      </c>
      <c r="L58" s="98">
        <v>4080.4280859893138</v>
      </c>
      <c r="M58" s="98">
        <v>2560.1904212753593</v>
      </c>
      <c r="N58" s="98">
        <v>2323.8852992214943</v>
      </c>
      <c r="O58" s="98">
        <v>74.967661111841252</v>
      </c>
      <c r="P58" s="74"/>
      <c r="Q58" s="98">
        <v>11997.742558486743</v>
      </c>
      <c r="R58" s="98">
        <v>63.777046658175365</v>
      </c>
      <c r="S58" s="98">
        <v>1528.2339792842627</v>
      </c>
      <c r="T58" s="98">
        <f t="shared" si="7"/>
        <v>13589.753584429182</v>
      </c>
      <c r="U58" s="98">
        <f t="shared" si="8"/>
        <v>12061.519605144918</v>
      </c>
      <c r="V58" s="74"/>
      <c r="W58" s="74"/>
      <c r="X58" s="74"/>
      <c r="Y58" s="74"/>
    </row>
    <row r="59" spans="1:25" s="14" customFormat="1" x14ac:dyDescent="0.2">
      <c r="A59" s="14">
        <f t="shared" si="0"/>
        <v>52</v>
      </c>
      <c r="B59" s="97">
        <v>394</v>
      </c>
      <c r="C59" s="14" t="s">
        <v>514</v>
      </c>
      <c r="D59" s="74" t="s">
        <v>515</v>
      </c>
      <c r="E59" s="98">
        <v>14232778.5</v>
      </c>
      <c r="F59" s="98">
        <v>8260230.7448238051</v>
      </c>
      <c r="G59" s="98">
        <v>1780231.5690167374</v>
      </c>
      <c r="H59" s="98">
        <v>1745481.0453963545</v>
      </c>
      <c r="I59" s="98">
        <v>985722.34152021946</v>
      </c>
      <c r="J59" s="98">
        <v>829768.76187847671</v>
      </c>
      <c r="K59" s="98">
        <v>95482.411038719831</v>
      </c>
      <c r="L59" s="98">
        <v>247267.51325907154</v>
      </c>
      <c r="M59" s="98">
        <v>139579.162689027</v>
      </c>
      <c r="N59" s="98">
        <v>144424.39526969715</v>
      </c>
      <c r="O59" s="98">
        <v>4590.5551078905164</v>
      </c>
      <c r="P59" s="74"/>
      <c r="Q59" s="98">
        <v>731718.51701992331</v>
      </c>
      <c r="R59" s="98">
        <v>3935.7935674968271</v>
      </c>
      <c r="S59" s="98">
        <v>94114.451291056597</v>
      </c>
      <c r="T59" s="98">
        <f t="shared" si="7"/>
        <v>829768.76187847671</v>
      </c>
      <c r="U59" s="98">
        <f t="shared" si="8"/>
        <v>735654.31058742013</v>
      </c>
      <c r="V59" s="74"/>
      <c r="W59" s="74"/>
      <c r="X59" s="74"/>
      <c r="Y59" s="74"/>
    </row>
    <row r="60" spans="1:25" s="14" customFormat="1" x14ac:dyDescent="0.2">
      <c r="A60" s="14">
        <f t="shared" si="0"/>
        <v>53</v>
      </c>
      <c r="B60" s="97">
        <v>395</v>
      </c>
      <c r="C60" s="14" t="s">
        <v>516</v>
      </c>
      <c r="D60" s="74" t="s">
        <v>515</v>
      </c>
      <c r="E60" s="98">
        <v>7820000</v>
      </c>
      <c r="F60" s="98">
        <v>4538467.6241903258</v>
      </c>
      <c r="G60" s="98">
        <v>978123.20129276824</v>
      </c>
      <c r="H60" s="98">
        <v>959030.01476482546</v>
      </c>
      <c r="I60" s="98">
        <v>541591.27894023759</v>
      </c>
      <c r="J60" s="98">
        <v>455904.7776855157</v>
      </c>
      <c r="K60" s="98">
        <v>52461.468034705169</v>
      </c>
      <c r="L60" s="98">
        <v>135857.65798898222</v>
      </c>
      <c r="M60" s="98">
        <v>76689.808123423776</v>
      </c>
      <c r="N60" s="98">
        <v>79351.953029342214</v>
      </c>
      <c r="O60" s="98">
        <v>2522.215949872601</v>
      </c>
      <c r="P60" s="74"/>
      <c r="Q60" s="98">
        <v>402032.44946837326</v>
      </c>
      <c r="R60" s="98">
        <v>2162.4664290128021</v>
      </c>
      <c r="S60" s="98">
        <v>51709.861788129609</v>
      </c>
      <c r="T60" s="98">
        <f t="shared" si="7"/>
        <v>455904.7776855157</v>
      </c>
      <c r="U60" s="98">
        <f t="shared" si="8"/>
        <v>404194.91589738609</v>
      </c>
      <c r="V60" s="74"/>
      <c r="W60" s="74"/>
      <c r="X60" s="74"/>
      <c r="Y60" s="74"/>
    </row>
    <row r="61" spans="1:25" s="14" customFormat="1" x14ac:dyDescent="0.2">
      <c r="A61" s="14">
        <f t="shared" si="0"/>
        <v>54</v>
      </c>
      <c r="B61" s="97">
        <v>396</v>
      </c>
      <c r="C61" s="14" t="s">
        <v>517</v>
      </c>
      <c r="D61" s="74" t="s">
        <v>515</v>
      </c>
      <c r="E61" s="98">
        <v>5307201.3</v>
      </c>
      <c r="F61" s="98">
        <v>3080122.925205986</v>
      </c>
      <c r="G61" s="98">
        <v>663823.1106727802</v>
      </c>
      <c r="H61" s="98">
        <v>650865.1331328518</v>
      </c>
      <c r="I61" s="98">
        <v>367561.88486704498</v>
      </c>
      <c r="J61" s="98">
        <v>309409.00624153193</v>
      </c>
      <c r="K61" s="98">
        <v>35604.03725750585</v>
      </c>
      <c r="L61" s="98">
        <v>92202.549756276436</v>
      </c>
      <c r="M61" s="98">
        <v>52047.090712197591</v>
      </c>
      <c r="N61" s="98">
        <v>53853.809242309973</v>
      </c>
      <c r="O61" s="98">
        <v>1711.7529115146551</v>
      </c>
      <c r="P61" s="74"/>
      <c r="Q61" s="98">
        <v>272847.46016121929</v>
      </c>
      <c r="R61" s="98">
        <v>1467.601616785563</v>
      </c>
      <c r="S61" s="98">
        <v>35093.944463527085</v>
      </c>
      <c r="T61" s="98">
        <f t="shared" si="7"/>
        <v>309409.00624153193</v>
      </c>
      <c r="U61" s="98">
        <f t="shared" si="8"/>
        <v>274315.06177800486</v>
      </c>
      <c r="V61" s="74"/>
      <c r="W61" s="74"/>
      <c r="X61" s="74"/>
      <c r="Y61" s="74"/>
    </row>
    <row r="62" spans="1:25" s="14" customFormat="1" x14ac:dyDescent="0.2">
      <c r="A62" s="14">
        <f t="shared" si="0"/>
        <v>55</v>
      </c>
      <c r="B62" s="97">
        <v>397</v>
      </c>
      <c r="C62" s="14" t="s">
        <v>518</v>
      </c>
      <c r="D62" s="74" t="s">
        <v>356</v>
      </c>
      <c r="E62" s="98">
        <v>146940395.59999999</v>
      </c>
      <c r="F62" s="98">
        <v>89683182.371042788</v>
      </c>
      <c r="G62" s="98">
        <v>17748522.035960764</v>
      </c>
      <c r="H62" s="98">
        <v>16038038.60665278</v>
      </c>
      <c r="I62" s="98">
        <v>9126847.063023828</v>
      </c>
      <c r="J62" s="98">
        <v>7715399.6005227827</v>
      </c>
      <c r="K62" s="98">
        <v>890350.82282754721</v>
      </c>
      <c r="L62" s="98">
        <v>2284467.7936573219</v>
      </c>
      <c r="M62" s="98">
        <v>1368056.8222042874</v>
      </c>
      <c r="N62" s="98">
        <v>2043740.6440376197</v>
      </c>
      <c r="O62" s="98">
        <v>41789.840070290695</v>
      </c>
      <c r="P62" s="74"/>
      <c r="Q62" s="98">
        <v>6820594.2049302682</v>
      </c>
      <c r="R62" s="98">
        <v>35725.688075770413</v>
      </c>
      <c r="S62" s="98">
        <v>859079.70751674415</v>
      </c>
      <c r="T62" s="98">
        <f t="shared" si="7"/>
        <v>7715399.6005227827</v>
      </c>
      <c r="U62" s="98">
        <f t="shared" si="8"/>
        <v>6856319.8930060389</v>
      </c>
      <c r="V62" s="74"/>
      <c r="W62" s="74"/>
      <c r="X62" s="74"/>
      <c r="Y62" s="74"/>
    </row>
    <row r="63" spans="1:25" s="14" customFormat="1" x14ac:dyDescent="0.2">
      <c r="A63" s="14">
        <f t="shared" si="0"/>
        <v>56</v>
      </c>
      <c r="B63" s="97">
        <v>398</v>
      </c>
      <c r="C63" s="14" t="s">
        <v>519</v>
      </c>
      <c r="D63" s="74" t="s">
        <v>356</v>
      </c>
      <c r="E63" s="98">
        <v>977290.20000000007</v>
      </c>
      <c r="F63" s="98">
        <v>596476.51606045419</v>
      </c>
      <c r="G63" s="98">
        <v>118044.16736052738</v>
      </c>
      <c r="H63" s="98">
        <v>106667.86279908053</v>
      </c>
      <c r="I63" s="98">
        <v>60702.01563818282</v>
      </c>
      <c r="J63" s="98">
        <v>51314.578185842533</v>
      </c>
      <c r="K63" s="98">
        <v>5921.6604811651823</v>
      </c>
      <c r="L63" s="98">
        <v>15193.83405659569</v>
      </c>
      <c r="M63" s="98">
        <v>9098.8493662623077</v>
      </c>
      <c r="N63" s="98">
        <v>13592.774775132388</v>
      </c>
      <c r="O63" s="98">
        <v>277.94127675713435</v>
      </c>
      <c r="P63" s="74"/>
      <c r="Q63" s="98">
        <v>45363.290655623801</v>
      </c>
      <c r="R63" s="98">
        <v>237.60902985283155</v>
      </c>
      <c r="S63" s="98">
        <v>5713.6785003659024</v>
      </c>
      <c r="T63" s="98">
        <f t="shared" si="7"/>
        <v>51314.578185842533</v>
      </c>
      <c r="U63" s="98">
        <f t="shared" si="8"/>
        <v>45600.89968547663</v>
      </c>
      <c r="V63" s="74"/>
      <c r="W63" s="74"/>
      <c r="X63" s="74"/>
      <c r="Y63" s="74"/>
    </row>
    <row r="64" spans="1:25" s="14" customFormat="1" x14ac:dyDescent="0.2">
      <c r="A64" s="14">
        <f t="shared" si="0"/>
        <v>57</v>
      </c>
      <c r="B64" s="97">
        <v>399</v>
      </c>
      <c r="C64" s="14" t="s">
        <v>520</v>
      </c>
      <c r="D64" s="74" t="s">
        <v>356</v>
      </c>
      <c r="E64" s="98">
        <v>1250391.3638000034</v>
      </c>
      <c r="F64" s="98">
        <v>763160.30222292815</v>
      </c>
      <c r="G64" s="98">
        <v>151031.29798555811</v>
      </c>
      <c r="H64" s="98">
        <v>136475.91517747127</v>
      </c>
      <c r="I64" s="98">
        <v>77665.033496945471</v>
      </c>
      <c r="J64" s="98">
        <v>65654.301455818902</v>
      </c>
      <c r="K64" s="98">
        <v>7576.4528540291494</v>
      </c>
      <c r="L64" s="98">
        <v>19439.710832440171</v>
      </c>
      <c r="M64" s="98">
        <v>11641.498777017841</v>
      </c>
      <c r="N64" s="98">
        <v>17391.23976573598</v>
      </c>
      <c r="O64" s="98">
        <v>355.61123205846883</v>
      </c>
      <c r="P64" s="74"/>
      <c r="Q64" s="98">
        <v>58039.942352170714</v>
      </c>
      <c r="R64" s="98">
        <v>304.00824533887459</v>
      </c>
      <c r="S64" s="98">
        <v>7310.3508583093117</v>
      </c>
      <c r="T64" s="98">
        <f t="shared" si="7"/>
        <v>65654.301455818902</v>
      </c>
      <c r="U64" s="98">
        <f t="shared" si="8"/>
        <v>58343.950597509589</v>
      </c>
      <c r="V64" s="74"/>
      <c r="W64" s="74"/>
      <c r="X64" s="74"/>
      <c r="Y64" s="74"/>
    </row>
    <row r="65" spans="1:25" s="14" customFormat="1" x14ac:dyDescent="0.2">
      <c r="A65" s="26">
        <f t="shared" si="0"/>
        <v>58</v>
      </c>
      <c r="B65" s="68"/>
      <c r="C65" s="26" t="s">
        <v>292</v>
      </c>
      <c r="D65" s="31"/>
      <c r="E65" s="69">
        <f t="shared" ref="E65:N65" si="9">SUM(E54:E64)</f>
        <v>540077856.36380005</v>
      </c>
      <c r="F65" s="69">
        <f t="shared" si="9"/>
        <v>328802147.21437293</v>
      </c>
      <c r="G65" s="69">
        <f t="shared" si="9"/>
        <v>65352929.709598139</v>
      </c>
      <c r="H65" s="69">
        <f t="shared" si="9"/>
        <v>59319970.776982963</v>
      </c>
      <c r="I65" s="69">
        <f t="shared" si="9"/>
        <v>33742850.058562957</v>
      </c>
      <c r="J65" s="69">
        <f t="shared" si="9"/>
        <v>28517739.857058574</v>
      </c>
      <c r="K65" s="69">
        <f t="shared" si="9"/>
        <v>3290415.191100216</v>
      </c>
      <c r="L65" s="69">
        <f t="shared" si="9"/>
        <v>8446966.7171102781</v>
      </c>
      <c r="M65" s="69">
        <f>SUM(M54:M64)</f>
        <v>5042260.1539450148</v>
      </c>
      <c r="N65" s="69">
        <f t="shared" si="9"/>
        <v>7407926.3978998093</v>
      </c>
      <c r="O65" s="69">
        <f>SUM(O54:O64)</f>
        <v>154650.28716914868</v>
      </c>
      <c r="P65" s="74"/>
      <c r="Q65" s="69">
        <f>SUM(Q54:Q64)</f>
        <v>25206843.019244865</v>
      </c>
      <c r="R65" s="69">
        <f>SUM(R54:R64)</f>
        <v>132230.4375492245</v>
      </c>
      <c r="S65" s="69">
        <f>SUM(S54:S64)</f>
        <v>3178666.4002644946</v>
      </c>
      <c r="T65" s="69">
        <f>SUM(T54:T64)</f>
        <v>28517739.857058574</v>
      </c>
      <c r="U65" s="69">
        <f>SUM(U54:U64)</f>
        <v>25339073.456794083</v>
      </c>
      <c r="V65" s="74"/>
      <c r="W65" s="74"/>
      <c r="X65" s="74"/>
      <c r="Y65" s="74"/>
    </row>
    <row r="66" spans="1:25" s="14" customFormat="1" x14ac:dyDescent="0.2">
      <c r="A66" s="14">
        <f t="shared" si="0"/>
        <v>59</v>
      </c>
      <c r="B66" s="97"/>
      <c r="D66" s="74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74"/>
      <c r="Q66" s="98"/>
      <c r="R66" s="98"/>
      <c r="S66" s="98"/>
      <c r="T66" s="98"/>
      <c r="U66" s="98"/>
      <c r="V66" s="74"/>
      <c r="W66" s="74"/>
      <c r="X66" s="74"/>
      <c r="Y66" s="74"/>
    </row>
    <row r="67" spans="1:25" s="14" customFormat="1" x14ac:dyDescent="0.2">
      <c r="A67" s="26">
        <f t="shared" si="0"/>
        <v>60</v>
      </c>
      <c r="B67" s="68"/>
      <c r="C67" s="26" t="s">
        <v>521</v>
      </c>
      <c r="D67" s="31"/>
      <c r="E67" s="69">
        <f t="shared" ref="E67:N67" si="10">SUM(E65,E51,E27,E20,E14)</f>
        <v>10754417110.815203</v>
      </c>
      <c r="F67" s="69">
        <f t="shared" si="10"/>
        <v>6245684259.173522</v>
      </c>
      <c r="G67" s="69">
        <f t="shared" si="10"/>
        <v>1341382223.4004421</v>
      </c>
      <c r="H67" s="69">
        <f t="shared" si="10"/>
        <v>1311277805.7557001</v>
      </c>
      <c r="I67" s="69">
        <f t="shared" si="10"/>
        <v>742981160.49841273</v>
      </c>
      <c r="J67" s="69">
        <f t="shared" si="10"/>
        <v>623895980.76630425</v>
      </c>
      <c r="K67" s="69">
        <f t="shared" si="10"/>
        <v>72317352.818607792</v>
      </c>
      <c r="L67" s="69">
        <f t="shared" si="10"/>
        <v>187221782.67197731</v>
      </c>
      <c r="M67" s="69">
        <f>SUM(M65,M51,M27,M20,M14)</f>
        <v>115664428.03656586</v>
      </c>
      <c r="N67" s="69">
        <f t="shared" si="10"/>
        <v>110555105.84794153</v>
      </c>
      <c r="O67" s="69">
        <f>SUM(O65,O51,O27,O20,O14)</f>
        <v>3437011.8457281594</v>
      </c>
      <c r="P67" s="74"/>
      <c r="Q67" s="69">
        <f>SUM(Q65,Q51,Q27,Q20,Q14)</f>
        <v>550887425.01838303</v>
      </c>
      <c r="R67" s="69">
        <f>SUM(R65,R51,R27,R20,R14)</f>
        <v>2923828.3543237499</v>
      </c>
      <c r="S67" s="69">
        <f>SUM(S65,S51,S27,S20,S14)</f>
        <v>70084727.393597469</v>
      </c>
      <c r="T67" s="69">
        <f>SUM(T65,T51,T27,T20,T14)</f>
        <v>623895980.76630425</v>
      </c>
      <c r="U67" s="69">
        <f>SUM(U65,U51,U27,U20,U14)</f>
        <v>553811253.37270677</v>
      </c>
      <c r="V67" s="74"/>
      <c r="W67" s="74"/>
      <c r="X67" s="74"/>
      <c r="Y67" s="74"/>
    </row>
    <row r="68" spans="1:25" s="14" customFormat="1" x14ac:dyDescent="0.2">
      <c r="A68" s="14">
        <f t="shared" si="0"/>
        <v>61</v>
      </c>
      <c r="B68" s="97"/>
      <c r="D68" s="74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74"/>
      <c r="Q68" s="98"/>
      <c r="R68" s="98"/>
      <c r="S68" s="98"/>
      <c r="T68" s="98"/>
      <c r="U68" s="98"/>
      <c r="V68" s="74"/>
      <c r="W68" s="74"/>
      <c r="X68" s="74"/>
      <c r="Y68" s="74"/>
    </row>
    <row r="69" spans="1:25" s="14" customFormat="1" x14ac:dyDescent="0.2">
      <c r="A69" s="14">
        <f t="shared" si="0"/>
        <v>62</v>
      </c>
      <c r="B69" s="97"/>
      <c r="C69" s="13" t="s">
        <v>159</v>
      </c>
      <c r="D69" s="74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74"/>
      <c r="Q69" s="98"/>
      <c r="R69" s="98"/>
      <c r="S69" s="98"/>
      <c r="T69" s="98"/>
      <c r="U69" s="98"/>
      <c r="V69" s="74"/>
      <c r="W69" s="74"/>
      <c r="X69" s="74"/>
      <c r="Y69" s="74"/>
    </row>
    <row r="70" spans="1:25" s="14" customFormat="1" x14ac:dyDescent="0.2">
      <c r="A70" s="14">
        <f t="shared" si="0"/>
        <v>63</v>
      </c>
      <c r="B70" s="97"/>
      <c r="C70" s="13" t="s">
        <v>158</v>
      </c>
      <c r="D70" s="74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74"/>
      <c r="Q70" s="98"/>
      <c r="R70" s="98"/>
      <c r="S70" s="98"/>
      <c r="T70" s="98"/>
      <c r="U70" s="98"/>
      <c r="V70" s="74"/>
      <c r="W70" s="74"/>
      <c r="X70" s="74"/>
      <c r="Y70" s="74"/>
    </row>
    <row r="71" spans="1:25" s="14" customFormat="1" x14ac:dyDescent="0.2">
      <c r="A71" s="14">
        <f t="shared" si="0"/>
        <v>64</v>
      </c>
      <c r="B71" s="97">
        <v>111</v>
      </c>
      <c r="C71" s="14" t="s">
        <v>522</v>
      </c>
      <c r="D71" s="74" t="s">
        <v>232</v>
      </c>
      <c r="E71" s="98">
        <v>-11848339.393578827</v>
      </c>
      <c r="F71" s="98">
        <v>-6245227.8389040008</v>
      </c>
      <c r="G71" s="98">
        <v>-1569148.6854714756</v>
      </c>
      <c r="H71" s="98">
        <v>-1737780.3541184189</v>
      </c>
      <c r="I71" s="98">
        <v>-1099255.389088202</v>
      </c>
      <c r="J71" s="98">
        <v>-828784.94513465418</v>
      </c>
      <c r="K71" s="98">
        <v>0</v>
      </c>
      <c r="L71" s="98">
        <v>-325071.32588677364</v>
      </c>
      <c r="M71" s="98">
        <v>0</v>
      </c>
      <c r="N71" s="98">
        <v>-39035.513581288324</v>
      </c>
      <c r="O71" s="98">
        <v>-4035.3413940175615</v>
      </c>
      <c r="P71" s="74"/>
      <c r="Q71" s="98">
        <v>-765839.84137411951</v>
      </c>
      <c r="R71" s="98">
        <v>-2203.1856011708387</v>
      </c>
      <c r="S71" s="98">
        <v>-60741.918159363835</v>
      </c>
      <c r="T71" s="98">
        <f>SUM(Q71:S71)</f>
        <v>-828784.94513465418</v>
      </c>
      <c r="U71" s="98">
        <f>SUM(Q71:R71)</f>
        <v>-768043.02697529038</v>
      </c>
      <c r="V71" s="74"/>
      <c r="W71" s="74"/>
      <c r="X71" s="74"/>
      <c r="Y71" s="74"/>
    </row>
    <row r="72" spans="1:25" s="14" customFormat="1" x14ac:dyDescent="0.2">
      <c r="A72" s="14">
        <f t="shared" ref="A72:A135" si="11">+A71+1</f>
        <v>65</v>
      </c>
      <c r="B72" s="97">
        <v>111.01</v>
      </c>
      <c r="C72" s="14" t="s">
        <v>523</v>
      </c>
      <c r="D72" s="74" t="s">
        <v>279</v>
      </c>
      <c r="E72" s="98">
        <v>-15836820.280835493</v>
      </c>
      <c r="F72" s="98">
        <v>-10530098.920585955</v>
      </c>
      <c r="G72" s="98">
        <v>-1877256.212394133</v>
      </c>
      <c r="H72" s="98">
        <v>-1490429.1841956307</v>
      </c>
      <c r="I72" s="98">
        <v>-634671.05932126439</v>
      </c>
      <c r="J72" s="98">
        <v>-703994.03458321455</v>
      </c>
      <c r="K72" s="98">
        <v>-190417.81488489575</v>
      </c>
      <c r="L72" s="98">
        <v>-72568.842170510252</v>
      </c>
      <c r="M72" s="98">
        <v>-25072.850007089448</v>
      </c>
      <c r="N72" s="98">
        <v>-307451.75267736835</v>
      </c>
      <c r="O72" s="98">
        <v>-4859.610015426927</v>
      </c>
      <c r="P72" s="74"/>
      <c r="Q72" s="98">
        <v>-559267.81125244685</v>
      </c>
      <c r="R72" s="98">
        <v>-6377.6066578994569</v>
      </c>
      <c r="S72" s="98">
        <v>-138348.61667286826</v>
      </c>
      <c r="T72" s="98">
        <f>SUM(Q72:S72)</f>
        <v>-703994.03458321455</v>
      </c>
      <c r="U72" s="98">
        <f>SUM(Q72:R72)</f>
        <v>-565645.4179103463</v>
      </c>
      <c r="V72" s="74"/>
      <c r="W72" s="74"/>
      <c r="X72" s="74"/>
      <c r="Y72" s="74"/>
    </row>
    <row r="73" spans="1:25" s="14" customFormat="1" x14ac:dyDescent="0.2">
      <c r="A73" s="14">
        <f t="shared" si="11"/>
        <v>66</v>
      </c>
      <c r="B73" s="97">
        <v>111.02</v>
      </c>
      <c r="C73" s="14" t="s">
        <v>524</v>
      </c>
      <c r="D73" s="74" t="s">
        <v>267</v>
      </c>
      <c r="E73" s="98">
        <v>-157655053.77670544</v>
      </c>
      <c r="F73" s="98">
        <v>-95981198.988577381</v>
      </c>
      <c r="G73" s="98">
        <v>-19077285.851341456</v>
      </c>
      <c r="H73" s="98">
        <v>-17316194.457301013</v>
      </c>
      <c r="I73" s="98">
        <v>-9849933.2603235748</v>
      </c>
      <c r="J73" s="98">
        <v>-8324662.3755782256</v>
      </c>
      <c r="K73" s="98">
        <v>-960510.7444937703</v>
      </c>
      <c r="L73" s="98">
        <v>-2465768.5486349873</v>
      </c>
      <c r="M73" s="98">
        <v>-1471894.8136078834</v>
      </c>
      <c r="N73" s="98">
        <v>-2162460.5061535183</v>
      </c>
      <c r="O73" s="98">
        <v>-45144.230693679114</v>
      </c>
      <c r="P73" s="74"/>
      <c r="Q73" s="98">
        <v>-7358172.7984476332</v>
      </c>
      <c r="R73" s="98">
        <v>-38599.613920659889</v>
      </c>
      <c r="S73" s="98">
        <v>-927889.96320993255</v>
      </c>
      <c r="T73" s="98">
        <f>SUM(Q73:S73)</f>
        <v>-8324662.3755782256</v>
      </c>
      <c r="U73" s="98">
        <f>SUM(Q73:R73)</f>
        <v>-7396772.4123682929</v>
      </c>
      <c r="V73" s="74"/>
      <c r="W73" s="74"/>
      <c r="X73" s="74"/>
      <c r="Y73" s="74"/>
    </row>
    <row r="74" spans="1:25" s="14" customFormat="1" x14ac:dyDescent="0.2">
      <c r="A74" s="26">
        <f>+A73+1</f>
        <v>67</v>
      </c>
      <c r="B74" s="68"/>
      <c r="C74" s="26" t="s">
        <v>292</v>
      </c>
      <c r="D74" s="31"/>
      <c r="E74" s="69">
        <f t="shared" ref="E74:N74" si="12">SUM(E71:E73)</f>
        <v>-185340213.45111978</v>
      </c>
      <c r="F74" s="69">
        <f t="shared" si="12"/>
        <v>-112756525.74806733</v>
      </c>
      <c r="G74" s="69">
        <f t="shared" si="12"/>
        <v>-22523690.749207065</v>
      </c>
      <c r="H74" s="69">
        <f t="shared" si="12"/>
        <v>-20544403.995615061</v>
      </c>
      <c r="I74" s="69">
        <f t="shared" si="12"/>
        <v>-11583859.708733041</v>
      </c>
      <c r="J74" s="69">
        <f t="shared" si="12"/>
        <v>-9857441.355296094</v>
      </c>
      <c r="K74" s="69">
        <f t="shared" si="12"/>
        <v>-1150928.5593786661</v>
      </c>
      <c r="L74" s="69">
        <f t="shared" si="12"/>
        <v>-2863408.7166922712</v>
      </c>
      <c r="M74" s="69">
        <f>SUM(M71:M73)</f>
        <v>-1496967.663614973</v>
      </c>
      <c r="N74" s="69">
        <f t="shared" si="12"/>
        <v>-2508947.7724121748</v>
      </c>
      <c r="O74" s="69">
        <f>SUM(O71:O73)</f>
        <v>-54039.182103123603</v>
      </c>
      <c r="P74" s="74"/>
      <c r="Q74" s="69">
        <f>SUM(Q71:Q73)</f>
        <v>-8683280.4510741998</v>
      </c>
      <c r="R74" s="69">
        <f>SUM(R71:R73)</f>
        <v>-47180.406179730184</v>
      </c>
      <c r="S74" s="69">
        <f>SUM(S71:S73)</f>
        <v>-1126980.4980421646</v>
      </c>
      <c r="T74" s="69">
        <f>SUM(T71:T73)</f>
        <v>-9857441.355296094</v>
      </c>
      <c r="U74" s="69">
        <f>SUM(U71:U73)</f>
        <v>-8730460.8572539296</v>
      </c>
      <c r="V74" s="74"/>
      <c r="W74" s="74"/>
      <c r="X74" s="74"/>
      <c r="Y74" s="74"/>
    </row>
    <row r="75" spans="1:25" s="14" customFormat="1" x14ac:dyDescent="0.2">
      <c r="A75" s="14">
        <f t="shared" si="11"/>
        <v>68</v>
      </c>
      <c r="B75" s="97"/>
      <c r="D75" s="74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74"/>
      <c r="Q75" s="98"/>
      <c r="R75" s="98"/>
      <c r="S75" s="98"/>
      <c r="T75" s="98"/>
      <c r="U75" s="98"/>
      <c r="V75" s="74"/>
      <c r="W75" s="74"/>
      <c r="X75" s="74"/>
      <c r="Y75" s="74"/>
    </row>
    <row r="76" spans="1:25" s="14" customFormat="1" x14ac:dyDescent="0.2">
      <c r="A76" s="14">
        <f t="shared" si="11"/>
        <v>69</v>
      </c>
      <c r="B76" s="97"/>
      <c r="C76" s="13" t="s">
        <v>462</v>
      </c>
      <c r="D76" s="74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74"/>
      <c r="Q76" s="98"/>
      <c r="R76" s="98"/>
      <c r="S76" s="98"/>
      <c r="T76" s="98"/>
      <c r="U76" s="98"/>
      <c r="V76" s="74"/>
      <c r="W76" s="74"/>
      <c r="X76" s="74"/>
      <c r="Y76" s="74"/>
    </row>
    <row r="77" spans="1:25" s="14" customFormat="1" x14ac:dyDescent="0.2">
      <c r="A77" s="14">
        <f t="shared" si="11"/>
        <v>70</v>
      </c>
      <c r="B77" s="97">
        <v>108.01</v>
      </c>
      <c r="C77" s="14" t="s">
        <v>525</v>
      </c>
      <c r="D77" s="74" t="s">
        <v>255</v>
      </c>
      <c r="E77" s="98">
        <v>-945433620.17765331</v>
      </c>
      <c r="F77" s="98">
        <v>-498335519.30232257</v>
      </c>
      <c r="G77" s="98">
        <v>-125209607.272585</v>
      </c>
      <c r="H77" s="98">
        <v>-138665505.49338382</v>
      </c>
      <c r="I77" s="98">
        <v>-87714654.980991215</v>
      </c>
      <c r="J77" s="98">
        <v>-66132571.409293227</v>
      </c>
      <c r="K77" s="98">
        <v>0</v>
      </c>
      <c r="L77" s="98">
        <v>-25938939.647157684</v>
      </c>
      <c r="M77" s="98">
        <v>0</v>
      </c>
      <c r="N77" s="98">
        <v>-3114823.5794673632</v>
      </c>
      <c r="O77" s="98">
        <v>-321998.49245256837</v>
      </c>
      <c r="P77" s="74"/>
      <c r="Q77" s="98">
        <v>-61109891.407990105</v>
      </c>
      <c r="R77" s="98">
        <v>-175802.33563929494</v>
      </c>
      <c r="S77" s="98">
        <v>-4846877.6656638244</v>
      </c>
      <c r="T77" s="98">
        <f>SUM(Q77:S77)</f>
        <v>-66132571.409293227</v>
      </c>
      <c r="U77" s="98">
        <f>SUM(Q77:R77)</f>
        <v>-61285693.743629403</v>
      </c>
      <c r="V77" s="74"/>
      <c r="W77" s="74"/>
      <c r="X77" s="74"/>
      <c r="Y77" s="74"/>
    </row>
    <row r="78" spans="1:25" s="14" customFormat="1" x14ac:dyDescent="0.2">
      <c r="A78" s="14">
        <f t="shared" si="11"/>
        <v>71</v>
      </c>
      <c r="B78" s="97">
        <v>108.02</v>
      </c>
      <c r="C78" s="14" t="s">
        <v>526</v>
      </c>
      <c r="D78" s="74" t="s">
        <v>255</v>
      </c>
      <c r="E78" s="98">
        <v>-183522621.94999999</v>
      </c>
      <c r="F78" s="98">
        <v>-96734280.610829026</v>
      </c>
      <c r="G78" s="98">
        <v>-24305033.087015375</v>
      </c>
      <c r="H78" s="98">
        <v>-26917021.564545196</v>
      </c>
      <c r="I78" s="98">
        <v>-17026709.355360437</v>
      </c>
      <c r="J78" s="98">
        <v>-12837308.344343105</v>
      </c>
      <c r="K78" s="98">
        <v>0</v>
      </c>
      <c r="L78" s="98">
        <v>-5035131.0901707495</v>
      </c>
      <c r="M78" s="98">
        <v>0</v>
      </c>
      <c r="N78" s="98">
        <v>-604633.23708344495</v>
      </c>
      <c r="O78" s="98">
        <v>-62504.660652683873</v>
      </c>
      <c r="P78" s="74"/>
      <c r="Q78" s="98">
        <v>-11862332.012443919</v>
      </c>
      <c r="R78" s="98">
        <v>-34125.82850120643</v>
      </c>
      <c r="S78" s="98">
        <v>-940850.50339798094</v>
      </c>
      <c r="T78" s="98">
        <f>SUM(Q78:S78)</f>
        <v>-12837308.344343105</v>
      </c>
      <c r="U78" s="98">
        <f>SUM(Q78:R78)</f>
        <v>-11896457.840945125</v>
      </c>
      <c r="V78" s="74"/>
      <c r="W78" s="74"/>
      <c r="X78" s="74"/>
      <c r="Y78" s="74"/>
    </row>
    <row r="79" spans="1:25" s="14" customFormat="1" x14ac:dyDescent="0.2">
      <c r="A79" s="14">
        <f t="shared" si="11"/>
        <v>72</v>
      </c>
      <c r="B79" s="97">
        <v>108.03</v>
      </c>
      <c r="C79" s="14" t="s">
        <v>527</v>
      </c>
      <c r="D79" s="74" t="s">
        <v>255</v>
      </c>
      <c r="E79" s="98">
        <v>-789161667.84000003</v>
      </c>
      <c r="F79" s="98">
        <v>-415964993.37799716</v>
      </c>
      <c r="G79" s="98">
        <v>-104513548.4882137</v>
      </c>
      <c r="H79" s="98">
        <v>-115745303.79665677</v>
      </c>
      <c r="I79" s="98">
        <v>-73216185.612060323</v>
      </c>
      <c r="J79" s="98">
        <v>-55201432.695083372</v>
      </c>
      <c r="K79" s="98">
        <v>0</v>
      </c>
      <c r="L79" s="98">
        <v>-21651458.586913388</v>
      </c>
      <c r="M79" s="98">
        <v>0</v>
      </c>
      <c r="N79" s="98">
        <v>-2599970.3401048193</v>
      </c>
      <c r="O79" s="98">
        <v>-268774.94297070353</v>
      </c>
      <c r="P79" s="74"/>
      <c r="Q79" s="98">
        <v>-51008958.001714446</v>
      </c>
      <c r="R79" s="98">
        <v>-146743.73900221995</v>
      </c>
      <c r="S79" s="98">
        <v>-4045730.9543667096</v>
      </c>
      <c r="T79" s="98">
        <f>SUM(Q79:S79)</f>
        <v>-55201432.695083372</v>
      </c>
      <c r="U79" s="98">
        <f>SUM(Q79:R79)</f>
        <v>-51155701.740716666</v>
      </c>
      <c r="V79" s="74"/>
      <c r="W79" s="74"/>
      <c r="X79" s="74"/>
      <c r="Y79" s="74"/>
    </row>
    <row r="80" spans="1:25" s="14" customFormat="1" x14ac:dyDescent="0.2">
      <c r="A80" s="26">
        <f t="shared" si="11"/>
        <v>73</v>
      </c>
      <c r="B80" s="68"/>
      <c r="C80" s="26" t="s">
        <v>292</v>
      </c>
      <c r="D80" s="31"/>
      <c r="E80" s="69">
        <f>SUM(E77:E79)</f>
        <v>-1918117909.9676533</v>
      </c>
      <c r="F80" s="69">
        <f t="shared" ref="F80:N80" si="13">SUM(F77:F79)</f>
        <v>-1011034793.2911488</v>
      </c>
      <c r="G80" s="69">
        <f t="shared" si="13"/>
        <v>-254028188.84781408</v>
      </c>
      <c r="H80" s="69">
        <f t="shared" si="13"/>
        <v>-281327830.85458577</v>
      </c>
      <c r="I80" s="69">
        <f t="shared" si="13"/>
        <v>-177957549.94841197</v>
      </c>
      <c r="J80" s="69">
        <f t="shared" si="13"/>
        <v>-134171312.44871971</v>
      </c>
      <c r="K80" s="69">
        <f t="shared" si="13"/>
        <v>0</v>
      </c>
      <c r="L80" s="69">
        <f t="shared" si="13"/>
        <v>-52625529.324241817</v>
      </c>
      <c r="M80" s="69">
        <f>SUM(M77:M79)</f>
        <v>0</v>
      </c>
      <c r="N80" s="69">
        <f t="shared" si="13"/>
        <v>-6319427.1566556273</v>
      </c>
      <c r="O80" s="69">
        <f>SUM(O77:O79)</f>
        <v>-653278.09607595578</v>
      </c>
      <c r="P80" s="74"/>
      <c r="Q80" s="69">
        <f>SUM(Q77:Q79)</f>
        <v>-123981181.42214847</v>
      </c>
      <c r="R80" s="69">
        <f>SUM(R77:R79)</f>
        <v>-356671.90314272128</v>
      </c>
      <c r="S80" s="69">
        <f>SUM(S77:S79)</f>
        <v>-9833459.1234285142</v>
      </c>
      <c r="T80" s="69">
        <f>SUM(T77:T79)</f>
        <v>-134171312.44871971</v>
      </c>
      <c r="U80" s="69">
        <f>SUM(U77:U79)</f>
        <v>-124337853.32529119</v>
      </c>
      <c r="V80" s="74"/>
      <c r="W80" s="74"/>
      <c r="X80" s="74"/>
      <c r="Y80" s="74"/>
    </row>
    <row r="81" spans="1:25" s="14" customFormat="1" x14ac:dyDescent="0.2">
      <c r="A81" s="14">
        <f t="shared" si="11"/>
        <v>74</v>
      </c>
      <c r="B81" s="97"/>
      <c r="D81" s="74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74"/>
      <c r="Q81" s="98"/>
      <c r="R81" s="98"/>
      <c r="S81" s="98"/>
      <c r="T81" s="98"/>
      <c r="U81" s="98"/>
      <c r="V81" s="74"/>
      <c r="W81" s="74"/>
      <c r="X81" s="74"/>
      <c r="Y81" s="74"/>
    </row>
    <row r="82" spans="1:25" s="14" customFormat="1" x14ac:dyDescent="0.2">
      <c r="A82" s="14">
        <f t="shared" si="11"/>
        <v>75</v>
      </c>
      <c r="B82" s="97"/>
      <c r="C82" s="13" t="s">
        <v>528</v>
      </c>
      <c r="D82" s="74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74"/>
      <c r="Q82" s="98"/>
      <c r="R82" s="98"/>
      <c r="S82" s="98"/>
      <c r="T82" s="98"/>
      <c r="U82" s="98"/>
      <c r="V82" s="74"/>
      <c r="W82" s="74"/>
      <c r="X82" s="74"/>
      <c r="Y82" s="74"/>
    </row>
    <row r="83" spans="1:25" s="14" customFormat="1" x14ac:dyDescent="0.2">
      <c r="A83" s="14">
        <f t="shared" si="11"/>
        <v>76</v>
      </c>
      <c r="B83" s="97" t="s">
        <v>529</v>
      </c>
      <c r="C83" s="14" t="s">
        <v>530</v>
      </c>
      <c r="D83" s="74" t="s">
        <v>306</v>
      </c>
      <c r="E83" s="98">
        <v>-348915488.81225431</v>
      </c>
      <c r="F83" s="98">
        <v>-166309502.59792119</v>
      </c>
      <c r="G83" s="98">
        <v>-41774281.182820909</v>
      </c>
      <c r="H83" s="98">
        <v>-46258708.887258641</v>
      </c>
      <c r="I83" s="98">
        <v>-29246321.731396943</v>
      </c>
      <c r="J83" s="98">
        <v>-22046754.147147089</v>
      </c>
      <c r="K83" s="98">
        <v>-4931717.0404250473</v>
      </c>
      <c r="L83" s="98">
        <v>-8644546.1155728307</v>
      </c>
      <c r="M83" s="98">
        <v>-28558214.655703209</v>
      </c>
      <c r="N83" s="98">
        <v>-1037986.1972223411</v>
      </c>
      <c r="O83" s="98">
        <v>-107456.25678619233</v>
      </c>
      <c r="P83" s="74"/>
      <c r="Q83" s="98">
        <v>-20376335.863729872</v>
      </c>
      <c r="R83" s="98">
        <v>-58469.217576173098</v>
      </c>
      <c r="S83" s="98">
        <v>-1611949.0658410464</v>
      </c>
      <c r="T83" s="98">
        <f>SUM(Q83:S83)</f>
        <v>-22046754.147147089</v>
      </c>
      <c r="U83" s="98">
        <f>SUM(Q83:R83)</f>
        <v>-20434805.081306044</v>
      </c>
      <c r="V83" s="74"/>
      <c r="W83" s="74"/>
      <c r="X83" s="74"/>
      <c r="Y83" s="74"/>
    </row>
    <row r="84" spans="1:25" s="14" customFormat="1" x14ac:dyDescent="0.2">
      <c r="A84" s="14">
        <f t="shared" si="11"/>
        <v>77</v>
      </c>
      <c r="B84" s="97" t="s">
        <v>531</v>
      </c>
      <c r="C84" s="14" t="s">
        <v>532</v>
      </c>
      <c r="D84" s="74" t="s">
        <v>232</v>
      </c>
      <c r="E84" s="98">
        <v>-54709537.547322765</v>
      </c>
      <c r="F84" s="98">
        <v>-28837250.149102986</v>
      </c>
      <c r="G84" s="98">
        <v>-7245521.5936554447</v>
      </c>
      <c r="H84" s="98">
        <v>-8024175.9097621813</v>
      </c>
      <c r="I84" s="98">
        <v>-5075796.0238723792</v>
      </c>
      <c r="J84" s="98">
        <v>-3826902.620554016</v>
      </c>
      <c r="K84" s="98">
        <v>0</v>
      </c>
      <c r="L84" s="98">
        <v>-1501012.1940631357</v>
      </c>
      <c r="M84" s="98">
        <v>0</v>
      </c>
      <c r="N84" s="98">
        <v>-180245.92518947521</v>
      </c>
      <c r="O84" s="98">
        <v>-18633.131123161114</v>
      </c>
      <c r="P84" s="74"/>
      <c r="Q84" s="98">
        <v>-3536254.5049646366</v>
      </c>
      <c r="R84" s="98">
        <v>-10173.177976004014</v>
      </c>
      <c r="S84" s="98">
        <v>-280474.9376133756</v>
      </c>
      <c r="T84" s="98">
        <f>SUM(Q84:S84)</f>
        <v>-3826902.620554016</v>
      </c>
      <c r="U84" s="98">
        <f>SUM(Q84:R84)</f>
        <v>-3546427.6829406405</v>
      </c>
      <c r="V84" s="74"/>
      <c r="W84" s="74"/>
      <c r="X84" s="74"/>
      <c r="Y84" s="74"/>
    </row>
    <row r="85" spans="1:25" s="14" customFormat="1" x14ac:dyDescent="0.2">
      <c r="A85" s="14">
        <f t="shared" si="11"/>
        <v>78</v>
      </c>
      <c r="B85" s="97" t="s">
        <v>533</v>
      </c>
      <c r="C85" s="14" t="s">
        <v>534</v>
      </c>
      <c r="D85" s="74" t="s">
        <v>227</v>
      </c>
      <c r="E85" s="98">
        <v>-290302.21785940375</v>
      </c>
      <c r="F85" s="98">
        <v>0</v>
      </c>
      <c r="G85" s="98">
        <v>0</v>
      </c>
      <c r="H85" s="98">
        <v>0</v>
      </c>
      <c r="I85" s="98">
        <v>0</v>
      </c>
      <c r="J85" s="98">
        <v>0</v>
      </c>
      <c r="K85" s="98">
        <v>0</v>
      </c>
      <c r="L85" s="98">
        <v>0</v>
      </c>
      <c r="M85" s="98">
        <v>-290302.21785940375</v>
      </c>
      <c r="N85" s="98">
        <v>0</v>
      </c>
      <c r="O85" s="98">
        <v>0</v>
      </c>
      <c r="P85" s="74"/>
      <c r="Q85" s="98">
        <v>0</v>
      </c>
      <c r="R85" s="98">
        <v>0</v>
      </c>
      <c r="S85" s="98">
        <v>0</v>
      </c>
      <c r="T85" s="98">
        <f>SUM(Q85:S85)</f>
        <v>0</v>
      </c>
      <c r="U85" s="98">
        <f>SUM(Q85:R85)</f>
        <v>0</v>
      </c>
      <c r="V85" s="74"/>
      <c r="W85" s="74"/>
      <c r="X85" s="74"/>
      <c r="Y85" s="74"/>
    </row>
    <row r="86" spans="1:25" s="14" customFormat="1" x14ac:dyDescent="0.2">
      <c r="A86" s="14">
        <f t="shared" si="11"/>
        <v>79</v>
      </c>
      <c r="B86" s="97" t="s">
        <v>535</v>
      </c>
      <c r="C86" s="14" t="s">
        <v>536</v>
      </c>
      <c r="D86" s="74" t="s">
        <v>232</v>
      </c>
      <c r="E86" s="98">
        <v>-115786862.48999999</v>
      </c>
      <c r="F86" s="98">
        <v>-61030943.913860835</v>
      </c>
      <c r="G86" s="98">
        <v>-15334368.55881379</v>
      </c>
      <c r="H86" s="98">
        <v>-16982306.820918649</v>
      </c>
      <c r="I86" s="98">
        <v>-10742377.336584883</v>
      </c>
      <c r="J86" s="98">
        <v>-8099228.532235913</v>
      </c>
      <c r="K86" s="98">
        <v>0</v>
      </c>
      <c r="L86" s="98">
        <v>-3176731.1569663654</v>
      </c>
      <c r="M86" s="98">
        <v>0</v>
      </c>
      <c r="N86" s="98">
        <v>-381471.14908884623</v>
      </c>
      <c r="O86" s="98">
        <v>-39435.021530741709</v>
      </c>
      <c r="P86" s="74"/>
      <c r="Q86" s="98">
        <v>-7484103.0001727752</v>
      </c>
      <c r="R86" s="98">
        <v>-21530.438972820655</v>
      </c>
      <c r="S86" s="98">
        <v>-593595.09309031698</v>
      </c>
      <c r="T86" s="98">
        <f>SUM(Q86:S86)</f>
        <v>-8099228.532235913</v>
      </c>
      <c r="U86" s="98">
        <f>SUM(Q86:R86)</f>
        <v>-7505633.4391455958</v>
      </c>
      <c r="V86" s="74"/>
      <c r="W86" s="74"/>
      <c r="X86" s="74"/>
      <c r="Y86" s="74"/>
    </row>
    <row r="87" spans="1:25" s="14" customFormat="1" x14ac:dyDescent="0.2">
      <c r="A87" s="26">
        <f>+A86+1</f>
        <v>80</v>
      </c>
      <c r="B87" s="68"/>
      <c r="C87" s="26" t="s">
        <v>292</v>
      </c>
      <c r="D87" s="31"/>
      <c r="E87" s="69">
        <f t="shared" ref="E87:N87" si="14">SUM(E83:E86)</f>
        <v>-519702191.06743646</v>
      </c>
      <c r="F87" s="69">
        <f t="shared" si="14"/>
        <v>-256177696.66088501</v>
      </c>
      <c r="G87" s="69">
        <f t="shared" si="14"/>
        <v>-64354171.335290141</v>
      </c>
      <c r="H87" s="69">
        <f t="shared" si="14"/>
        <v>-71265191.617939472</v>
      </c>
      <c r="I87" s="69">
        <f t="shared" si="14"/>
        <v>-45064495.0918542</v>
      </c>
      <c r="J87" s="69">
        <f t="shared" si="14"/>
        <v>-33972885.299937017</v>
      </c>
      <c r="K87" s="69">
        <f t="shared" si="14"/>
        <v>-4931717.0404250473</v>
      </c>
      <c r="L87" s="69">
        <f t="shared" si="14"/>
        <v>-13322289.466602333</v>
      </c>
      <c r="M87" s="69">
        <f>SUM(M83:M86)</f>
        <v>-28848516.873562612</v>
      </c>
      <c r="N87" s="69">
        <f t="shared" si="14"/>
        <v>-1599703.2715006627</v>
      </c>
      <c r="O87" s="69">
        <f>SUM(O83:O86)</f>
        <v>-165524.40944009516</v>
      </c>
      <c r="P87" s="74"/>
      <c r="Q87" s="69">
        <f>SUM(Q83:Q86)</f>
        <v>-31396693.368867282</v>
      </c>
      <c r="R87" s="69">
        <f>SUM(R83:R86)</f>
        <v>-90172.834524997772</v>
      </c>
      <c r="S87" s="69">
        <f>SUM(S83:S86)</f>
        <v>-2486019.0965447389</v>
      </c>
      <c r="T87" s="69">
        <f>SUM(T83:T86)</f>
        <v>-33972885.299937017</v>
      </c>
      <c r="U87" s="69">
        <f>SUM(U83:U86)</f>
        <v>-31486866.203392278</v>
      </c>
      <c r="V87" s="74"/>
      <c r="W87" s="74"/>
      <c r="X87" s="74"/>
      <c r="Y87" s="74"/>
    </row>
    <row r="88" spans="1:25" s="14" customFormat="1" x14ac:dyDescent="0.2">
      <c r="A88" s="14">
        <f t="shared" si="11"/>
        <v>81</v>
      </c>
      <c r="B88" s="97"/>
      <c r="D88" s="74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74"/>
      <c r="Q88" s="98"/>
      <c r="R88" s="98"/>
      <c r="S88" s="98"/>
      <c r="T88" s="98"/>
      <c r="U88" s="98"/>
      <c r="V88" s="74"/>
      <c r="W88" s="74"/>
      <c r="X88" s="74"/>
      <c r="Y88" s="74"/>
    </row>
    <row r="89" spans="1:25" s="14" customFormat="1" x14ac:dyDescent="0.2">
      <c r="A89" s="14">
        <f t="shared" si="11"/>
        <v>82</v>
      </c>
      <c r="B89" s="97"/>
      <c r="C89" s="13" t="s">
        <v>471</v>
      </c>
      <c r="D89" s="74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74"/>
      <c r="Q89" s="98"/>
      <c r="R89" s="98"/>
      <c r="S89" s="98"/>
      <c r="T89" s="98"/>
      <c r="U89" s="98"/>
      <c r="V89" s="74"/>
      <c r="W89" s="74"/>
      <c r="X89" s="74"/>
      <c r="Y89" s="74"/>
    </row>
    <row r="90" spans="1:25" s="14" customFormat="1" x14ac:dyDescent="0.2">
      <c r="A90" s="14">
        <f t="shared" si="11"/>
        <v>83</v>
      </c>
      <c r="B90" s="97" t="s">
        <v>537</v>
      </c>
      <c r="C90" s="14" t="s">
        <v>538</v>
      </c>
      <c r="D90" s="74" t="s">
        <v>539</v>
      </c>
      <c r="E90" s="98">
        <v>-12148.752</v>
      </c>
      <c r="F90" s="98">
        <v>0</v>
      </c>
      <c r="G90" s="98">
        <v>0</v>
      </c>
      <c r="H90" s="98">
        <v>0</v>
      </c>
      <c r="I90" s="98">
        <v>0</v>
      </c>
      <c r="J90" s="98">
        <v>0</v>
      </c>
      <c r="K90" s="98">
        <v>0</v>
      </c>
      <c r="L90" s="98">
        <v>-12148.752</v>
      </c>
      <c r="M90" s="98">
        <v>0</v>
      </c>
      <c r="N90" s="98">
        <v>0</v>
      </c>
      <c r="O90" s="98">
        <v>0</v>
      </c>
      <c r="P90" s="74"/>
      <c r="Q90" s="98">
        <v>0</v>
      </c>
      <c r="R90" s="98">
        <v>0</v>
      </c>
      <c r="S90" s="98">
        <v>0</v>
      </c>
      <c r="T90" s="98">
        <f t="shared" ref="T90:T110" si="15">SUM(Q90:S90)</f>
        <v>0</v>
      </c>
      <c r="U90" s="98">
        <f t="shared" ref="U90:U110" si="16">SUM(Q90:R90)</f>
        <v>0</v>
      </c>
      <c r="V90" s="74"/>
      <c r="W90" s="74"/>
      <c r="X90" s="74"/>
      <c r="Y90" s="74"/>
    </row>
    <row r="91" spans="1:25" s="14" customFormat="1" x14ac:dyDescent="0.2">
      <c r="A91" s="14">
        <f t="shared" si="11"/>
        <v>84</v>
      </c>
      <c r="B91" s="97" t="s">
        <v>540</v>
      </c>
      <c r="C91" s="14" t="s">
        <v>541</v>
      </c>
      <c r="D91" s="74" t="s">
        <v>475</v>
      </c>
      <c r="E91" s="98">
        <v>-3385851.2480000001</v>
      </c>
      <c r="F91" s="98">
        <v>-1536714.3043749435</v>
      </c>
      <c r="G91" s="98">
        <v>-495399.86428581859</v>
      </c>
      <c r="H91" s="98">
        <v>-644531.56114183192</v>
      </c>
      <c r="I91" s="98">
        <v>-378796.5244031999</v>
      </c>
      <c r="J91" s="98">
        <v>-328020.58619396033</v>
      </c>
      <c r="K91" s="98">
        <v>0</v>
      </c>
      <c r="L91" s="98">
        <v>0</v>
      </c>
      <c r="M91" s="98">
        <v>0</v>
      </c>
      <c r="N91" s="98">
        <v>-2181.1049042825821</v>
      </c>
      <c r="O91" s="98">
        <v>-207.30269596317845</v>
      </c>
      <c r="P91" s="74"/>
      <c r="Q91" s="98">
        <v>-312002.0550782698</v>
      </c>
      <c r="R91" s="98">
        <v>-68.296062896354968</v>
      </c>
      <c r="S91" s="98">
        <v>-15950.235052794173</v>
      </c>
      <c r="T91" s="98">
        <f t="shared" si="15"/>
        <v>-328020.58619396033</v>
      </c>
      <c r="U91" s="98">
        <f t="shared" si="16"/>
        <v>-312070.35114116617</v>
      </c>
      <c r="V91" s="74"/>
      <c r="W91" s="74"/>
      <c r="X91" s="74"/>
      <c r="Y91" s="74"/>
    </row>
    <row r="92" spans="1:25" s="14" customFormat="1" x14ac:dyDescent="0.2">
      <c r="A92" s="14">
        <f t="shared" si="11"/>
        <v>85</v>
      </c>
      <c r="B92" s="97" t="s">
        <v>542</v>
      </c>
      <c r="C92" s="14" t="s">
        <v>476</v>
      </c>
      <c r="D92" s="74" t="s">
        <v>543</v>
      </c>
      <c r="E92" s="98">
        <v>-233909.65067088912</v>
      </c>
      <c r="F92" s="98">
        <v>0</v>
      </c>
      <c r="G92" s="98">
        <v>0</v>
      </c>
      <c r="H92" s="98">
        <v>0</v>
      </c>
      <c r="I92" s="98">
        <v>0</v>
      </c>
      <c r="J92" s="98">
        <v>-10967.308000000001</v>
      </c>
      <c r="K92" s="98">
        <v>-64314.79908808913</v>
      </c>
      <c r="L92" s="98">
        <v>-57917.228582800002</v>
      </c>
      <c r="M92" s="98">
        <v>-100710.315</v>
      </c>
      <c r="N92" s="98">
        <v>0</v>
      </c>
      <c r="O92" s="98">
        <v>0</v>
      </c>
      <c r="P92" s="74"/>
      <c r="Q92" s="98">
        <v>-10967.308000000001</v>
      </c>
      <c r="R92" s="98">
        <v>0</v>
      </c>
      <c r="S92" s="98">
        <v>0</v>
      </c>
      <c r="T92" s="98">
        <f t="shared" si="15"/>
        <v>-10967.308000000001</v>
      </c>
      <c r="U92" s="98">
        <f t="shared" si="16"/>
        <v>-10967.308000000001</v>
      </c>
      <c r="V92" s="74"/>
      <c r="W92" s="74"/>
      <c r="X92" s="74"/>
      <c r="Y92" s="74"/>
    </row>
    <row r="93" spans="1:25" s="14" customFormat="1" x14ac:dyDescent="0.2">
      <c r="A93" s="14">
        <f t="shared" si="11"/>
        <v>86</v>
      </c>
      <c r="B93" s="97" t="s">
        <v>544</v>
      </c>
      <c r="C93" s="14" t="s">
        <v>478</v>
      </c>
      <c r="D93" s="74" t="s">
        <v>479</v>
      </c>
      <c r="E93" s="98">
        <v>-2350398.6893291106</v>
      </c>
      <c r="F93" s="98">
        <v>-1196523.6828054921</v>
      </c>
      <c r="G93" s="98">
        <v>-329384.14714868448</v>
      </c>
      <c r="H93" s="98">
        <v>-409088.22790763038</v>
      </c>
      <c r="I93" s="98">
        <v>-237919.47065308262</v>
      </c>
      <c r="J93" s="98">
        <v>-175397.55131120072</v>
      </c>
      <c r="K93" s="98">
        <v>0</v>
      </c>
      <c r="L93" s="98">
        <v>0</v>
      </c>
      <c r="M93" s="98">
        <v>0</v>
      </c>
      <c r="N93" s="98">
        <v>-1818.1147988461746</v>
      </c>
      <c r="O93" s="98">
        <v>-267.49470417400511</v>
      </c>
      <c r="P93" s="74"/>
      <c r="Q93" s="98">
        <v>-156194.14895802576</v>
      </c>
      <c r="R93" s="98">
        <v>-0.33967581482413345</v>
      </c>
      <c r="S93" s="98">
        <v>-19203.062677360151</v>
      </c>
      <c r="T93" s="98">
        <f t="shared" si="15"/>
        <v>-175397.55131120072</v>
      </c>
      <c r="U93" s="98">
        <f t="shared" si="16"/>
        <v>-156194.48863384058</v>
      </c>
      <c r="V93" s="74"/>
      <c r="W93" s="74"/>
      <c r="X93" s="74"/>
      <c r="Y93" s="74"/>
    </row>
    <row r="94" spans="1:25" s="14" customFormat="1" x14ac:dyDescent="0.2">
      <c r="A94" s="14">
        <f t="shared" si="11"/>
        <v>87</v>
      </c>
      <c r="B94" s="97" t="s">
        <v>545</v>
      </c>
      <c r="C94" s="14" t="s">
        <v>480</v>
      </c>
      <c r="D94" s="74" t="s">
        <v>546</v>
      </c>
      <c r="E94" s="98">
        <v>-11586662.121254718</v>
      </c>
      <c r="F94" s="98">
        <v>0</v>
      </c>
      <c r="G94" s="98">
        <v>0</v>
      </c>
      <c r="H94" s="98">
        <v>0</v>
      </c>
      <c r="I94" s="98">
        <v>0</v>
      </c>
      <c r="J94" s="98">
        <v>-698898.21200000006</v>
      </c>
      <c r="K94" s="98">
        <v>-3115650.3046919182</v>
      </c>
      <c r="L94" s="98">
        <v>-4407970.1745627997</v>
      </c>
      <c r="M94" s="98">
        <v>-3364143.4299999997</v>
      </c>
      <c r="N94" s="98">
        <v>0</v>
      </c>
      <c r="O94" s="98">
        <v>0</v>
      </c>
      <c r="P94" s="74"/>
      <c r="Q94" s="98">
        <v>-698898.21200000006</v>
      </c>
      <c r="R94" s="98">
        <v>0</v>
      </c>
      <c r="S94" s="98">
        <v>0</v>
      </c>
      <c r="T94" s="98">
        <f t="shared" si="15"/>
        <v>-698898.21200000006</v>
      </c>
      <c r="U94" s="98">
        <f t="shared" si="16"/>
        <v>-698898.21200000006</v>
      </c>
      <c r="V94" s="74"/>
      <c r="W94" s="74"/>
      <c r="X94" s="74"/>
      <c r="Y94" s="74"/>
    </row>
    <row r="95" spans="1:25" s="14" customFormat="1" x14ac:dyDescent="0.2">
      <c r="A95" s="14">
        <f t="shared" si="11"/>
        <v>88</v>
      </c>
      <c r="B95" s="97" t="s">
        <v>547</v>
      </c>
      <c r="C95" s="14" t="s">
        <v>482</v>
      </c>
      <c r="D95" s="74" t="s">
        <v>395</v>
      </c>
      <c r="E95" s="98">
        <v>-125501319.31874529</v>
      </c>
      <c r="F95" s="98">
        <v>-70054303.221883804</v>
      </c>
      <c r="G95" s="98">
        <v>-16937305.614666715</v>
      </c>
      <c r="H95" s="98">
        <v>-18610535.875498135</v>
      </c>
      <c r="I95" s="98">
        <v>-9902511.1893525105</v>
      </c>
      <c r="J95" s="98">
        <v>-9860907.0411264598</v>
      </c>
      <c r="K95" s="98">
        <v>0</v>
      </c>
      <c r="L95" s="98">
        <v>0</v>
      </c>
      <c r="M95" s="98">
        <v>0</v>
      </c>
      <c r="N95" s="98">
        <v>-101244.80588646964</v>
      </c>
      <c r="O95" s="98">
        <v>-34511.570331189971</v>
      </c>
      <c r="P95" s="74"/>
      <c r="Q95" s="98">
        <v>-8816063.1958567835</v>
      </c>
      <c r="R95" s="98">
        <v>-32416.630794771561</v>
      </c>
      <c r="S95" s="98">
        <v>-1012427.2144749047</v>
      </c>
      <c r="T95" s="98">
        <f t="shared" si="15"/>
        <v>-9860907.0411264598</v>
      </c>
      <c r="U95" s="98">
        <f t="shared" si="16"/>
        <v>-8848479.8266515546</v>
      </c>
      <c r="V95" s="74"/>
      <c r="W95" s="74"/>
      <c r="X95" s="74"/>
      <c r="Y95" s="74"/>
    </row>
    <row r="96" spans="1:25" s="14" customFormat="1" x14ac:dyDescent="0.2">
      <c r="A96" s="14">
        <f t="shared" si="11"/>
        <v>89</v>
      </c>
      <c r="B96" s="97" t="s">
        <v>548</v>
      </c>
      <c r="C96" s="14" t="s">
        <v>483</v>
      </c>
      <c r="D96" s="74" t="s">
        <v>395</v>
      </c>
      <c r="E96" s="98">
        <v>-124550.5</v>
      </c>
      <c r="F96" s="98">
        <v>-69523.559917939448</v>
      </c>
      <c r="G96" s="98">
        <v>-16808.985709558652</v>
      </c>
      <c r="H96" s="98">
        <v>-18469.539293640028</v>
      </c>
      <c r="I96" s="98">
        <v>-9827.4880820733397</v>
      </c>
      <c r="J96" s="98">
        <v>-9786.199133943097</v>
      </c>
      <c r="K96" s="98">
        <v>0</v>
      </c>
      <c r="L96" s="98">
        <v>0</v>
      </c>
      <c r="M96" s="98">
        <v>0</v>
      </c>
      <c r="N96" s="98">
        <v>-100.47775803484522</v>
      </c>
      <c r="O96" s="98">
        <v>-34.250104810594202</v>
      </c>
      <c r="P96" s="74"/>
      <c r="Q96" s="98">
        <v>-8749.2712031717492</v>
      </c>
      <c r="R96" s="98">
        <v>-32.171036892049152</v>
      </c>
      <c r="S96" s="98">
        <v>-1004.7568938792994</v>
      </c>
      <c r="T96" s="98">
        <f t="shared" si="15"/>
        <v>-9786.199133943097</v>
      </c>
      <c r="U96" s="98">
        <f t="shared" si="16"/>
        <v>-8781.4422400637977</v>
      </c>
      <c r="V96" s="74"/>
      <c r="W96" s="74"/>
      <c r="X96" s="74"/>
      <c r="Y96" s="74"/>
    </row>
    <row r="97" spans="1:25" s="14" customFormat="1" x14ac:dyDescent="0.2">
      <c r="A97" s="14">
        <f t="shared" si="11"/>
        <v>90</v>
      </c>
      <c r="B97" s="97" t="s">
        <v>549</v>
      </c>
      <c r="C97" s="14" t="s">
        <v>485</v>
      </c>
      <c r="D97" s="74" t="s">
        <v>398</v>
      </c>
      <c r="E97" s="98">
        <v>-149346565.32902548</v>
      </c>
      <c r="F97" s="98">
        <v>-102931601.96611065</v>
      </c>
      <c r="G97" s="98">
        <v>-18807377.896459486</v>
      </c>
      <c r="H97" s="98">
        <v>-14621410.245547814</v>
      </c>
      <c r="I97" s="98">
        <v>-5784000.7412238782</v>
      </c>
      <c r="J97" s="98">
        <v>-7008664.4180575246</v>
      </c>
      <c r="K97" s="98">
        <v>0</v>
      </c>
      <c r="L97" s="98">
        <v>0</v>
      </c>
      <c r="M97" s="98">
        <v>0</v>
      </c>
      <c r="N97" s="98">
        <v>-90454.703225219113</v>
      </c>
      <c r="O97" s="98">
        <v>-103055.35840087153</v>
      </c>
      <c r="P97" s="74"/>
      <c r="Q97" s="98">
        <v>-5414081.5071386537</v>
      </c>
      <c r="R97" s="98">
        <v>-135607.05093797357</v>
      </c>
      <c r="S97" s="98">
        <v>-1458975.8599808973</v>
      </c>
      <c r="T97" s="98">
        <f t="shared" si="15"/>
        <v>-7008664.4180575246</v>
      </c>
      <c r="U97" s="98">
        <f t="shared" si="16"/>
        <v>-5549688.5580766276</v>
      </c>
      <c r="V97" s="74"/>
      <c r="W97" s="74"/>
      <c r="X97" s="74"/>
      <c r="Y97" s="74"/>
    </row>
    <row r="98" spans="1:25" s="14" customFormat="1" x14ac:dyDescent="0.2">
      <c r="A98" s="14">
        <f t="shared" si="11"/>
        <v>91</v>
      </c>
      <c r="B98" s="97" t="s">
        <v>550</v>
      </c>
      <c r="C98" s="14" t="s">
        <v>551</v>
      </c>
      <c r="D98" s="74" t="s">
        <v>552</v>
      </c>
      <c r="E98" s="98">
        <v>-55883.055832029437</v>
      </c>
      <c r="F98" s="98">
        <v>0</v>
      </c>
      <c r="G98" s="98">
        <v>0</v>
      </c>
      <c r="H98" s="98">
        <v>0</v>
      </c>
      <c r="I98" s="98">
        <v>0</v>
      </c>
      <c r="J98" s="98">
        <v>0</v>
      </c>
      <c r="K98" s="98">
        <v>-55883.055832029437</v>
      </c>
      <c r="L98" s="98">
        <v>0</v>
      </c>
      <c r="M98" s="98">
        <v>0</v>
      </c>
      <c r="N98" s="98">
        <v>0</v>
      </c>
      <c r="O98" s="98">
        <v>0</v>
      </c>
      <c r="P98" s="74"/>
      <c r="Q98" s="98">
        <v>0</v>
      </c>
      <c r="R98" s="98">
        <v>0</v>
      </c>
      <c r="S98" s="98">
        <v>0</v>
      </c>
      <c r="T98" s="98">
        <f t="shared" si="15"/>
        <v>0</v>
      </c>
      <c r="U98" s="98">
        <f t="shared" si="16"/>
        <v>0</v>
      </c>
      <c r="V98" s="74"/>
      <c r="W98" s="74"/>
      <c r="X98" s="74"/>
      <c r="Y98" s="74"/>
    </row>
    <row r="99" spans="1:25" s="14" customFormat="1" x14ac:dyDescent="0.2">
      <c r="A99" s="14">
        <f t="shared" si="11"/>
        <v>92</v>
      </c>
      <c r="B99" s="97" t="s">
        <v>553</v>
      </c>
      <c r="C99" s="14" t="s">
        <v>488</v>
      </c>
      <c r="D99" s="74" t="s">
        <v>398</v>
      </c>
      <c r="E99" s="98">
        <v>-132596941.81008512</v>
      </c>
      <c r="F99" s="98">
        <v>-91387542.835353374</v>
      </c>
      <c r="G99" s="98">
        <v>-16698079.309979618</v>
      </c>
      <c r="H99" s="98">
        <v>-12981579.316799255</v>
      </c>
      <c r="I99" s="98">
        <v>-5135309.3258214826</v>
      </c>
      <c r="J99" s="98">
        <v>-6222623.6402570484</v>
      </c>
      <c r="K99" s="98">
        <v>0</v>
      </c>
      <c r="L99" s="98">
        <v>0</v>
      </c>
      <c r="M99" s="98">
        <v>0</v>
      </c>
      <c r="N99" s="98">
        <v>-80309.962224968986</v>
      </c>
      <c r="O99" s="98">
        <v>-91497.419649342759</v>
      </c>
      <c r="P99" s="74"/>
      <c r="Q99" s="98">
        <v>-4806877.5400059372</v>
      </c>
      <c r="R99" s="98">
        <v>-120398.35132897504</v>
      </c>
      <c r="S99" s="98">
        <v>-1295347.7489221364</v>
      </c>
      <c r="T99" s="98">
        <f t="shared" si="15"/>
        <v>-6222623.6402570484</v>
      </c>
      <c r="U99" s="98">
        <f t="shared" si="16"/>
        <v>-4927275.8913349118</v>
      </c>
      <c r="V99" s="74"/>
      <c r="W99" s="74"/>
      <c r="X99" s="74"/>
      <c r="Y99" s="74"/>
    </row>
    <row r="100" spans="1:25" s="14" customFormat="1" x14ac:dyDescent="0.2">
      <c r="A100" s="14">
        <f t="shared" si="11"/>
        <v>93</v>
      </c>
      <c r="B100" s="97" t="s">
        <v>554</v>
      </c>
      <c r="C100" s="14" t="s">
        <v>555</v>
      </c>
      <c r="D100" s="74" t="s">
        <v>556</v>
      </c>
      <c r="E100" s="98">
        <v>-16526870.952044467</v>
      </c>
      <c r="F100" s="98">
        <v>0</v>
      </c>
      <c r="G100" s="98">
        <v>0</v>
      </c>
      <c r="H100" s="98">
        <v>0</v>
      </c>
      <c r="I100" s="98">
        <v>0</v>
      </c>
      <c r="J100" s="98">
        <v>0</v>
      </c>
      <c r="K100" s="98">
        <v>-14546761.500330182</v>
      </c>
      <c r="L100" s="98">
        <v>-1954966.5945714284</v>
      </c>
      <c r="M100" s="98">
        <v>-25142.857142857145</v>
      </c>
      <c r="N100" s="98">
        <v>0</v>
      </c>
      <c r="O100" s="98">
        <v>0</v>
      </c>
      <c r="P100" s="74"/>
      <c r="Q100" s="98">
        <v>0</v>
      </c>
      <c r="R100" s="98">
        <v>0</v>
      </c>
      <c r="S100" s="98">
        <v>0</v>
      </c>
      <c r="T100" s="98">
        <f t="shared" si="15"/>
        <v>0</v>
      </c>
      <c r="U100" s="98">
        <f t="shared" si="16"/>
        <v>0</v>
      </c>
      <c r="V100" s="74"/>
      <c r="W100" s="74"/>
      <c r="X100" s="74"/>
      <c r="Y100" s="74"/>
    </row>
    <row r="101" spans="1:25" s="14" customFormat="1" x14ac:dyDescent="0.2">
      <c r="A101" s="14">
        <f t="shared" si="11"/>
        <v>94</v>
      </c>
      <c r="B101" s="97" t="s">
        <v>557</v>
      </c>
      <c r="C101" s="14" t="s">
        <v>558</v>
      </c>
      <c r="D101" s="74" t="s">
        <v>403</v>
      </c>
      <c r="E101" s="98">
        <v>-274285943.71102428</v>
      </c>
      <c r="F101" s="98">
        <v>-184592940.76400334</v>
      </c>
      <c r="G101" s="98">
        <v>-32892203.765319232</v>
      </c>
      <c r="H101" s="98">
        <v>-30694312.544480834</v>
      </c>
      <c r="I101" s="98">
        <v>-13326619.640014224</v>
      </c>
      <c r="J101" s="98">
        <v>-12578302.963216398</v>
      </c>
      <c r="K101" s="98">
        <v>0</v>
      </c>
      <c r="L101" s="98">
        <v>0</v>
      </c>
      <c r="M101" s="98">
        <v>0</v>
      </c>
      <c r="N101" s="98">
        <v>-126487.55169428916</v>
      </c>
      <c r="O101" s="98">
        <v>-75076.482295965165</v>
      </c>
      <c r="P101" s="74"/>
      <c r="Q101" s="98">
        <v>-9505607.5138858818</v>
      </c>
      <c r="R101" s="98">
        <v>-112886.73968415053</v>
      </c>
      <c r="S101" s="98">
        <v>-2959808.7096463661</v>
      </c>
      <c r="T101" s="98">
        <f t="shared" si="15"/>
        <v>-12578302.963216398</v>
      </c>
      <c r="U101" s="98">
        <f t="shared" si="16"/>
        <v>-9618494.2535700314</v>
      </c>
      <c r="V101" s="74"/>
      <c r="W101" s="74"/>
      <c r="X101" s="74"/>
      <c r="Y101" s="74"/>
    </row>
    <row r="102" spans="1:25" s="14" customFormat="1" x14ac:dyDescent="0.2">
      <c r="A102" s="14">
        <f t="shared" si="11"/>
        <v>95</v>
      </c>
      <c r="B102" s="97" t="s">
        <v>559</v>
      </c>
      <c r="C102" s="14" t="s">
        <v>560</v>
      </c>
      <c r="D102" s="74" t="s">
        <v>403</v>
      </c>
      <c r="E102" s="98">
        <v>-387170816.60218024</v>
      </c>
      <c r="F102" s="98">
        <v>-260563843.14718542</v>
      </c>
      <c r="G102" s="98">
        <v>-46429289.154827751</v>
      </c>
      <c r="H102" s="98">
        <v>-43326835.827247471</v>
      </c>
      <c r="I102" s="98">
        <v>-18811311.0674274</v>
      </c>
      <c r="J102" s="98">
        <v>-17755017.86146535</v>
      </c>
      <c r="K102" s="98">
        <v>0</v>
      </c>
      <c r="L102" s="98">
        <v>0</v>
      </c>
      <c r="M102" s="98">
        <v>0</v>
      </c>
      <c r="N102" s="98">
        <v>-178544.65313426155</v>
      </c>
      <c r="O102" s="98">
        <v>-105974.89089259393</v>
      </c>
      <c r="P102" s="74"/>
      <c r="Q102" s="98">
        <v>-13417726.674788753</v>
      </c>
      <c r="R102" s="98">
        <v>-159346.30333487858</v>
      </c>
      <c r="S102" s="98">
        <v>-4177944.8833417199</v>
      </c>
      <c r="T102" s="98">
        <f t="shared" si="15"/>
        <v>-17755017.86146535</v>
      </c>
      <c r="U102" s="98">
        <f t="shared" si="16"/>
        <v>-13577072.978123631</v>
      </c>
      <c r="V102" s="74"/>
      <c r="W102" s="74"/>
      <c r="X102" s="74"/>
      <c r="Y102" s="74"/>
    </row>
    <row r="103" spans="1:25" s="14" customFormat="1" x14ac:dyDescent="0.2">
      <c r="A103" s="14">
        <f t="shared" si="11"/>
        <v>96</v>
      </c>
      <c r="B103" s="97" t="s">
        <v>561</v>
      </c>
      <c r="C103" s="14" t="s">
        <v>562</v>
      </c>
      <c r="D103" s="74" t="s">
        <v>500</v>
      </c>
      <c r="E103" s="98">
        <v>-1245672</v>
      </c>
      <c r="F103" s="98">
        <v>0</v>
      </c>
      <c r="G103" s="98">
        <v>0</v>
      </c>
      <c r="H103" s="98">
        <v>0</v>
      </c>
      <c r="I103" s="98">
        <v>0</v>
      </c>
      <c r="J103" s="98">
        <v>-435842.82964406698</v>
      </c>
      <c r="K103" s="98">
        <v>-800130.57324986497</v>
      </c>
      <c r="L103" s="98">
        <v>0</v>
      </c>
      <c r="M103" s="98">
        <v>0</v>
      </c>
      <c r="N103" s="98">
        <v>0</v>
      </c>
      <c r="O103" s="98">
        <v>-9698.5971060680858</v>
      </c>
      <c r="P103" s="74"/>
      <c r="Q103" s="98">
        <v>-412218.0095138941</v>
      </c>
      <c r="R103" s="98">
        <v>0</v>
      </c>
      <c r="S103" s="98">
        <v>-23624.820130172873</v>
      </c>
      <c r="T103" s="98">
        <f t="shared" si="15"/>
        <v>-435842.82964406698</v>
      </c>
      <c r="U103" s="98">
        <f t="shared" si="16"/>
        <v>-412218.0095138941</v>
      </c>
      <c r="V103" s="74"/>
      <c r="W103" s="74"/>
      <c r="X103" s="74"/>
      <c r="Y103" s="74"/>
    </row>
    <row r="104" spans="1:25" s="14" customFormat="1" x14ac:dyDescent="0.2">
      <c r="A104" s="14">
        <f t="shared" si="11"/>
        <v>97</v>
      </c>
      <c r="B104" s="97" t="s">
        <v>563</v>
      </c>
      <c r="C104" s="14" t="s">
        <v>564</v>
      </c>
      <c r="D104" s="74" t="s">
        <v>495</v>
      </c>
      <c r="E104" s="98">
        <v>-72954566.067123711</v>
      </c>
      <c r="F104" s="98">
        <v>-54471763.488865152</v>
      </c>
      <c r="G104" s="98">
        <v>-8921362.3803448081</v>
      </c>
      <c r="H104" s="98">
        <v>-1304252.6428713268</v>
      </c>
      <c r="I104" s="98">
        <v>-14707.255189992533</v>
      </c>
      <c r="J104" s="98">
        <v>0</v>
      </c>
      <c r="K104" s="98">
        <v>0</v>
      </c>
      <c r="L104" s="98">
        <v>0</v>
      </c>
      <c r="M104" s="98">
        <v>0</v>
      </c>
      <c r="N104" s="98">
        <v>-8242480.2998524411</v>
      </c>
      <c r="O104" s="98">
        <v>0</v>
      </c>
      <c r="P104" s="74"/>
      <c r="Q104" s="98">
        <v>0</v>
      </c>
      <c r="R104" s="98">
        <v>0</v>
      </c>
      <c r="S104" s="98">
        <v>0</v>
      </c>
      <c r="T104" s="98">
        <f t="shared" si="15"/>
        <v>0</v>
      </c>
      <c r="U104" s="98">
        <f t="shared" si="16"/>
        <v>0</v>
      </c>
      <c r="V104" s="74"/>
      <c r="W104" s="74"/>
      <c r="X104" s="74"/>
      <c r="Y104" s="74"/>
    </row>
    <row r="105" spans="1:25" s="14" customFormat="1" x14ac:dyDescent="0.2">
      <c r="A105" s="14">
        <f t="shared" si="11"/>
        <v>98</v>
      </c>
      <c r="B105" s="97" t="s">
        <v>565</v>
      </c>
      <c r="C105" s="14" t="s">
        <v>566</v>
      </c>
      <c r="D105" s="74" t="s">
        <v>498</v>
      </c>
      <c r="E105" s="98">
        <v>-134960859.27036494</v>
      </c>
      <c r="F105" s="98">
        <v>-107817200.16035898</v>
      </c>
      <c r="G105" s="98">
        <v>-16667975.048270775</v>
      </c>
      <c r="H105" s="98">
        <v>-7944274.4123820299</v>
      </c>
      <c r="I105" s="98">
        <v>-2195175.1860408979</v>
      </c>
      <c r="J105" s="98">
        <v>0</v>
      </c>
      <c r="K105" s="98">
        <v>0</v>
      </c>
      <c r="L105" s="98">
        <v>0</v>
      </c>
      <c r="M105" s="98">
        <v>0</v>
      </c>
      <c r="N105" s="98">
        <v>-336234.46331225522</v>
      </c>
      <c r="O105" s="98">
        <v>0</v>
      </c>
      <c r="P105" s="74"/>
      <c r="Q105" s="98">
        <v>0</v>
      </c>
      <c r="R105" s="98">
        <v>0</v>
      </c>
      <c r="S105" s="98">
        <v>0</v>
      </c>
      <c r="T105" s="98">
        <f t="shared" si="15"/>
        <v>0</v>
      </c>
      <c r="U105" s="98">
        <f t="shared" si="16"/>
        <v>0</v>
      </c>
      <c r="V105" s="74"/>
      <c r="W105" s="74"/>
      <c r="X105" s="74"/>
      <c r="Y105" s="74"/>
    </row>
    <row r="106" spans="1:25" s="14" customFormat="1" x14ac:dyDescent="0.2">
      <c r="A106" s="14">
        <f t="shared" si="11"/>
        <v>99</v>
      </c>
      <c r="B106" s="97" t="s">
        <v>567</v>
      </c>
      <c r="C106" s="14" t="s">
        <v>568</v>
      </c>
      <c r="D106" s="74" t="s">
        <v>503</v>
      </c>
      <c r="E106" s="98">
        <v>-33106913.110664558</v>
      </c>
      <c r="F106" s="98">
        <v>-28570731.161835331</v>
      </c>
      <c r="G106" s="98">
        <v>-4365306.1039201962</v>
      </c>
      <c r="H106" s="98">
        <v>-167252.18184545738</v>
      </c>
      <c r="I106" s="98">
        <v>-3623.6630635751485</v>
      </c>
      <c r="J106" s="98">
        <v>0</v>
      </c>
      <c r="K106" s="98">
        <v>0</v>
      </c>
      <c r="L106" s="98">
        <v>0</v>
      </c>
      <c r="M106" s="98">
        <v>0</v>
      </c>
      <c r="N106" s="98">
        <v>0</v>
      </c>
      <c r="O106" s="98">
        <v>0</v>
      </c>
      <c r="P106" s="74"/>
      <c r="Q106" s="98">
        <v>0</v>
      </c>
      <c r="R106" s="98">
        <v>0</v>
      </c>
      <c r="S106" s="98">
        <v>0</v>
      </c>
      <c r="T106" s="98">
        <f t="shared" si="15"/>
        <v>0</v>
      </c>
      <c r="U106" s="98">
        <f t="shared" si="16"/>
        <v>0</v>
      </c>
      <c r="V106" s="74"/>
      <c r="W106" s="74"/>
      <c r="X106" s="74"/>
      <c r="Y106" s="74"/>
    </row>
    <row r="107" spans="1:25" s="14" customFormat="1" x14ac:dyDescent="0.2">
      <c r="A107" s="14">
        <f t="shared" si="11"/>
        <v>100</v>
      </c>
      <c r="B107" s="97" t="s">
        <v>569</v>
      </c>
      <c r="C107" s="14" t="s">
        <v>570</v>
      </c>
      <c r="D107" s="74" t="s">
        <v>339</v>
      </c>
      <c r="E107" s="98">
        <v>-93641215.226628304</v>
      </c>
      <c r="F107" s="98">
        <v>-93641215.226628304</v>
      </c>
      <c r="G107" s="98">
        <v>0</v>
      </c>
      <c r="H107" s="98">
        <v>0</v>
      </c>
      <c r="I107" s="98">
        <v>0</v>
      </c>
      <c r="J107" s="98">
        <v>0</v>
      </c>
      <c r="K107" s="98">
        <v>0</v>
      </c>
      <c r="L107" s="98">
        <v>0</v>
      </c>
      <c r="M107" s="98">
        <v>0</v>
      </c>
      <c r="N107" s="98">
        <v>0</v>
      </c>
      <c r="O107" s="98">
        <v>0</v>
      </c>
      <c r="P107" s="74"/>
      <c r="Q107" s="98">
        <v>0</v>
      </c>
      <c r="R107" s="98">
        <v>0</v>
      </c>
      <c r="S107" s="98">
        <v>0</v>
      </c>
      <c r="T107" s="98">
        <f t="shared" si="15"/>
        <v>0</v>
      </c>
      <c r="U107" s="98">
        <f t="shared" si="16"/>
        <v>0</v>
      </c>
      <c r="V107" s="74"/>
      <c r="W107" s="74"/>
      <c r="X107" s="74"/>
      <c r="Y107" s="74"/>
    </row>
    <row r="108" spans="1:25" s="14" customFormat="1" x14ac:dyDescent="0.2">
      <c r="A108" s="14">
        <f t="shared" si="11"/>
        <v>101</v>
      </c>
      <c r="B108" s="97" t="s">
        <v>571</v>
      </c>
      <c r="C108" s="14" t="s">
        <v>506</v>
      </c>
      <c r="D108" s="74" t="s">
        <v>320</v>
      </c>
      <c r="E108" s="98">
        <v>-39213863.239287503</v>
      </c>
      <c r="F108" s="98">
        <v>-25458658.24115362</v>
      </c>
      <c r="G108" s="98">
        <v>-7145874.7784302495</v>
      </c>
      <c r="H108" s="98">
        <v>-2111863.9488710072</v>
      </c>
      <c r="I108" s="98">
        <v>-237355.39323898061</v>
      </c>
      <c r="J108" s="98">
        <v>-3771017.7206631023</v>
      </c>
      <c r="K108" s="98">
        <v>-185829.47368523726</v>
      </c>
      <c r="L108" s="98">
        <v>-115399.66048185888</v>
      </c>
      <c r="M108" s="98">
        <v>-185792.45871956355</v>
      </c>
      <c r="N108" s="98">
        <v>0</v>
      </c>
      <c r="O108" s="98">
        <v>-2071.5640438791515</v>
      </c>
      <c r="P108" s="74"/>
      <c r="Q108" s="98">
        <v>-2842995.6880319864</v>
      </c>
      <c r="R108" s="98">
        <v>-9217.8877958739613</v>
      </c>
      <c r="S108" s="98">
        <v>-918804.14483524207</v>
      </c>
      <c r="T108" s="98">
        <f t="shared" si="15"/>
        <v>-3771017.7206631023</v>
      </c>
      <c r="U108" s="98">
        <f t="shared" si="16"/>
        <v>-2852213.5758278603</v>
      </c>
      <c r="V108" s="74"/>
      <c r="W108" s="74"/>
      <c r="X108" s="74"/>
      <c r="Y108" s="74"/>
    </row>
    <row r="109" spans="1:25" s="14" customFormat="1" x14ac:dyDescent="0.2">
      <c r="A109" s="14">
        <f>+A108+1</f>
        <v>102</v>
      </c>
      <c r="B109" s="97" t="s">
        <v>572</v>
      </c>
      <c r="C109" s="14" t="s">
        <v>507</v>
      </c>
      <c r="D109" s="74" t="s">
        <v>273</v>
      </c>
      <c r="E109" s="98">
        <v>-20006963.143007282</v>
      </c>
      <c r="F109" s="98">
        <v>0</v>
      </c>
      <c r="G109" s="98">
        <v>0</v>
      </c>
      <c r="H109" s="98">
        <v>0</v>
      </c>
      <c r="I109" s="98">
        <v>0</v>
      </c>
      <c r="J109" s="98">
        <v>0</v>
      </c>
      <c r="K109" s="98">
        <v>0</v>
      </c>
      <c r="L109" s="98">
        <v>0</v>
      </c>
      <c r="M109" s="98">
        <v>0</v>
      </c>
      <c r="N109" s="98">
        <v>-20006963.143007282</v>
      </c>
      <c r="O109" s="98">
        <v>0</v>
      </c>
      <c r="P109" s="74"/>
      <c r="Q109" s="98">
        <v>0</v>
      </c>
      <c r="R109" s="98">
        <v>0</v>
      </c>
      <c r="S109" s="98">
        <v>0</v>
      </c>
      <c r="T109" s="98">
        <f t="shared" si="15"/>
        <v>0</v>
      </c>
      <c r="U109" s="98">
        <f t="shared" si="16"/>
        <v>0</v>
      </c>
      <c r="V109" s="74"/>
      <c r="W109" s="74"/>
      <c r="X109" s="74"/>
      <c r="Y109" s="74"/>
    </row>
    <row r="110" spans="1:25" s="14" customFormat="1" x14ac:dyDescent="0.2">
      <c r="A110" s="14">
        <f>+A109+1</f>
        <v>103</v>
      </c>
      <c r="B110" s="97" t="s">
        <v>573</v>
      </c>
      <c r="C110" s="14" t="s">
        <v>508</v>
      </c>
      <c r="D110" s="74" t="s">
        <v>265</v>
      </c>
      <c r="E110" s="98">
        <v>-444030</v>
      </c>
      <c r="F110" s="98">
        <v>-297848.20035241888</v>
      </c>
      <c r="G110" s="98">
        <v>-53526.943492957435</v>
      </c>
      <c r="H110" s="98">
        <v>-47097.551984116624</v>
      </c>
      <c r="I110" s="98">
        <v>-19898.99030976159</v>
      </c>
      <c r="J110" s="98">
        <v>-20290.564468086432</v>
      </c>
      <c r="K110" s="98">
        <v>-3991.7044895898052</v>
      </c>
      <c r="L110" s="98">
        <v>-966.013265071604</v>
      </c>
      <c r="M110" s="98">
        <v>-5.8051893053770316</v>
      </c>
      <c r="N110" s="98">
        <v>-223.49545310550741</v>
      </c>
      <c r="O110" s="98">
        <v>-180.73099558673977</v>
      </c>
      <c r="P110" s="74"/>
      <c r="Q110" s="98">
        <v>-15448.335230700945</v>
      </c>
      <c r="R110" s="98">
        <v>-252.90775445017812</v>
      </c>
      <c r="S110" s="98">
        <v>-4589.3214829353092</v>
      </c>
      <c r="T110" s="98">
        <f t="shared" si="15"/>
        <v>-20290.564468086432</v>
      </c>
      <c r="U110" s="98">
        <f t="shared" si="16"/>
        <v>-15701.242985151122</v>
      </c>
      <c r="V110" s="74"/>
      <c r="W110" s="74"/>
      <c r="X110" s="74"/>
      <c r="Y110" s="74"/>
    </row>
    <row r="111" spans="1:25" s="14" customFormat="1" x14ac:dyDescent="0.2">
      <c r="A111" s="26">
        <f>+A110+1</f>
        <v>104</v>
      </c>
      <c r="B111" s="68"/>
      <c r="C111" s="26" t="s">
        <v>292</v>
      </c>
      <c r="D111" s="31"/>
      <c r="E111" s="69">
        <f t="shared" ref="E111:N111" si="17">SUM(E90:E110)</f>
        <v>-1498751943.7972682</v>
      </c>
      <c r="F111" s="69">
        <f t="shared" si="17"/>
        <v>-1022590409.9608288</v>
      </c>
      <c r="G111" s="69">
        <f t="shared" si="17"/>
        <v>-169759893.99285582</v>
      </c>
      <c r="H111" s="69">
        <f t="shared" si="17"/>
        <v>-132881503.87587054</v>
      </c>
      <c r="I111" s="69">
        <f t="shared" si="17"/>
        <v>-56057055.934821069</v>
      </c>
      <c r="J111" s="69">
        <f t="shared" si="17"/>
        <v>-58875736.895537138</v>
      </c>
      <c r="K111" s="69">
        <f t="shared" si="17"/>
        <v>-18772561.41136691</v>
      </c>
      <c r="L111" s="69">
        <f t="shared" si="17"/>
        <v>-6549368.4234639583</v>
      </c>
      <c r="M111" s="69">
        <f>SUM(M90:M110)</f>
        <v>-3675794.866051726</v>
      </c>
      <c r="N111" s="69">
        <f t="shared" si="17"/>
        <v>-29167042.775251456</v>
      </c>
      <c r="O111" s="69">
        <f>SUM(O90:O110)</f>
        <v>-422575.66122044518</v>
      </c>
      <c r="P111" s="74"/>
      <c r="Q111" s="69">
        <f>SUM(Q90:Q110)</f>
        <v>-46417829.459692053</v>
      </c>
      <c r="R111" s="69">
        <f>SUM(R90:R110)</f>
        <v>-570226.67840667663</v>
      </c>
      <c r="S111" s="69">
        <f>SUM(S90:S110)</f>
        <v>-11887680.757438408</v>
      </c>
      <c r="T111" s="69">
        <f>SUM(T90:T110)</f>
        <v>-58875736.895537138</v>
      </c>
      <c r="U111" s="69">
        <f>SUM(U90:U110)</f>
        <v>-46988056.138098732</v>
      </c>
      <c r="V111" s="74"/>
      <c r="W111" s="74"/>
      <c r="X111" s="74"/>
      <c r="Y111" s="74"/>
    </row>
    <row r="112" spans="1:25" s="14" customFormat="1" x14ac:dyDescent="0.2">
      <c r="A112" s="14">
        <f t="shared" si="11"/>
        <v>105</v>
      </c>
      <c r="B112" s="97"/>
      <c r="D112" s="74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74"/>
      <c r="Q112" s="98"/>
      <c r="R112" s="98"/>
      <c r="S112" s="98"/>
      <c r="T112" s="98"/>
      <c r="U112" s="98"/>
      <c r="V112" s="74"/>
      <c r="W112" s="74"/>
      <c r="X112" s="74"/>
      <c r="Y112" s="74"/>
    </row>
    <row r="113" spans="1:25" s="14" customFormat="1" x14ac:dyDescent="0.2">
      <c r="A113" s="14">
        <f t="shared" si="11"/>
        <v>106</v>
      </c>
      <c r="B113" s="97"/>
      <c r="C113" s="13" t="s">
        <v>95</v>
      </c>
      <c r="D113" s="74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74"/>
      <c r="Q113" s="98"/>
      <c r="R113" s="98"/>
      <c r="S113" s="98"/>
      <c r="T113" s="98"/>
      <c r="U113" s="98"/>
      <c r="V113" s="74"/>
      <c r="W113" s="74"/>
      <c r="X113" s="74"/>
      <c r="Y113" s="74"/>
    </row>
    <row r="114" spans="1:25" s="14" customFormat="1" x14ac:dyDescent="0.2">
      <c r="A114" s="14">
        <f t="shared" si="11"/>
        <v>107</v>
      </c>
      <c r="B114" s="97">
        <v>108.06</v>
      </c>
      <c r="C114" s="14" t="s">
        <v>574</v>
      </c>
      <c r="D114" s="74" t="s">
        <v>267</v>
      </c>
      <c r="E114" s="98">
        <v>-185099491.55969805</v>
      </c>
      <c r="F114" s="98">
        <v>-112689512.36564121</v>
      </c>
      <c r="G114" s="98">
        <v>-22398241.139949314</v>
      </c>
      <c r="H114" s="98">
        <v>-20330580.676056139</v>
      </c>
      <c r="I114" s="98">
        <v>-11564600.022052985</v>
      </c>
      <c r="J114" s="98">
        <v>-9773811.4713919461</v>
      </c>
      <c r="K114" s="98">
        <v>-1127715.5167841092</v>
      </c>
      <c r="L114" s="98">
        <v>-2895007.1293158168</v>
      </c>
      <c r="M114" s="98">
        <v>-1728120.8251912792</v>
      </c>
      <c r="N114" s="98">
        <v>-2538899.5190339158</v>
      </c>
      <c r="O114" s="98">
        <v>-53002.894281390916</v>
      </c>
      <c r="P114" s="74"/>
      <c r="Q114" s="98">
        <v>-8639076.3326249998</v>
      </c>
      <c r="R114" s="98">
        <v>-45318.997012517422</v>
      </c>
      <c r="S114" s="98">
        <v>-1089416.1417544289</v>
      </c>
      <c r="T114" s="98">
        <f>SUM(Q114:S114)</f>
        <v>-9773811.4713919461</v>
      </c>
      <c r="U114" s="98">
        <f>SUM(Q114:R114)</f>
        <v>-8684395.3296375182</v>
      </c>
      <c r="V114" s="74"/>
      <c r="W114" s="74"/>
      <c r="X114" s="74"/>
      <c r="Y114" s="74"/>
    </row>
    <row r="115" spans="1:25" s="14" customFormat="1" x14ac:dyDescent="0.2">
      <c r="A115" s="14">
        <f t="shared" si="11"/>
        <v>108</v>
      </c>
      <c r="B115" s="97">
        <v>108.07</v>
      </c>
      <c r="C115" s="14" t="s">
        <v>575</v>
      </c>
      <c r="D115" s="74" t="s">
        <v>354</v>
      </c>
      <c r="E115" s="98">
        <v>14858618.090523999</v>
      </c>
      <c r="F115" s="98">
        <v>8616968.9868640639</v>
      </c>
      <c r="G115" s="98">
        <v>1854504.3995283952</v>
      </c>
      <c r="H115" s="98">
        <v>1816209.3162344138</v>
      </c>
      <c r="I115" s="98">
        <v>1028817.974123708</v>
      </c>
      <c r="J115" s="98">
        <v>863903.08225453552</v>
      </c>
      <c r="K115" s="98">
        <v>100575.3991600202</v>
      </c>
      <c r="L115" s="98">
        <v>259226.98975265338</v>
      </c>
      <c r="M115" s="98">
        <v>162276.39054763564</v>
      </c>
      <c r="N115" s="98">
        <v>151373.68408203934</v>
      </c>
      <c r="O115" s="98">
        <v>4761.8679765381485</v>
      </c>
      <c r="P115" s="74"/>
      <c r="Q115" s="98">
        <v>762741.69108537096</v>
      </c>
      <c r="R115" s="98">
        <v>4052.0093285872963</v>
      </c>
      <c r="S115" s="98">
        <v>97109.381840577174</v>
      </c>
      <c r="T115" s="98">
        <f>SUM(Q115:S115)</f>
        <v>863903.08225453552</v>
      </c>
      <c r="U115" s="98">
        <f>SUM(Q115:R115)</f>
        <v>766793.70041395829</v>
      </c>
      <c r="V115" s="74"/>
      <c r="W115" s="74"/>
      <c r="X115" s="74"/>
      <c r="Y115" s="74"/>
    </row>
    <row r="116" spans="1:25" s="14" customFormat="1" x14ac:dyDescent="0.2">
      <c r="A116" s="26">
        <f>+A115+1</f>
        <v>109</v>
      </c>
      <c r="B116" s="68"/>
      <c r="C116" s="26" t="s">
        <v>292</v>
      </c>
      <c r="D116" s="31"/>
      <c r="E116" s="69">
        <f t="shared" ref="E116:N116" si="18">SUM(E114:E115)</f>
        <v>-170240873.46917406</v>
      </c>
      <c r="F116" s="69">
        <f t="shared" si="18"/>
        <v>-104072543.37877715</v>
      </c>
      <c r="G116" s="69">
        <f t="shared" si="18"/>
        <v>-20543736.740420919</v>
      </c>
      <c r="H116" s="69">
        <f t="shared" si="18"/>
        <v>-18514371.359821726</v>
      </c>
      <c r="I116" s="69">
        <f t="shared" si="18"/>
        <v>-10535782.047929276</v>
      </c>
      <c r="J116" s="69">
        <f t="shared" si="18"/>
        <v>-8909908.3891374096</v>
      </c>
      <c r="K116" s="69">
        <f t="shared" si="18"/>
        <v>-1027140.117624089</v>
      </c>
      <c r="L116" s="69">
        <f t="shared" si="18"/>
        <v>-2635780.1395631633</v>
      </c>
      <c r="M116" s="69">
        <f>SUM(M114:M115)</f>
        <v>-1565844.4346436434</v>
      </c>
      <c r="N116" s="69">
        <f t="shared" si="18"/>
        <v>-2387525.8349518767</v>
      </c>
      <c r="O116" s="69">
        <f>SUM(O114:O115)</f>
        <v>-48241.02630485277</v>
      </c>
      <c r="P116" s="74"/>
      <c r="Q116" s="69">
        <f>SUM(Q114:Q115)</f>
        <v>-7876334.6415396286</v>
      </c>
      <c r="R116" s="69">
        <f>SUM(R114:R115)</f>
        <v>-41266.987683930129</v>
      </c>
      <c r="S116" s="69">
        <f>SUM(S114:S115)</f>
        <v>-992306.75991385174</v>
      </c>
      <c r="T116" s="69">
        <f>SUM(T114:T115)</f>
        <v>-8909908.3891374096</v>
      </c>
      <c r="U116" s="69">
        <f>SUM(U114:U115)</f>
        <v>-7917601.62922356</v>
      </c>
      <c r="V116" s="74"/>
      <c r="W116" s="74"/>
      <c r="X116" s="74"/>
      <c r="Y116" s="74"/>
    </row>
    <row r="117" spans="1:25" s="14" customFormat="1" x14ac:dyDescent="0.2">
      <c r="A117" s="14">
        <f t="shared" si="11"/>
        <v>110</v>
      </c>
      <c r="B117" s="97"/>
      <c r="D117" s="74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74"/>
      <c r="Q117" s="98"/>
      <c r="R117" s="98"/>
      <c r="S117" s="98"/>
      <c r="T117" s="98"/>
      <c r="U117" s="98"/>
      <c r="V117" s="74"/>
      <c r="W117" s="74"/>
      <c r="X117" s="74"/>
      <c r="Y117" s="74"/>
    </row>
    <row r="118" spans="1:25" s="14" customFormat="1" x14ac:dyDescent="0.2">
      <c r="A118" s="14">
        <f t="shared" si="11"/>
        <v>111</v>
      </c>
      <c r="B118" s="97"/>
      <c r="C118" s="13" t="s">
        <v>576</v>
      </c>
      <c r="D118" s="74"/>
      <c r="E118" s="98">
        <v>-4292153131.7526517</v>
      </c>
      <c r="F118" s="98">
        <v>-2506631969.0397072</v>
      </c>
      <c r="G118" s="98">
        <v>-531209681.66558814</v>
      </c>
      <c r="H118" s="98">
        <v>-524533301.70383263</v>
      </c>
      <c r="I118" s="98">
        <v>-301198742.73174959</v>
      </c>
      <c r="J118" s="98">
        <v>-245787284.38862738</v>
      </c>
      <c r="K118" s="98">
        <v>-25882347.128794711</v>
      </c>
      <c r="L118" s="98">
        <v>-77996376.070563555</v>
      </c>
      <c r="M118" s="98">
        <v>-35587123.83787296</v>
      </c>
      <c r="N118" s="98">
        <v>-41982646.810771801</v>
      </c>
      <c r="O118" s="98">
        <v>-1343658.3751444723</v>
      </c>
      <c r="P118" s="74"/>
      <c r="Q118" s="98">
        <v>-218355319.34332165</v>
      </c>
      <c r="R118" s="98">
        <v>-1105518.8099380562</v>
      </c>
      <c r="S118" s="98">
        <v>-26326446.235367678</v>
      </c>
      <c r="T118" s="98">
        <f>SUM(Q118:S118)</f>
        <v>-245787284.38862738</v>
      </c>
      <c r="U118" s="98">
        <f>SUM(Q118:R118)</f>
        <v>-219460838.15325969</v>
      </c>
      <c r="V118" s="74"/>
      <c r="W118" s="74"/>
      <c r="X118" s="74"/>
      <c r="Y118" s="74"/>
    </row>
    <row r="119" spans="1:25" s="14" customFormat="1" x14ac:dyDescent="0.2">
      <c r="A119" s="14">
        <f t="shared" si="11"/>
        <v>112</v>
      </c>
      <c r="B119" s="97"/>
      <c r="C119" s="13"/>
      <c r="D119" s="74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74"/>
      <c r="Q119" s="98"/>
      <c r="R119" s="98"/>
      <c r="S119" s="98"/>
      <c r="T119" s="98"/>
      <c r="U119" s="98"/>
      <c r="V119" s="74"/>
      <c r="W119" s="74"/>
      <c r="X119" s="74"/>
      <c r="Y119" s="74"/>
    </row>
    <row r="120" spans="1:25" s="14" customFormat="1" x14ac:dyDescent="0.2">
      <c r="A120" s="14">
        <f t="shared" si="11"/>
        <v>113</v>
      </c>
      <c r="B120" s="97"/>
      <c r="C120" s="13" t="s">
        <v>577</v>
      </c>
      <c r="D120" s="74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74"/>
      <c r="Q120" s="98"/>
      <c r="R120" s="98"/>
      <c r="S120" s="98"/>
      <c r="T120" s="98"/>
      <c r="U120" s="98"/>
      <c r="V120" s="74"/>
      <c r="W120" s="74"/>
      <c r="X120" s="74"/>
      <c r="Y120" s="74"/>
    </row>
    <row r="121" spans="1:25" s="14" customFormat="1" x14ac:dyDescent="0.2">
      <c r="A121" s="14">
        <f t="shared" si="11"/>
        <v>114</v>
      </c>
      <c r="B121" s="97"/>
      <c r="C121" s="14" t="s">
        <v>71</v>
      </c>
      <c r="D121" s="74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74"/>
      <c r="Q121" s="98"/>
      <c r="R121" s="98"/>
      <c r="S121" s="98"/>
      <c r="T121" s="98"/>
      <c r="U121" s="98"/>
      <c r="V121" s="74"/>
      <c r="W121" s="74"/>
      <c r="X121" s="74"/>
      <c r="Y121" s="74"/>
    </row>
    <row r="122" spans="1:25" s="14" customFormat="1" x14ac:dyDescent="0.2">
      <c r="A122" s="14">
        <f t="shared" si="11"/>
        <v>115</v>
      </c>
      <c r="B122" s="97" t="s">
        <v>578</v>
      </c>
      <c r="C122" s="14" t="s">
        <v>579</v>
      </c>
      <c r="D122" s="74" t="s">
        <v>580</v>
      </c>
      <c r="E122" s="98">
        <v>137375215.95577019</v>
      </c>
      <c r="F122" s="98">
        <v>79781378.670227051</v>
      </c>
      <c r="G122" s="98">
        <v>17134603.458289959</v>
      </c>
      <c r="H122" s="98">
        <v>16750054.409043005</v>
      </c>
      <c r="I122" s="98">
        <v>9490723.3300346974</v>
      </c>
      <c r="J122" s="98">
        <v>7969548.1594735421</v>
      </c>
      <c r="K122" s="98">
        <v>923770.37810957758</v>
      </c>
      <c r="L122" s="98">
        <v>2391541.3137846538</v>
      </c>
      <c r="M122" s="98">
        <v>1477479.0317500923</v>
      </c>
      <c r="N122" s="98">
        <v>1412213.3616707711</v>
      </c>
      <c r="O122" s="98">
        <v>43903.843386790082</v>
      </c>
      <c r="P122" s="74"/>
      <c r="Q122" s="98">
        <v>7036948.4649346992</v>
      </c>
      <c r="R122" s="98">
        <v>37348.518980995956</v>
      </c>
      <c r="S122" s="98">
        <v>895251.17555784702</v>
      </c>
      <c r="T122" s="98">
        <f>SUM(Q122:S122)</f>
        <v>7969548.1594735421</v>
      </c>
      <c r="U122" s="98">
        <f>SUM(Q122:R122)</f>
        <v>7074296.983915695</v>
      </c>
      <c r="V122" s="74"/>
      <c r="W122" s="74"/>
      <c r="X122" s="74"/>
      <c r="Y122" s="74"/>
    </row>
    <row r="123" spans="1:25" s="14" customFormat="1" x14ac:dyDescent="0.2">
      <c r="A123" s="26">
        <f t="shared" si="11"/>
        <v>116</v>
      </c>
      <c r="B123" s="68"/>
      <c r="C123" s="26" t="s">
        <v>292</v>
      </c>
      <c r="D123" s="31"/>
      <c r="E123" s="69">
        <f>SUM(E122)</f>
        <v>137375215.95577019</v>
      </c>
      <c r="F123" s="69">
        <f t="shared" ref="F123:N123" si="19">SUM(F122)</f>
        <v>79781378.670227051</v>
      </c>
      <c r="G123" s="69">
        <f t="shared" si="19"/>
        <v>17134603.458289959</v>
      </c>
      <c r="H123" s="69">
        <f t="shared" si="19"/>
        <v>16750054.409043005</v>
      </c>
      <c r="I123" s="69">
        <f t="shared" si="19"/>
        <v>9490723.3300346974</v>
      </c>
      <c r="J123" s="69">
        <f t="shared" si="19"/>
        <v>7969548.1594735421</v>
      </c>
      <c r="K123" s="69">
        <f t="shared" si="19"/>
        <v>923770.37810957758</v>
      </c>
      <c r="L123" s="69">
        <f t="shared" si="19"/>
        <v>2391541.3137846538</v>
      </c>
      <c r="M123" s="69">
        <f>SUM(M122)</f>
        <v>1477479.0317500923</v>
      </c>
      <c r="N123" s="69">
        <f t="shared" si="19"/>
        <v>1412213.3616707711</v>
      </c>
      <c r="O123" s="69">
        <f>SUM(O122)</f>
        <v>43903.843386790082</v>
      </c>
      <c r="P123" s="74"/>
      <c r="Q123" s="69">
        <f>SUM(Q122)</f>
        <v>7036948.4649346992</v>
      </c>
      <c r="R123" s="69">
        <f>SUM(R122)</f>
        <v>37348.518980995956</v>
      </c>
      <c r="S123" s="69">
        <f>SUM(S122)</f>
        <v>895251.17555784702</v>
      </c>
      <c r="T123" s="69">
        <f>SUM(T122)</f>
        <v>7969548.1594735421</v>
      </c>
      <c r="U123" s="69">
        <f>SUM(U122)</f>
        <v>7074296.983915695</v>
      </c>
      <c r="V123" s="74"/>
      <c r="W123" s="74"/>
      <c r="X123" s="74"/>
      <c r="Y123" s="74"/>
    </row>
    <row r="124" spans="1:25" s="14" customFormat="1" x14ac:dyDescent="0.2">
      <c r="A124" s="14">
        <f t="shared" si="11"/>
        <v>117</v>
      </c>
      <c r="B124" s="97"/>
      <c r="D124" s="74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74"/>
      <c r="Q124" s="98"/>
      <c r="R124" s="98"/>
      <c r="S124" s="98"/>
      <c r="T124" s="98"/>
      <c r="U124" s="98"/>
      <c r="V124" s="74"/>
      <c r="W124" s="74"/>
      <c r="X124" s="74"/>
      <c r="Y124" s="74"/>
    </row>
    <row r="125" spans="1:25" s="14" customFormat="1" x14ac:dyDescent="0.2">
      <c r="A125" s="14">
        <f t="shared" si="11"/>
        <v>118</v>
      </c>
      <c r="B125" s="97"/>
      <c r="C125" s="13" t="s">
        <v>72</v>
      </c>
      <c r="D125" s="74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74"/>
      <c r="Q125" s="98"/>
      <c r="R125" s="98"/>
      <c r="S125" s="98"/>
      <c r="T125" s="98"/>
      <c r="U125" s="98"/>
      <c r="V125" s="74"/>
      <c r="W125" s="74"/>
      <c r="X125" s="74"/>
      <c r="Y125" s="74"/>
    </row>
    <row r="126" spans="1:25" s="14" customFormat="1" x14ac:dyDescent="0.2">
      <c r="A126" s="14">
        <f t="shared" si="11"/>
        <v>119</v>
      </c>
      <c r="B126" s="97">
        <v>182.01</v>
      </c>
      <c r="C126" s="14" t="s">
        <v>581</v>
      </c>
      <c r="D126" s="74" t="s">
        <v>232</v>
      </c>
      <c r="E126" s="98">
        <v>189792533.49183738</v>
      </c>
      <c r="F126" s="98">
        <v>100039134.12724411</v>
      </c>
      <c r="G126" s="98">
        <v>25135396.155381601</v>
      </c>
      <c r="H126" s="98">
        <v>27836621.243245341</v>
      </c>
      <c r="I126" s="98">
        <v>17608413.999574654</v>
      </c>
      <c r="J126" s="98">
        <v>13275885.272348478</v>
      </c>
      <c r="K126" s="98">
        <v>0</v>
      </c>
      <c r="L126" s="98">
        <v>5207152.5347288325</v>
      </c>
      <c r="M126" s="98">
        <v>0</v>
      </c>
      <c r="N126" s="98">
        <v>625290.07421604008</v>
      </c>
      <c r="O126" s="98">
        <v>64640.085098350646</v>
      </c>
      <c r="P126" s="74"/>
      <c r="Q126" s="98">
        <v>12267599.611651348</v>
      </c>
      <c r="R126" s="98">
        <v>35291.711615347922</v>
      </c>
      <c r="S126" s="98">
        <v>972993.94908178167</v>
      </c>
      <c r="T126" s="98">
        <f t="shared" ref="T126:T144" si="20">SUM(Q126:S126)</f>
        <v>13275885.272348478</v>
      </c>
      <c r="U126" s="98">
        <f t="shared" ref="U126:U144" si="21">SUM(Q126:R126)</f>
        <v>12302891.323266696</v>
      </c>
      <c r="V126" s="74"/>
      <c r="W126" s="74"/>
      <c r="X126" s="74"/>
      <c r="Y126" s="74"/>
    </row>
    <row r="127" spans="1:25" s="14" customFormat="1" x14ac:dyDescent="0.2">
      <c r="A127" s="14">
        <f t="shared" si="11"/>
        <v>120</v>
      </c>
      <c r="B127" s="97">
        <v>182.02</v>
      </c>
      <c r="C127" s="14" t="s">
        <v>582</v>
      </c>
      <c r="D127" s="74" t="s">
        <v>232</v>
      </c>
      <c r="E127" s="98">
        <v>282930</v>
      </c>
      <c r="F127" s="98">
        <v>149131.6423142562</v>
      </c>
      <c r="G127" s="98">
        <v>37470.165466482758</v>
      </c>
      <c r="H127" s="98">
        <v>41496.970947437869</v>
      </c>
      <c r="I127" s="98">
        <v>26249.444492050694</v>
      </c>
      <c r="J127" s="98">
        <v>19790.800781249385</v>
      </c>
      <c r="K127" s="98">
        <v>0</v>
      </c>
      <c r="L127" s="98">
        <v>7762.4743162733048</v>
      </c>
      <c r="M127" s="98">
        <v>0</v>
      </c>
      <c r="N127" s="98">
        <v>932.14057182893839</v>
      </c>
      <c r="O127" s="98">
        <v>96.361110420937123</v>
      </c>
      <c r="P127" s="74"/>
      <c r="Q127" s="98">
        <v>18287.71603532966</v>
      </c>
      <c r="R127" s="98">
        <v>52.610520464756995</v>
      </c>
      <c r="S127" s="98">
        <v>1450.4742254549658</v>
      </c>
      <c r="T127" s="98">
        <f t="shared" si="20"/>
        <v>19790.800781249385</v>
      </c>
      <c r="U127" s="98">
        <f t="shared" si="21"/>
        <v>18340.326555794418</v>
      </c>
      <c r="V127" s="74"/>
      <c r="W127" s="74"/>
      <c r="X127" s="74"/>
      <c r="Y127" s="74"/>
    </row>
    <row r="128" spans="1:25" s="14" customFormat="1" x14ac:dyDescent="0.2">
      <c r="A128" s="14">
        <f t="shared" si="11"/>
        <v>121</v>
      </c>
      <c r="B128" s="97">
        <v>182.03</v>
      </c>
      <c r="C128" s="14" t="s">
        <v>583</v>
      </c>
      <c r="D128" s="74" t="s">
        <v>279</v>
      </c>
      <c r="E128" s="98">
        <v>-3679667.3302051304</v>
      </c>
      <c r="F128" s="98">
        <v>-2446656.6075007757</v>
      </c>
      <c r="G128" s="98">
        <v>-436178.36362836417</v>
      </c>
      <c r="H128" s="98">
        <v>-346299.53992125602</v>
      </c>
      <c r="I128" s="98">
        <v>-147465.10479993484</v>
      </c>
      <c r="J128" s="98">
        <v>-163572.21991398971</v>
      </c>
      <c r="K128" s="98">
        <v>-44243.364519890485</v>
      </c>
      <c r="L128" s="98">
        <v>-16861.288629307564</v>
      </c>
      <c r="M128" s="98">
        <v>-5825.648419958784</v>
      </c>
      <c r="N128" s="98">
        <v>-71436.067965629263</v>
      </c>
      <c r="O128" s="98">
        <v>-1129.1249060231639</v>
      </c>
      <c r="P128" s="74"/>
      <c r="Q128" s="98">
        <v>-129945.24515702781</v>
      </c>
      <c r="R128" s="98">
        <v>-1481.8297137822483</v>
      </c>
      <c r="S128" s="98">
        <v>-32145.145043179658</v>
      </c>
      <c r="T128" s="98">
        <f t="shared" si="20"/>
        <v>-163572.21991398971</v>
      </c>
      <c r="U128" s="98">
        <f t="shared" si="21"/>
        <v>-131427.07487081006</v>
      </c>
      <c r="V128" s="74"/>
      <c r="W128" s="74"/>
      <c r="X128" s="74"/>
      <c r="Y128" s="74"/>
    </row>
    <row r="129" spans="1:25" s="14" customFormat="1" x14ac:dyDescent="0.2">
      <c r="A129" s="14">
        <f t="shared" si="11"/>
        <v>122</v>
      </c>
      <c r="B129" s="97">
        <v>182.04</v>
      </c>
      <c r="C129" s="14" t="s">
        <v>584</v>
      </c>
      <c r="D129" s="74" t="s">
        <v>267</v>
      </c>
      <c r="E129" s="98">
        <v>68510052.721862912</v>
      </c>
      <c r="F129" s="98">
        <v>41709268.719850264</v>
      </c>
      <c r="G129" s="98">
        <v>8290161.5150035135</v>
      </c>
      <c r="H129" s="98">
        <v>7524867.5306786224</v>
      </c>
      <c r="I129" s="98">
        <v>4280354.0438822778</v>
      </c>
      <c r="J129" s="98">
        <v>3617537.4311206625</v>
      </c>
      <c r="K129" s="98">
        <v>417396.33566321526</v>
      </c>
      <c r="L129" s="98">
        <v>1071516.1310728302</v>
      </c>
      <c r="M129" s="98">
        <v>639621.68586194969</v>
      </c>
      <c r="N129" s="98">
        <v>939711.60287291766</v>
      </c>
      <c r="O129" s="98">
        <v>19617.725856682206</v>
      </c>
      <c r="P129" s="74"/>
      <c r="Q129" s="98">
        <v>3197542.9539494431</v>
      </c>
      <c r="R129" s="98">
        <v>16773.71908732747</v>
      </c>
      <c r="S129" s="98">
        <v>403220.75808389194</v>
      </c>
      <c r="T129" s="98">
        <f t="shared" si="20"/>
        <v>3617537.4311206625</v>
      </c>
      <c r="U129" s="98">
        <f t="shared" si="21"/>
        <v>3214316.6730367704</v>
      </c>
      <c r="V129" s="74"/>
      <c r="W129" s="74"/>
      <c r="X129" s="74"/>
      <c r="Y129" s="74"/>
    </row>
    <row r="130" spans="1:25" s="14" customFormat="1" x14ac:dyDescent="0.2">
      <c r="A130" s="14">
        <f t="shared" si="11"/>
        <v>123</v>
      </c>
      <c r="B130" s="97">
        <v>282</v>
      </c>
      <c r="C130" s="14" t="s">
        <v>585</v>
      </c>
      <c r="D130" s="74">
        <v>0</v>
      </c>
      <c r="E130" s="98">
        <v>-14559444.715643</v>
      </c>
      <c r="F130" s="98">
        <v>-7674244.1650848594</v>
      </c>
      <c r="G130" s="98">
        <v>-1928197.0897227272</v>
      </c>
      <c r="H130" s="98">
        <v>-2135414.6056475644</v>
      </c>
      <c r="I130" s="98">
        <v>-1350784.0663710164</v>
      </c>
      <c r="J130" s="98">
        <v>-1018425.2990241568</v>
      </c>
      <c r="K130" s="98">
        <v>0</v>
      </c>
      <c r="L130" s="98">
        <v>-399453.27700978995</v>
      </c>
      <c r="M130" s="98">
        <v>0</v>
      </c>
      <c r="N130" s="98">
        <v>-47967.515366879728</v>
      </c>
      <c r="O130" s="98">
        <v>-4958.6974160096306</v>
      </c>
      <c r="P130" s="74"/>
      <c r="Q130" s="98">
        <v>-941077.26501876849</v>
      </c>
      <c r="R130" s="98">
        <v>-2707.3126362274561</v>
      </c>
      <c r="S130" s="98">
        <v>-74640.721369160834</v>
      </c>
      <c r="T130" s="98">
        <f t="shared" si="20"/>
        <v>-1018425.2990241568</v>
      </c>
      <c r="U130" s="98">
        <f t="shared" si="21"/>
        <v>-943784.57765499596</v>
      </c>
      <c r="V130" s="74"/>
      <c r="W130" s="74"/>
      <c r="X130" s="74"/>
      <c r="Y130" s="74"/>
    </row>
    <row r="131" spans="1:25" s="14" customFormat="1" x14ac:dyDescent="0.2">
      <c r="A131" s="14">
        <f t="shared" si="11"/>
        <v>124</v>
      </c>
      <c r="B131" s="97">
        <v>282.01</v>
      </c>
      <c r="C131" s="14" t="s">
        <v>586</v>
      </c>
      <c r="D131" s="74">
        <v>0</v>
      </c>
      <c r="E131" s="98">
        <v>10200176.612901218</v>
      </c>
      <c r="F131" s="98">
        <v>5376485.6684601344</v>
      </c>
      <c r="G131" s="98">
        <v>1350872.3199121912</v>
      </c>
      <c r="H131" s="98">
        <v>1496046.4869907647</v>
      </c>
      <c r="I131" s="98">
        <v>946343.51185616292</v>
      </c>
      <c r="J131" s="98">
        <v>713496.84826454287</v>
      </c>
      <c r="K131" s="98">
        <v>0</v>
      </c>
      <c r="L131" s="98">
        <v>279852.2920125025</v>
      </c>
      <c r="M131" s="98">
        <v>0</v>
      </c>
      <c r="N131" s="98">
        <v>33605.480015218985</v>
      </c>
      <c r="O131" s="98">
        <v>3474.0053897035832</v>
      </c>
      <c r="P131" s="74"/>
      <c r="Q131" s="98">
        <v>659307.72066217149</v>
      </c>
      <c r="R131" s="98">
        <v>1896.7115556398235</v>
      </c>
      <c r="S131" s="98">
        <v>52292.416046731531</v>
      </c>
      <c r="T131" s="98">
        <f t="shared" si="20"/>
        <v>713496.84826454287</v>
      </c>
      <c r="U131" s="98">
        <f t="shared" si="21"/>
        <v>661204.43221781135</v>
      </c>
      <c r="V131" s="74"/>
      <c r="W131" s="74"/>
      <c r="X131" s="74"/>
      <c r="Y131" s="74"/>
    </row>
    <row r="132" spans="1:25" s="14" customFormat="1" x14ac:dyDescent="0.2">
      <c r="A132" s="14">
        <f t="shared" si="11"/>
        <v>125</v>
      </c>
      <c r="B132" s="97">
        <v>282.02</v>
      </c>
      <c r="C132" s="14" t="s">
        <v>587</v>
      </c>
      <c r="D132" s="74">
        <v>0</v>
      </c>
      <c r="E132" s="98">
        <v>-1386885625.7545435</v>
      </c>
      <c r="F132" s="98">
        <v>-802086570.46115088</v>
      </c>
      <c r="G132" s="98">
        <v>-173388467.98337024</v>
      </c>
      <c r="H132" s="98">
        <v>-170472061.37878209</v>
      </c>
      <c r="I132" s="98">
        <v>-96546481.691470146</v>
      </c>
      <c r="J132" s="98">
        <v>-81044467.451555312</v>
      </c>
      <c r="K132" s="98">
        <v>-9439377.0122897048</v>
      </c>
      <c r="L132" s="98">
        <v>-24334224.984202579</v>
      </c>
      <c r="M132" s="98">
        <v>-15268067.075518638</v>
      </c>
      <c r="N132" s="98">
        <v>-13858827.190928433</v>
      </c>
      <c r="O132" s="98">
        <v>-447080.5252759888</v>
      </c>
      <c r="P132" s="74"/>
      <c r="Q132" s="98">
        <v>-71550278.688460931</v>
      </c>
      <c r="R132" s="98">
        <v>-380343.67215952178</v>
      </c>
      <c r="S132" s="98">
        <v>-9113845.0909348559</v>
      </c>
      <c r="T132" s="98">
        <f t="shared" si="20"/>
        <v>-81044467.451555312</v>
      </c>
      <c r="U132" s="98">
        <f t="shared" si="21"/>
        <v>-71930622.360620454</v>
      </c>
      <c r="V132" s="74"/>
      <c r="W132" s="74"/>
      <c r="X132" s="74"/>
      <c r="Y132" s="74"/>
    </row>
    <row r="133" spans="1:25" s="14" customFormat="1" x14ac:dyDescent="0.2">
      <c r="A133" s="14">
        <f t="shared" si="11"/>
        <v>126</v>
      </c>
      <c r="B133" s="97">
        <v>235</v>
      </c>
      <c r="C133" s="14" t="s">
        <v>588</v>
      </c>
      <c r="D133" s="74" t="s">
        <v>589</v>
      </c>
      <c r="E133" s="98">
        <v>-25836611.384475</v>
      </c>
      <c r="F133" s="98">
        <v>-23095250.799047243</v>
      </c>
      <c r="G133" s="98">
        <v>-1864887.860734801</v>
      </c>
      <c r="H133" s="98">
        <v>-638245.470833336</v>
      </c>
      <c r="I133" s="98">
        <v>-169525.96587746224</v>
      </c>
      <c r="J133" s="98">
        <v>-57586.220566097596</v>
      </c>
      <c r="K133" s="98">
        <v>0</v>
      </c>
      <c r="L133" s="98">
        <v>0</v>
      </c>
      <c r="M133" s="98">
        <v>0</v>
      </c>
      <c r="N133" s="98">
        <v>-11115.0674160617</v>
      </c>
      <c r="O133" s="98">
        <v>0</v>
      </c>
      <c r="P133" s="74"/>
      <c r="Q133" s="98">
        <v>-57586.220566097596</v>
      </c>
      <c r="R133" s="98">
        <v>0</v>
      </c>
      <c r="S133" s="98">
        <v>0</v>
      </c>
      <c r="T133" s="98">
        <f t="shared" si="20"/>
        <v>-57586.220566097596</v>
      </c>
      <c r="U133" s="98">
        <f t="shared" si="21"/>
        <v>-57586.220566097596</v>
      </c>
      <c r="V133" s="74"/>
      <c r="W133" s="74"/>
      <c r="X133" s="74"/>
      <c r="Y133" s="74"/>
    </row>
    <row r="134" spans="1:25" s="14" customFormat="1" x14ac:dyDescent="0.2">
      <c r="A134" s="14">
        <f t="shared" si="11"/>
        <v>127</v>
      </c>
      <c r="B134" s="97">
        <v>235.01</v>
      </c>
      <c r="C134" s="14" t="s">
        <v>590</v>
      </c>
      <c r="D134" s="74">
        <v>0</v>
      </c>
      <c r="E134" s="98">
        <v>-2995643.46</v>
      </c>
      <c r="F134" s="98">
        <v>-1578995.6136774495</v>
      </c>
      <c r="G134" s="98">
        <v>-396731.54534615244</v>
      </c>
      <c r="H134" s="98">
        <v>-439367.08595236362</v>
      </c>
      <c r="I134" s="98">
        <v>-277927.32026029291</v>
      </c>
      <c r="J134" s="98">
        <v>-209543.6430513293</v>
      </c>
      <c r="K134" s="98">
        <v>0</v>
      </c>
      <c r="L134" s="98">
        <v>-82188.546350553472</v>
      </c>
      <c r="M134" s="98">
        <v>0</v>
      </c>
      <c r="N134" s="98">
        <v>-9869.4405252183205</v>
      </c>
      <c r="O134" s="98">
        <v>-1020.2648366409294</v>
      </c>
      <c r="P134" s="74"/>
      <c r="Q134" s="98">
        <v>-193629.08471909101</v>
      </c>
      <c r="R134" s="98">
        <v>-557.03658699128914</v>
      </c>
      <c r="S134" s="98">
        <v>-15357.521745246999</v>
      </c>
      <c r="T134" s="98">
        <f t="shared" si="20"/>
        <v>-209543.6430513293</v>
      </c>
      <c r="U134" s="98">
        <f t="shared" si="21"/>
        <v>-194186.12130608229</v>
      </c>
      <c r="V134" s="74"/>
      <c r="W134" s="74"/>
      <c r="X134" s="74"/>
      <c r="Y134" s="74"/>
    </row>
    <row r="135" spans="1:25" s="14" customFormat="1" x14ac:dyDescent="0.2">
      <c r="A135" s="14">
        <f t="shared" si="11"/>
        <v>128</v>
      </c>
      <c r="B135" s="97">
        <v>252</v>
      </c>
      <c r="C135" s="14" t="s">
        <v>591</v>
      </c>
      <c r="D135" s="74">
        <v>0</v>
      </c>
      <c r="E135" s="98">
        <v>-79258524.650000006</v>
      </c>
      <c r="F135" s="98">
        <v>-33974849.983845964</v>
      </c>
      <c r="G135" s="98">
        <v>-42161069.125409625</v>
      </c>
      <c r="H135" s="98">
        <v>-2830663.0729111028</v>
      </c>
      <c r="I135" s="98">
        <v>-291942.46783331066</v>
      </c>
      <c r="J135" s="98">
        <v>0</v>
      </c>
      <c r="K135" s="98">
        <v>0</v>
      </c>
      <c r="L135" s="98">
        <v>0</v>
      </c>
      <c r="M135" s="98">
        <v>0</v>
      </c>
      <c r="N135" s="98">
        <v>0</v>
      </c>
      <c r="O135" s="98">
        <v>0</v>
      </c>
      <c r="P135" s="74"/>
      <c r="Q135" s="98">
        <v>0</v>
      </c>
      <c r="R135" s="98">
        <v>0</v>
      </c>
      <c r="S135" s="98">
        <v>0</v>
      </c>
      <c r="T135" s="98">
        <f t="shared" si="20"/>
        <v>0</v>
      </c>
      <c r="U135" s="98">
        <f t="shared" si="21"/>
        <v>0</v>
      </c>
      <c r="V135" s="74"/>
      <c r="W135" s="74"/>
      <c r="X135" s="74"/>
      <c r="Y135" s="74"/>
    </row>
    <row r="136" spans="1:25" s="14" customFormat="1" x14ac:dyDescent="0.2">
      <c r="A136" s="14">
        <f t="shared" ref="A136:A151" si="22">+A135+1</f>
        <v>129</v>
      </c>
      <c r="B136" s="97">
        <v>253</v>
      </c>
      <c r="C136" s="14" t="s">
        <v>592</v>
      </c>
      <c r="D136" s="74" t="s">
        <v>356</v>
      </c>
      <c r="E136" s="98">
        <v>-2132461.9750080002</v>
      </c>
      <c r="F136" s="98">
        <v>-1301520.7657706658</v>
      </c>
      <c r="G136" s="98">
        <v>-257574.15583191678</v>
      </c>
      <c r="H136" s="98">
        <v>-232750.88747887744</v>
      </c>
      <c r="I136" s="98">
        <v>-132452.71481773359</v>
      </c>
      <c r="J136" s="98">
        <v>-111969.18453176366</v>
      </c>
      <c r="K136" s="98">
        <v>-12921.152596222011</v>
      </c>
      <c r="L136" s="98">
        <v>-33153.175362110313</v>
      </c>
      <c r="M136" s="98">
        <v>-19853.826724017094</v>
      </c>
      <c r="N136" s="98">
        <v>-29659.639831462275</v>
      </c>
      <c r="O136" s="98">
        <v>-606.4720632313348</v>
      </c>
      <c r="P136" s="74"/>
      <c r="Q136" s="98">
        <v>-98983.38526709209</v>
      </c>
      <c r="R136" s="98">
        <v>-518.46649140624163</v>
      </c>
      <c r="S136" s="98">
        <v>-12467.332773265322</v>
      </c>
      <c r="T136" s="98">
        <f t="shared" si="20"/>
        <v>-111969.18453176366</v>
      </c>
      <c r="U136" s="98">
        <f t="shared" si="21"/>
        <v>-99501.851758498335</v>
      </c>
      <c r="V136" s="74"/>
      <c r="W136" s="74"/>
      <c r="X136" s="74"/>
      <c r="Y136" s="74"/>
    </row>
    <row r="137" spans="1:25" s="14" customFormat="1" x14ac:dyDescent="0.2">
      <c r="A137" s="14">
        <f t="shared" si="22"/>
        <v>130</v>
      </c>
      <c r="B137" s="97">
        <v>114.01</v>
      </c>
      <c r="C137" s="14" t="s">
        <v>593</v>
      </c>
      <c r="D137" s="74">
        <v>0</v>
      </c>
      <c r="E137" s="98">
        <v>380941956.83829999</v>
      </c>
      <c r="F137" s="98">
        <v>200793481.24872646</v>
      </c>
      <c r="G137" s="98">
        <v>50450493.605686329</v>
      </c>
      <c r="H137" s="98">
        <v>55872255.736680686</v>
      </c>
      <c r="I137" s="98">
        <v>35342716.398827009</v>
      </c>
      <c r="J137" s="98">
        <v>26646684.257611763</v>
      </c>
      <c r="K137" s="98">
        <v>0</v>
      </c>
      <c r="L137" s="98">
        <v>10451532.732294904</v>
      </c>
      <c r="M137" s="98">
        <v>0</v>
      </c>
      <c r="N137" s="98">
        <v>1255050.5548400232</v>
      </c>
      <c r="O137" s="98">
        <v>129742.30363292436</v>
      </c>
      <c r="P137" s="74"/>
      <c r="Q137" s="98">
        <v>24622904.367163744</v>
      </c>
      <c r="R137" s="98">
        <v>70835.735397893324</v>
      </c>
      <c r="S137" s="98">
        <v>1952944.1550501261</v>
      </c>
      <c r="T137" s="98">
        <f t="shared" si="20"/>
        <v>26646684.257611763</v>
      </c>
      <c r="U137" s="98">
        <f t="shared" si="21"/>
        <v>24693740.102561638</v>
      </c>
      <c r="V137" s="74"/>
      <c r="W137" s="74"/>
      <c r="X137" s="74"/>
      <c r="Y137" s="74"/>
    </row>
    <row r="138" spans="1:25" s="14" customFormat="1" x14ac:dyDescent="0.2">
      <c r="A138" s="14">
        <f t="shared" si="22"/>
        <v>131</v>
      </c>
      <c r="B138" s="97">
        <v>114.02</v>
      </c>
      <c r="C138" s="14" t="s">
        <v>594</v>
      </c>
      <c r="D138" s="74">
        <v>0</v>
      </c>
      <c r="E138" s="98">
        <v>946172.25</v>
      </c>
      <c r="F138" s="98">
        <v>498724.84909580101</v>
      </c>
      <c r="G138" s="98">
        <v>125307.42857701299</v>
      </c>
      <c r="H138" s="98">
        <v>138773.83935786915</v>
      </c>
      <c r="I138" s="98">
        <v>87783.182965022119</v>
      </c>
      <c r="J138" s="98">
        <v>66184.238166671916</v>
      </c>
      <c r="K138" s="98">
        <v>0</v>
      </c>
      <c r="L138" s="98">
        <v>25959.204712810675</v>
      </c>
      <c r="M138" s="98">
        <v>0</v>
      </c>
      <c r="N138" s="98">
        <v>3117.2570676975693</v>
      </c>
      <c r="O138" s="98">
        <v>322.25005711475109</v>
      </c>
      <c r="P138" s="74"/>
      <c r="Q138" s="98">
        <v>61157.634144519645</v>
      </c>
      <c r="R138" s="98">
        <v>175.93968303753638</v>
      </c>
      <c r="S138" s="98">
        <v>4850.6643391147363</v>
      </c>
      <c r="T138" s="98">
        <f t="shared" si="20"/>
        <v>66184.238166671916</v>
      </c>
      <c r="U138" s="98">
        <f t="shared" si="21"/>
        <v>61333.573827557178</v>
      </c>
      <c r="V138" s="74"/>
      <c r="W138" s="74"/>
      <c r="X138" s="74"/>
      <c r="Y138" s="74"/>
    </row>
    <row r="139" spans="1:25" s="14" customFormat="1" x14ac:dyDescent="0.2">
      <c r="A139" s="14">
        <f t="shared" si="22"/>
        <v>132</v>
      </c>
      <c r="B139" s="97">
        <v>114.03</v>
      </c>
      <c r="C139" s="14" t="s">
        <v>595</v>
      </c>
      <c r="D139" s="74" t="s">
        <v>279</v>
      </c>
      <c r="E139" s="98">
        <v>302358.00999999995</v>
      </c>
      <c r="F139" s="98">
        <v>201041.60420285759</v>
      </c>
      <c r="G139" s="98">
        <v>35840.745968841838</v>
      </c>
      <c r="H139" s="98">
        <v>28455.409241755944</v>
      </c>
      <c r="I139" s="98">
        <v>12117.19746123466</v>
      </c>
      <c r="J139" s="98">
        <v>13440.717996025796</v>
      </c>
      <c r="K139" s="98">
        <v>3635.4742022814721</v>
      </c>
      <c r="L139" s="98">
        <v>1385.4909203731893</v>
      </c>
      <c r="M139" s="98">
        <v>478.693127707332</v>
      </c>
      <c r="N139" s="98">
        <v>5869.8967634958226</v>
      </c>
      <c r="O139" s="98">
        <v>92.780115426241224</v>
      </c>
      <c r="P139" s="74"/>
      <c r="Q139" s="98">
        <v>10677.591806227429</v>
      </c>
      <c r="R139" s="98">
        <v>121.76184508317847</v>
      </c>
      <c r="S139" s="98">
        <v>2641.364344715189</v>
      </c>
      <c r="T139" s="98">
        <f t="shared" si="20"/>
        <v>13440.717996025796</v>
      </c>
      <c r="U139" s="98">
        <f t="shared" si="21"/>
        <v>10799.353651310606</v>
      </c>
      <c r="V139" s="74"/>
      <c r="W139" s="74"/>
      <c r="X139" s="74"/>
      <c r="Y139" s="74"/>
    </row>
    <row r="140" spans="1:25" s="14" customFormat="1" x14ac:dyDescent="0.2">
      <c r="A140" s="14">
        <f t="shared" si="22"/>
        <v>133</v>
      </c>
      <c r="B140" s="97">
        <v>115.01</v>
      </c>
      <c r="C140" s="14" t="s">
        <v>596</v>
      </c>
      <c r="D140" s="74">
        <v>0</v>
      </c>
      <c r="E140" s="98">
        <v>-136832371.41</v>
      </c>
      <c r="F140" s="98">
        <v>-72123975.0826267</v>
      </c>
      <c r="G140" s="98">
        <v>-18121555.147576872</v>
      </c>
      <c r="H140" s="98">
        <v>-20069023.931961257</v>
      </c>
      <c r="I140" s="98">
        <v>-12694920.079321597</v>
      </c>
      <c r="J140" s="98">
        <v>-9571350.5213347264</v>
      </c>
      <c r="K140" s="98">
        <v>0</v>
      </c>
      <c r="L140" s="98">
        <v>-3754136.2482058979</v>
      </c>
      <c r="M140" s="98">
        <v>0</v>
      </c>
      <c r="N140" s="98">
        <v>-450807.63768715615</v>
      </c>
      <c r="O140" s="98">
        <v>-46602.761285822256</v>
      </c>
      <c r="P140" s="74"/>
      <c r="Q140" s="98">
        <v>-8844419.3008406349</v>
      </c>
      <c r="R140" s="98">
        <v>-25443.828071632684</v>
      </c>
      <c r="S140" s="98">
        <v>-701487.39242245769</v>
      </c>
      <c r="T140" s="98">
        <f t="shared" si="20"/>
        <v>-9571350.5213347264</v>
      </c>
      <c r="U140" s="98">
        <f t="shared" si="21"/>
        <v>-8869863.1289122682</v>
      </c>
      <c r="V140" s="74"/>
      <c r="W140" s="74"/>
      <c r="X140" s="74"/>
      <c r="Y140" s="74"/>
    </row>
    <row r="141" spans="1:25" s="14" customFormat="1" x14ac:dyDescent="0.2">
      <c r="A141" s="14">
        <f t="shared" si="22"/>
        <v>134</v>
      </c>
      <c r="B141" s="97">
        <v>115.02</v>
      </c>
      <c r="C141" s="14" t="s">
        <v>597</v>
      </c>
      <c r="D141" s="74">
        <v>0</v>
      </c>
      <c r="E141" s="98">
        <v>-951189</v>
      </c>
      <c r="F141" s="98">
        <v>-501369.16453276435</v>
      </c>
      <c r="G141" s="98">
        <v>-125971.82773088136</v>
      </c>
      <c r="H141" s="98">
        <v>-139509.63948157665</v>
      </c>
      <c r="I141" s="98">
        <v>-88248.622828788764</v>
      </c>
      <c r="J141" s="98">
        <v>-66535.157121251963</v>
      </c>
      <c r="K141" s="98">
        <v>0</v>
      </c>
      <c r="L141" s="98">
        <v>-26096.844387027493</v>
      </c>
      <c r="M141" s="98">
        <v>0</v>
      </c>
      <c r="N141" s="98">
        <v>-3133.7852414992967</v>
      </c>
      <c r="O141" s="98">
        <v>-323.95867621030203</v>
      </c>
      <c r="P141" s="74"/>
      <c r="Q141" s="98">
        <v>-61481.901275683675</v>
      </c>
      <c r="R141" s="98">
        <v>-176.87254214947774</v>
      </c>
      <c r="S141" s="98">
        <v>-4876.3833034188083</v>
      </c>
      <c r="T141" s="98">
        <f t="shared" si="20"/>
        <v>-66535.157121251963</v>
      </c>
      <c r="U141" s="98">
        <f t="shared" si="21"/>
        <v>-61658.773817833149</v>
      </c>
      <c r="V141" s="74"/>
      <c r="W141" s="74"/>
      <c r="X141" s="74"/>
      <c r="Y141" s="74"/>
    </row>
    <row r="142" spans="1:25" s="14" customFormat="1" x14ac:dyDescent="0.2">
      <c r="A142" s="14">
        <f t="shared" si="22"/>
        <v>135</v>
      </c>
      <c r="B142" s="97">
        <v>115.03</v>
      </c>
      <c r="C142" s="14" t="s">
        <v>598</v>
      </c>
      <c r="D142" s="74" t="s">
        <v>279</v>
      </c>
      <c r="E142" s="98">
        <v>-302358.00999999995</v>
      </c>
      <c r="F142" s="98">
        <v>-201041.60420285759</v>
      </c>
      <c r="G142" s="98">
        <v>-35840.745968841838</v>
      </c>
      <c r="H142" s="98">
        <v>-28455.409241755944</v>
      </c>
      <c r="I142" s="98">
        <v>-12117.19746123466</v>
      </c>
      <c r="J142" s="98">
        <v>-13440.717996025796</v>
      </c>
      <c r="K142" s="98">
        <v>-3635.4742022814721</v>
      </c>
      <c r="L142" s="98">
        <v>-1385.4909203731893</v>
      </c>
      <c r="M142" s="98">
        <v>-478.693127707332</v>
      </c>
      <c r="N142" s="98">
        <v>-5869.8967634958226</v>
      </c>
      <c r="O142" s="98">
        <v>-92.780115426241224</v>
      </c>
      <c r="P142" s="74"/>
      <c r="Q142" s="98">
        <v>-10677.591806227429</v>
      </c>
      <c r="R142" s="98">
        <v>-121.76184508317847</v>
      </c>
      <c r="S142" s="98">
        <v>-2641.364344715189</v>
      </c>
      <c r="T142" s="98">
        <f t="shared" si="20"/>
        <v>-13440.717996025796</v>
      </c>
      <c r="U142" s="98">
        <f t="shared" si="21"/>
        <v>-10799.353651310606</v>
      </c>
      <c r="V142" s="74"/>
      <c r="W142" s="74"/>
      <c r="X142" s="74"/>
      <c r="Y142" s="74"/>
    </row>
    <row r="143" spans="1:25" s="14" customFormat="1" x14ac:dyDescent="0.2">
      <c r="A143" s="14">
        <f t="shared" si="22"/>
        <v>136</v>
      </c>
      <c r="B143" s="97">
        <v>230</v>
      </c>
      <c r="C143" s="14" t="s">
        <v>599</v>
      </c>
      <c r="D143" s="74">
        <v>0</v>
      </c>
      <c r="E143" s="98">
        <v>-154752983.34</v>
      </c>
      <c r="F143" s="98">
        <v>-81569881.449563235</v>
      </c>
      <c r="G143" s="98">
        <v>-20494892.348572612</v>
      </c>
      <c r="H143" s="98">
        <v>-22697416.511820298</v>
      </c>
      <c r="I143" s="98">
        <v>-14357543.725170804</v>
      </c>
      <c r="J143" s="98">
        <v>-10824887.652726628</v>
      </c>
      <c r="K143" s="98">
        <v>0</v>
      </c>
      <c r="L143" s="98">
        <v>-4245806.5901227184</v>
      </c>
      <c r="M143" s="98">
        <v>0</v>
      </c>
      <c r="N143" s="98">
        <v>-509848.84735723247</v>
      </c>
      <c r="O143" s="98">
        <v>-52706.214666508269</v>
      </c>
      <c r="P143" s="74"/>
      <c r="Q143" s="98">
        <v>-10002751.970247135</v>
      </c>
      <c r="R143" s="98">
        <v>-28776.146032556706</v>
      </c>
      <c r="S143" s="98">
        <v>-793359.53644693643</v>
      </c>
      <c r="T143" s="98">
        <f t="shared" si="20"/>
        <v>-10824887.652726628</v>
      </c>
      <c r="U143" s="98">
        <f t="shared" si="21"/>
        <v>-10031528.116279691</v>
      </c>
      <c r="V143" s="74"/>
      <c r="W143" s="74"/>
      <c r="X143" s="74"/>
      <c r="Y143" s="74"/>
    </row>
    <row r="144" spans="1:25" s="14" customFormat="1" x14ac:dyDescent="0.2">
      <c r="A144" s="14">
        <f t="shared" si="22"/>
        <v>137</v>
      </c>
      <c r="B144" s="97">
        <v>230.01</v>
      </c>
      <c r="C144" s="14" t="s">
        <v>600</v>
      </c>
      <c r="D144" s="74">
        <v>0</v>
      </c>
      <c r="E144" s="98">
        <v>-4532108.43</v>
      </c>
      <c r="F144" s="98">
        <v>-2388862.1684239395</v>
      </c>
      <c r="G144" s="98">
        <v>-600215.08070597448</v>
      </c>
      <c r="H144" s="98">
        <v>-664718.38210987963</v>
      </c>
      <c r="I144" s="98">
        <v>-420476.19080776162</v>
      </c>
      <c r="J144" s="98">
        <v>-317018.5383563104</v>
      </c>
      <c r="K144" s="98">
        <v>0</v>
      </c>
      <c r="L144" s="98">
        <v>-124343.03639218438</v>
      </c>
      <c r="M144" s="98">
        <v>0</v>
      </c>
      <c r="N144" s="98">
        <v>-14931.474723539221</v>
      </c>
      <c r="O144" s="98">
        <v>-1543.5584804117273</v>
      </c>
      <c r="P144" s="74"/>
      <c r="Q144" s="98">
        <v>-292941.40603387309</v>
      </c>
      <c r="R144" s="98">
        <v>-842.74054820984929</v>
      </c>
      <c r="S144" s="98">
        <v>-23234.391774227443</v>
      </c>
      <c r="T144" s="98">
        <f t="shared" si="20"/>
        <v>-317018.5383563104</v>
      </c>
      <c r="U144" s="98">
        <f t="shared" si="21"/>
        <v>-293784.14658208296</v>
      </c>
      <c r="V144" s="74"/>
      <c r="W144" s="74"/>
      <c r="X144" s="74"/>
      <c r="Y144" s="74"/>
    </row>
    <row r="145" spans="1:25" s="14" customFormat="1" x14ac:dyDescent="0.2">
      <c r="A145" s="14">
        <f t="shared" si="22"/>
        <v>138</v>
      </c>
      <c r="B145" s="97">
        <v>230.02</v>
      </c>
      <c r="C145" s="14" t="s">
        <v>601</v>
      </c>
      <c r="D145" s="74" t="s">
        <v>279</v>
      </c>
      <c r="E145" s="98">
        <v>-8852463.3499999996</v>
      </c>
      <c r="F145" s="98">
        <v>-5886113.0652070474</v>
      </c>
      <c r="G145" s="98">
        <v>-1049348.3871184119</v>
      </c>
      <c r="H145" s="98">
        <v>-833119.87475342839</v>
      </c>
      <c r="I145" s="98">
        <v>-354768.33053072711</v>
      </c>
      <c r="J145" s="98">
        <v>-393518.47651565052</v>
      </c>
      <c r="K145" s="98">
        <v>-106439.72069920426</v>
      </c>
      <c r="L145" s="98">
        <v>-40564.520167206509</v>
      </c>
      <c r="M145" s="98">
        <v>-14015.217817202945</v>
      </c>
      <c r="N145" s="98">
        <v>-171859.33313666933</v>
      </c>
      <c r="O145" s="98">
        <v>-2716.4240544497898</v>
      </c>
      <c r="P145" s="74"/>
      <c r="Q145" s="98">
        <v>-312619.43459307932</v>
      </c>
      <c r="R145" s="98">
        <v>-3564.9535827650648</v>
      </c>
      <c r="S145" s="98">
        <v>-77334.088339806127</v>
      </c>
      <c r="T145" s="98">
        <f>SUM(Q145:S145)</f>
        <v>-393518.47651565052</v>
      </c>
      <c r="U145" s="98">
        <f>SUM(Q145:R145)</f>
        <v>-316184.38817584439</v>
      </c>
      <c r="V145" s="74"/>
      <c r="W145" s="74"/>
      <c r="X145" s="74"/>
      <c r="Y145" s="74"/>
    </row>
    <row r="146" spans="1:25" s="14" customFormat="1" x14ac:dyDescent="0.2">
      <c r="A146" s="14">
        <f t="shared" si="22"/>
        <v>139</v>
      </c>
      <c r="B146" s="97">
        <v>230.03</v>
      </c>
      <c r="C146" s="14" t="s">
        <v>602</v>
      </c>
      <c r="D146" s="74" t="s">
        <v>267</v>
      </c>
      <c r="E146" s="98">
        <v>-455842.46420599998</v>
      </c>
      <c r="F146" s="98">
        <v>-277519.21182538226</v>
      </c>
      <c r="G146" s="98">
        <v>-55159.899949383514</v>
      </c>
      <c r="H146" s="98">
        <v>-50067.895465414389</v>
      </c>
      <c r="I146" s="98">
        <v>-28480.012166371584</v>
      </c>
      <c r="J146" s="98">
        <v>-24069.857071256469</v>
      </c>
      <c r="K146" s="98">
        <v>-2777.212491307233</v>
      </c>
      <c r="L146" s="98">
        <v>-7129.5019375871298</v>
      </c>
      <c r="M146" s="98">
        <v>-4255.8239828921114</v>
      </c>
      <c r="N146" s="98">
        <v>-6252.5196767198322</v>
      </c>
      <c r="O146" s="98">
        <v>-130.52963968562267</v>
      </c>
      <c r="P146" s="74"/>
      <c r="Q146" s="98">
        <v>-21275.357434774021</v>
      </c>
      <c r="R146" s="98">
        <v>-111.60659113354507</v>
      </c>
      <c r="S146" s="98">
        <v>-2682.8930453489029</v>
      </c>
      <c r="T146" s="98">
        <f>SUM(Q146:S146)</f>
        <v>-24069.857071256469</v>
      </c>
      <c r="U146" s="98">
        <f>SUM(Q146:R146)</f>
        <v>-21386.964025907568</v>
      </c>
      <c r="V146" s="74"/>
      <c r="W146" s="74"/>
      <c r="X146" s="74"/>
      <c r="Y146" s="74"/>
    </row>
    <row r="147" spans="1:25" s="14" customFormat="1" x14ac:dyDescent="0.2">
      <c r="A147" s="26">
        <f>+A146+1</f>
        <v>140</v>
      </c>
      <c r="B147" s="68"/>
      <c r="C147" s="26" t="s">
        <v>292</v>
      </c>
      <c r="D147" s="31"/>
      <c r="E147" s="69">
        <f t="shared" ref="E147:N147" si="23">SUM(E126:E146)</f>
        <v>-1171051115.3491793</v>
      </c>
      <c r="F147" s="69">
        <f t="shared" si="23"/>
        <v>-686339582.28256583</v>
      </c>
      <c r="G147" s="69">
        <f t="shared" si="23"/>
        <v>-175490547.62567079</v>
      </c>
      <c r="H147" s="69">
        <f t="shared" si="23"/>
        <v>-128638596.46921776</v>
      </c>
      <c r="I147" s="69">
        <f t="shared" si="23"/>
        <v>-68569155.710658744</v>
      </c>
      <c r="J147" s="69">
        <f t="shared" si="23"/>
        <v>-59463365.373475097</v>
      </c>
      <c r="K147" s="69">
        <f t="shared" si="23"/>
        <v>-9188362.1269331146</v>
      </c>
      <c r="L147" s="69">
        <f t="shared" si="23"/>
        <v>-16020182.64362881</v>
      </c>
      <c r="M147" s="69">
        <f>SUM(M126:M146)</f>
        <v>-14672395.906600758</v>
      </c>
      <c r="N147" s="69">
        <f t="shared" si="23"/>
        <v>-12328001.410272777</v>
      </c>
      <c r="O147" s="69">
        <f>SUM(O126:O146)</f>
        <v>-340925.80015578534</v>
      </c>
      <c r="P147" s="74"/>
      <c r="Q147" s="69">
        <f>SUM(Q126:Q146)</f>
        <v>-51680189.256007634</v>
      </c>
      <c r="R147" s="69">
        <f>SUM(R126:R146)</f>
        <v>-319498.03709666553</v>
      </c>
      <c r="S147" s="69">
        <f>SUM(S126:S146)</f>
        <v>-7463678.0803708043</v>
      </c>
      <c r="T147" s="69">
        <f>SUM(T126:T146)</f>
        <v>-59463365.373475097</v>
      </c>
      <c r="U147" s="69">
        <f>SUM(U126:U146)</f>
        <v>-51999687.293104284</v>
      </c>
      <c r="V147" s="74"/>
      <c r="W147" s="74"/>
      <c r="X147" s="74"/>
      <c r="Y147" s="74"/>
    </row>
    <row r="148" spans="1:25" s="14" customFormat="1" x14ac:dyDescent="0.2">
      <c r="A148" s="14">
        <f>+A147+1</f>
        <v>141</v>
      </c>
      <c r="B148" s="97"/>
      <c r="D148" s="74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74"/>
      <c r="Q148" s="98"/>
      <c r="R148" s="98"/>
      <c r="S148" s="98"/>
      <c r="T148" s="98"/>
      <c r="U148" s="98"/>
      <c r="V148" s="74"/>
      <c r="W148" s="74"/>
      <c r="X148" s="74"/>
      <c r="Y148" s="74"/>
    </row>
    <row r="149" spans="1:25" s="14" customFormat="1" x14ac:dyDescent="0.2">
      <c r="A149" s="26">
        <f t="shared" si="22"/>
        <v>142</v>
      </c>
      <c r="B149" s="68"/>
      <c r="C149" s="26" t="s">
        <v>603</v>
      </c>
      <c r="D149" s="31"/>
      <c r="E149" s="69">
        <f t="shared" ref="E149:N149" si="24">SUM(E147,E123)</f>
        <v>-1033675899.393409</v>
      </c>
      <c r="F149" s="69">
        <f t="shared" si="24"/>
        <v>-606558203.61233878</v>
      </c>
      <c r="G149" s="69">
        <f t="shared" si="24"/>
        <v>-158355944.16738084</v>
      </c>
      <c r="H149" s="69">
        <f t="shared" si="24"/>
        <v>-111888542.06017476</v>
      </c>
      <c r="I149" s="69">
        <f t="shared" si="24"/>
        <v>-59078432.380624048</v>
      </c>
      <c r="J149" s="69">
        <f t="shared" si="24"/>
        <v>-51493817.214001551</v>
      </c>
      <c r="K149" s="69">
        <f t="shared" si="24"/>
        <v>-8264591.7488235366</v>
      </c>
      <c r="L149" s="69">
        <f t="shared" si="24"/>
        <v>-13628641.329844156</v>
      </c>
      <c r="M149" s="69">
        <f>SUM(M147,M123)</f>
        <v>-13194916.874850666</v>
      </c>
      <c r="N149" s="69">
        <f t="shared" si="24"/>
        <v>-10915788.048602005</v>
      </c>
      <c r="O149" s="69">
        <f>SUM(O147,O123)</f>
        <v>-297021.95676899527</v>
      </c>
      <c r="P149" s="74"/>
      <c r="Q149" s="69">
        <f>SUM(Q147,Q123)</f>
        <v>-44643240.791072935</v>
      </c>
      <c r="R149" s="69">
        <f>SUM(R147,R123)</f>
        <v>-282149.51811566961</v>
      </c>
      <c r="S149" s="69">
        <f>SUM(S147,S123)</f>
        <v>-6568426.9048129572</v>
      </c>
      <c r="T149" s="69">
        <f>SUM(T147,T123)</f>
        <v>-51493817.214001551</v>
      </c>
      <c r="U149" s="69">
        <f>SUM(U147,U123)</f>
        <v>-44925390.309188589</v>
      </c>
      <c r="V149" s="74"/>
      <c r="W149" s="74"/>
      <c r="X149" s="74"/>
      <c r="Y149" s="74"/>
    </row>
    <row r="150" spans="1:25" s="14" customFormat="1" x14ac:dyDescent="0.2">
      <c r="A150" s="14">
        <f t="shared" si="22"/>
        <v>143</v>
      </c>
      <c r="B150" s="97"/>
      <c r="D150" s="74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74"/>
      <c r="Q150" s="98"/>
      <c r="R150" s="98"/>
      <c r="S150" s="98"/>
      <c r="T150" s="98"/>
      <c r="U150" s="98"/>
      <c r="V150" s="74"/>
      <c r="W150" s="74"/>
      <c r="X150" s="74"/>
      <c r="Y150" s="74"/>
    </row>
    <row r="151" spans="1:25" s="14" customFormat="1" ht="13.5" thickBot="1" x14ac:dyDescent="0.25">
      <c r="A151" s="21">
        <f t="shared" si="22"/>
        <v>144</v>
      </c>
      <c r="B151" s="70"/>
      <c r="C151" s="21" t="s">
        <v>31</v>
      </c>
      <c r="D151" s="32"/>
      <c r="E151" s="71">
        <f t="shared" ref="E151:N151" si="25">SUM(E149,E118,E67)</f>
        <v>5428588079.6691418</v>
      </c>
      <c r="F151" s="71">
        <f t="shared" si="25"/>
        <v>3132494086.5214758</v>
      </c>
      <c r="G151" s="71">
        <f t="shared" si="25"/>
        <v>651816597.56747317</v>
      </c>
      <c r="H151" s="71">
        <f t="shared" si="25"/>
        <v>674855961.99169278</v>
      </c>
      <c r="I151" s="71">
        <f t="shared" si="25"/>
        <v>382703985.38603908</v>
      </c>
      <c r="J151" s="71">
        <f t="shared" si="25"/>
        <v>326614879.16367531</v>
      </c>
      <c r="K151" s="71">
        <f t="shared" si="25"/>
        <v>38170413.940989546</v>
      </c>
      <c r="L151" s="71">
        <f t="shared" si="25"/>
        <v>95596765.271569595</v>
      </c>
      <c r="M151" s="71">
        <f>SUM(M149,M118,M67)</f>
        <v>66882387.323842227</v>
      </c>
      <c r="N151" s="71">
        <f t="shared" si="25"/>
        <v>57656670.988567725</v>
      </c>
      <c r="O151" s="71">
        <f>SUM(O149,O118,O67)</f>
        <v>1796331.5138146919</v>
      </c>
      <c r="P151" s="74"/>
      <c r="Q151" s="71">
        <f>SUM(Q149,Q118,Q67)</f>
        <v>287888864.88398844</v>
      </c>
      <c r="R151" s="71">
        <f>SUM(R149,R118,R67)</f>
        <v>1536160.026270024</v>
      </c>
      <c r="S151" s="71">
        <f>SUM(S149,S118,S67)</f>
        <v>37189854.253416836</v>
      </c>
      <c r="T151" s="71">
        <f>SUM(T149,T118,T67)</f>
        <v>326614879.16367531</v>
      </c>
      <c r="U151" s="71">
        <f>SUM(U149,U118,U67)</f>
        <v>289425024.91025847</v>
      </c>
      <c r="V151" s="74"/>
      <c r="W151" s="74"/>
      <c r="X151" s="74"/>
      <c r="Y151" s="74"/>
    </row>
    <row r="152" spans="1:25" s="14" customFormat="1" ht="13.5" thickTop="1" x14ac:dyDescent="0.2">
      <c r="B152" s="97"/>
      <c r="D152" s="74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74"/>
      <c r="Q152" s="98"/>
      <c r="R152" s="98"/>
      <c r="S152" s="98"/>
      <c r="T152" s="98"/>
      <c r="U152" s="98"/>
      <c r="V152" s="74"/>
      <c r="W152" s="74"/>
      <c r="X152" s="74"/>
      <c r="Y152" s="74"/>
    </row>
    <row r="153" spans="1:25" s="14" customFormat="1" x14ac:dyDescent="0.2">
      <c r="B153" s="97"/>
      <c r="D153" s="74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74"/>
      <c r="Q153" s="98"/>
      <c r="R153" s="74"/>
      <c r="S153" s="74"/>
      <c r="T153" s="74"/>
      <c r="U153" s="74"/>
      <c r="V153" s="74"/>
      <c r="W153" s="74"/>
      <c r="X153" s="74"/>
      <c r="Y153" s="74"/>
    </row>
    <row r="154" spans="1:25" s="14" customFormat="1" x14ac:dyDescent="0.2">
      <c r="B154" s="97"/>
      <c r="D154" s="74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74"/>
      <c r="Q154" s="98"/>
      <c r="R154" s="74"/>
      <c r="S154" s="74"/>
      <c r="T154" s="74"/>
      <c r="U154" s="74"/>
      <c r="V154" s="74"/>
      <c r="W154" s="74"/>
      <c r="X154" s="74"/>
      <c r="Y154" s="74"/>
    </row>
    <row r="155" spans="1:25" s="14" customFormat="1" x14ac:dyDescent="0.2">
      <c r="B155" s="97"/>
      <c r="D155" s="74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74"/>
      <c r="Q155" s="98"/>
      <c r="R155" s="74"/>
      <c r="S155" s="74"/>
      <c r="T155" s="74"/>
      <c r="U155" s="74"/>
      <c r="V155" s="74"/>
      <c r="W155" s="74"/>
      <c r="X155" s="74"/>
      <c r="Y155" s="74"/>
    </row>
    <row r="156" spans="1:25" x14ac:dyDescent="0.2">
      <c r="E156" s="75"/>
      <c r="Q156" s="74"/>
    </row>
    <row r="157" spans="1:25" x14ac:dyDescent="0.2">
      <c r="Q157" s="74"/>
    </row>
    <row r="158" spans="1:25" x14ac:dyDescent="0.2">
      <c r="Q158" s="74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fitToHeight="3" pageOrder="overThenDown" orientation="landscape" r:id="rId1"/>
  <headerFooter alignWithMargins="0"/>
  <rowBreaks count="2" manualBreakCount="2">
    <brk id="51" max="16383" man="1"/>
    <brk id="11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3"/>
  <dimension ref="A1:O60"/>
  <sheetViews>
    <sheetView showGridLines="0" zoomScale="90" zoomScaleNormal="90" workbookViewId="0">
      <selection activeCell="M59" sqref="M59"/>
    </sheetView>
  </sheetViews>
  <sheetFormatPr defaultColWidth="8.85546875" defaultRowHeight="12.75" x14ac:dyDescent="0.2"/>
  <cols>
    <col min="1" max="1" width="4.7109375" style="14" bestFit="1" customWidth="1"/>
    <col min="2" max="2" width="1.7109375" style="14" customWidth="1"/>
    <col min="3" max="3" width="42.7109375" style="14" bestFit="1" customWidth="1"/>
    <col min="4" max="4" width="2" style="14" hidden="1" customWidth="1"/>
    <col min="5" max="6" width="14.28515625" style="14" bestFit="1" customWidth="1"/>
    <col min="7" max="7" width="13.5703125" style="14" bestFit="1" customWidth="1"/>
    <col min="8" max="8" width="16.7109375" style="14" bestFit="1" customWidth="1"/>
    <col min="9" max="9" width="12.140625" style="14" bestFit="1" customWidth="1"/>
    <col min="10" max="11" width="13.5703125" style="14" bestFit="1" customWidth="1"/>
    <col min="12" max="12" width="10.5703125" style="14" bestFit="1" customWidth="1"/>
    <col min="13" max="13" width="14.7109375" style="14" bestFit="1" customWidth="1"/>
    <col min="14" max="14" width="12.42578125" style="14" bestFit="1" customWidth="1"/>
    <col min="15" max="15" width="11.42578125" style="14" bestFit="1" customWidth="1"/>
    <col min="16" max="16384" width="8.85546875" style="14"/>
  </cols>
  <sheetData>
    <row r="1" spans="1:15" x14ac:dyDescent="0.2">
      <c r="A1" s="103" t="str">
        <f>+'Customer Summary'!A1</f>
        <v>Puget Sound Energy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x14ac:dyDescent="0.2">
      <c r="A2" s="104" t="s">
        <v>89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x14ac:dyDescent="0.2">
      <c r="A3" s="103" t="str">
        <f>+'Customer Summary'!A3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ht="15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s="33" customFormat="1" ht="40.15" customHeight="1" x14ac:dyDescent="0.2">
      <c r="A5" s="18" t="s">
        <v>2</v>
      </c>
      <c r="B5" s="18"/>
      <c r="C5" s="18" t="s">
        <v>3</v>
      </c>
      <c r="D5" s="18"/>
      <c r="E5" s="18" t="s">
        <v>53</v>
      </c>
      <c r="F5" s="18" t="str">
        <f>+'Class Summary'!G6</f>
        <v>Residential
Sch 7</v>
      </c>
      <c r="G5" s="18" t="str">
        <f>+'Class Summary'!H6</f>
        <v>Sec Volt
Sch 24
(kW&lt; 50)</v>
      </c>
      <c r="H5" s="18" t="str">
        <f>+'Class Summary'!I6</f>
        <v>Sec Volt
Sch 25
(kW &gt; 50 &amp; &lt; 350)</v>
      </c>
      <c r="I5" s="18" t="str">
        <f>+'Class Summary'!J6</f>
        <v>Sec Volt
Sch 26
(kW &gt; 350)</v>
      </c>
      <c r="J5" s="18" t="str">
        <f>+'Class Summary'!K6</f>
        <v>Pri Volt
Sch 31/35/43</v>
      </c>
      <c r="K5" s="18" t="str">
        <f>+'Class Summary'!L6</f>
        <v>Special Contract</v>
      </c>
      <c r="L5" s="18" t="str">
        <f>+'Class Summary'!M6</f>
        <v>High Volt
Sch 46/49</v>
      </c>
      <c r="M5" s="18" t="str">
        <f>+'Class Summary'!N6</f>
        <v>Choice /
Retail Wheeling
Sch 448/449</v>
      </c>
      <c r="N5" s="18" t="str">
        <f>+'Class Summary'!O6</f>
        <v>Lighting
Sch 50-59</v>
      </c>
      <c r="O5" s="18" t="str">
        <f>+'Class Summary'!P6</f>
        <v>Firm Resale</v>
      </c>
    </row>
    <row r="6" spans="1:15" s="33" customFormat="1" x14ac:dyDescent="0.2">
      <c r="C6" s="33" t="s">
        <v>15</v>
      </c>
      <c r="E6" s="33" t="s">
        <v>16</v>
      </c>
      <c r="F6" s="33" t="s">
        <v>17</v>
      </c>
      <c r="G6" s="33" t="s">
        <v>18</v>
      </c>
      <c r="H6" s="33" t="s">
        <v>19</v>
      </c>
      <c r="I6" s="33" t="s">
        <v>63</v>
      </c>
      <c r="J6" s="33" t="s">
        <v>20</v>
      </c>
      <c r="K6" s="33" t="s">
        <v>21</v>
      </c>
      <c r="L6" s="33" t="s">
        <v>64</v>
      </c>
      <c r="M6" s="33" t="s">
        <v>65</v>
      </c>
      <c r="N6" s="33" t="s">
        <v>22</v>
      </c>
      <c r="O6" s="33" t="s">
        <v>23</v>
      </c>
    </row>
    <row r="7" spans="1:15" x14ac:dyDescent="0.2">
      <c r="A7" s="74">
        <v>1</v>
      </c>
      <c r="C7" s="13" t="s">
        <v>90</v>
      </c>
      <c r="D7" s="14">
        <f t="shared" ref="D7:D22" si="0">+SUM(F7:O7)-E7</f>
        <v>0</v>
      </c>
    </row>
    <row r="8" spans="1:15" x14ac:dyDescent="0.2">
      <c r="A8" s="74">
        <f t="shared" ref="A8:A59" si="1">+A7+1</f>
        <v>2</v>
      </c>
      <c r="C8" s="14" t="s">
        <v>91</v>
      </c>
      <c r="D8" s="14">
        <f t="shared" si="0"/>
        <v>0</v>
      </c>
      <c r="E8" s="72">
        <f>SUM(F8:O8)</f>
        <v>206004867.61000001</v>
      </c>
      <c r="F8" s="72">
        <v>133743709.16973646</v>
      </c>
      <c r="G8" s="72">
        <v>37539912.318899311</v>
      </c>
      <c r="H8" s="72">
        <v>11094399.206289688</v>
      </c>
      <c r="I8" s="72">
        <v>1246915.3080466578</v>
      </c>
      <c r="J8" s="72">
        <v>19810545.101352308</v>
      </c>
      <c r="K8" s="72">
        <v>976230.67360039195</v>
      </c>
      <c r="L8" s="72">
        <v>606236.92276222247</v>
      </c>
      <c r="M8" s="72">
        <v>976036.22035163466</v>
      </c>
      <c r="N8" s="72">
        <v>0</v>
      </c>
      <c r="O8" s="72">
        <v>10882.688961321393</v>
      </c>
    </row>
    <row r="9" spans="1:15" x14ac:dyDescent="0.2">
      <c r="A9" s="74">
        <f t="shared" si="1"/>
        <v>3</v>
      </c>
      <c r="C9" s="14" t="s">
        <v>92</v>
      </c>
      <c r="D9" s="14">
        <f t="shared" si="0"/>
        <v>0</v>
      </c>
      <c r="E9" s="72">
        <f>SUM(F9:O9)</f>
        <v>148141818.81021541</v>
      </c>
      <c r="F9" s="72">
        <v>148141818.81021541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</row>
    <row r="10" spans="1:15" x14ac:dyDescent="0.2">
      <c r="A10" s="74">
        <f t="shared" si="1"/>
        <v>4</v>
      </c>
      <c r="C10" s="14" t="s">
        <v>93</v>
      </c>
      <c r="D10" s="14">
        <f t="shared" si="0"/>
        <v>0</v>
      </c>
      <c r="E10" s="72">
        <f>SUM(F10:O10)</f>
        <v>40889975.452172115</v>
      </c>
      <c r="F10" s="72">
        <v>35287388.224718876</v>
      </c>
      <c r="G10" s="72">
        <v>5391540.3962266576</v>
      </c>
      <c r="H10" s="72">
        <v>206571.28579529174</v>
      </c>
      <c r="I10" s="72">
        <v>4475.5454312894217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</row>
    <row r="11" spans="1:15" s="24" customFormat="1" x14ac:dyDescent="0.2">
      <c r="A11" s="49">
        <f>+A10+1</f>
        <v>5</v>
      </c>
      <c r="B11" s="50"/>
      <c r="C11" s="50" t="s">
        <v>94</v>
      </c>
      <c r="D11" s="50">
        <f t="shared" si="0"/>
        <v>0</v>
      </c>
      <c r="E11" s="51">
        <f t="shared" ref="E11:O11" si="2">SUM(E8:E10)</f>
        <v>395036661.87238753</v>
      </c>
      <c r="F11" s="51">
        <f t="shared" si="2"/>
        <v>317172916.20467073</v>
      </c>
      <c r="G11" s="51">
        <f t="shared" si="2"/>
        <v>42931452.715125971</v>
      </c>
      <c r="H11" s="51">
        <f t="shared" si="2"/>
        <v>11300970.49208498</v>
      </c>
      <c r="I11" s="51">
        <f t="shared" si="2"/>
        <v>1251390.8534779472</v>
      </c>
      <c r="J11" s="51">
        <f t="shared" si="2"/>
        <v>19810545.101352308</v>
      </c>
      <c r="K11" s="51">
        <f t="shared" si="2"/>
        <v>976230.67360039195</v>
      </c>
      <c r="L11" s="51">
        <f t="shared" si="2"/>
        <v>606236.92276222247</v>
      </c>
      <c r="M11" s="51">
        <f t="shared" si="2"/>
        <v>976036.22035163466</v>
      </c>
      <c r="N11" s="51">
        <f t="shared" si="2"/>
        <v>0</v>
      </c>
      <c r="O11" s="51">
        <f t="shared" si="2"/>
        <v>10882.688961321393</v>
      </c>
    </row>
    <row r="12" spans="1:15" s="24" customFormat="1" x14ac:dyDescent="0.2">
      <c r="A12" s="74">
        <f t="shared" si="1"/>
        <v>6</v>
      </c>
      <c r="C12" s="14"/>
      <c r="D12" s="14">
        <f t="shared" si="0"/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1:15" s="24" customFormat="1" x14ac:dyDescent="0.2">
      <c r="A13" s="74">
        <f t="shared" si="1"/>
        <v>7</v>
      </c>
      <c r="C13" s="14" t="s">
        <v>95</v>
      </c>
      <c r="D13" s="14">
        <f t="shared" si="0"/>
        <v>0</v>
      </c>
      <c r="E13" s="72">
        <f>SUM(F13:O13)</f>
        <v>83468013.31043157</v>
      </c>
      <c r="F13" s="72">
        <v>66801873.875710845</v>
      </c>
      <c r="G13" s="72">
        <v>7569725.341060482</v>
      </c>
      <c r="H13" s="72">
        <v>1085913.719930073</v>
      </c>
      <c r="I13" s="72">
        <v>573601.59390403749</v>
      </c>
      <c r="J13" s="72">
        <v>1552204.4331023134</v>
      </c>
      <c r="K13" s="72">
        <v>111279.66692028746</v>
      </c>
      <c r="L13" s="72">
        <v>129491.32313602396</v>
      </c>
      <c r="M13" s="72">
        <v>225756.67306755568</v>
      </c>
      <c r="N13" s="72">
        <v>5417481.9336593272</v>
      </c>
      <c r="O13" s="72">
        <v>684.74994063790973</v>
      </c>
    </row>
    <row r="14" spans="1:15" s="24" customFormat="1" x14ac:dyDescent="0.2">
      <c r="A14" s="74">
        <f t="shared" si="1"/>
        <v>8</v>
      </c>
      <c r="C14" s="14" t="s">
        <v>96</v>
      </c>
      <c r="D14" s="14">
        <f t="shared" si="0"/>
        <v>0</v>
      </c>
      <c r="E14" s="72">
        <f>SUM(F14:O14)</f>
        <v>452315983.96313411</v>
      </c>
      <c r="F14" s="72">
        <v>317172916.20467073</v>
      </c>
      <c r="G14" s="72">
        <v>42931452.715125971</v>
      </c>
      <c r="H14" s="72">
        <v>11300970.49208498</v>
      </c>
      <c r="I14" s="72">
        <v>1251390.8534779472</v>
      </c>
      <c r="J14" s="72">
        <v>19810545.101352308</v>
      </c>
      <c r="K14" s="72">
        <v>976230.67360039195</v>
      </c>
      <c r="L14" s="72">
        <v>606236.92276222247</v>
      </c>
      <c r="M14" s="72">
        <v>976036.22035163466</v>
      </c>
      <c r="N14" s="72">
        <v>57279322.090746596</v>
      </c>
      <c r="O14" s="72">
        <v>10882.688961321393</v>
      </c>
    </row>
    <row r="15" spans="1:15" x14ac:dyDescent="0.2">
      <c r="A15" s="49">
        <f t="shared" si="1"/>
        <v>9</v>
      </c>
      <c r="B15" s="50"/>
      <c r="C15" s="50" t="s">
        <v>97</v>
      </c>
      <c r="D15" s="50">
        <f t="shared" si="0"/>
        <v>0</v>
      </c>
      <c r="E15" s="51">
        <f>+SUM(F15:O15)</f>
        <v>78050531.37677224</v>
      </c>
      <c r="F15" s="51">
        <v>66801873.875710845</v>
      </c>
      <c r="G15" s="51">
        <v>7569725.341060482</v>
      </c>
      <c r="H15" s="51">
        <v>1085913.719930073</v>
      </c>
      <c r="I15" s="51">
        <v>573601.59390403749</v>
      </c>
      <c r="J15" s="51">
        <v>1552204.4331023134</v>
      </c>
      <c r="K15" s="51">
        <v>111279.66692028746</v>
      </c>
      <c r="L15" s="51">
        <v>129491.32313602396</v>
      </c>
      <c r="M15" s="51">
        <v>225756.67306755568</v>
      </c>
      <c r="N15" s="51">
        <v>0</v>
      </c>
      <c r="O15" s="51">
        <v>684.74994063790973</v>
      </c>
    </row>
    <row r="16" spans="1:15" s="24" customFormat="1" x14ac:dyDescent="0.2">
      <c r="A16" s="74">
        <f t="shared" si="1"/>
        <v>10</v>
      </c>
      <c r="C16" s="14"/>
      <c r="D16" s="14">
        <f t="shared" si="0"/>
        <v>0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1:15" x14ac:dyDescent="0.2">
      <c r="A17" s="49">
        <f t="shared" si="1"/>
        <v>11</v>
      </c>
      <c r="B17" s="50"/>
      <c r="C17" s="50" t="s">
        <v>98</v>
      </c>
      <c r="D17" s="50">
        <f t="shared" si="0"/>
        <v>0</v>
      </c>
      <c r="E17" s="51">
        <f>+SUM(F17:O17)</f>
        <v>-165961991.57658035</v>
      </c>
      <c r="F17" s="51">
        <v>-147670604.62961724</v>
      </c>
      <c r="G17" s="51">
        <v>-11511180.882350445</v>
      </c>
      <c r="H17" s="51">
        <v>-2279116.1307164645</v>
      </c>
      <c r="I17" s="51">
        <v>-240979.05630255575</v>
      </c>
      <c r="J17" s="51">
        <v>-3771017.7206631023</v>
      </c>
      <c r="K17" s="51">
        <v>-185829.47368523726</v>
      </c>
      <c r="L17" s="51">
        <v>-115399.66048185888</v>
      </c>
      <c r="M17" s="51">
        <v>-185792.45871956355</v>
      </c>
      <c r="N17" s="51">
        <v>0</v>
      </c>
      <c r="O17" s="51">
        <v>-2071.5640438791515</v>
      </c>
    </row>
    <row r="18" spans="1:15" x14ac:dyDescent="0.2">
      <c r="A18" s="74">
        <f t="shared" si="1"/>
        <v>12</v>
      </c>
      <c r="D18" s="14">
        <f t="shared" si="0"/>
        <v>0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spans="1:15" s="24" customFormat="1" x14ac:dyDescent="0.2">
      <c r="A19" s="74">
        <f t="shared" si="1"/>
        <v>13</v>
      </c>
      <c r="C19" s="14" t="s">
        <v>99</v>
      </c>
      <c r="D19" s="14">
        <f t="shared" si="0"/>
        <v>0</v>
      </c>
      <c r="E19" s="72">
        <f>SUM(F19:O19)</f>
        <v>-27835505.354353979</v>
      </c>
      <c r="F19" s="72">
        <v>-22342094.711371284</v>
      </c>
      <c r="G19" s="72">
        <v>-2521655.006089909</v>
      </c>
      <c r="H19" s="72">
        <v>-354341.24452837912</v>
      </c>
      <c r="I19" s="72">
        <v>-193961.88288050433</v>
      </c>
      <c r="J19" s="72">
        <v>-501230.9225051981</v>
      </c>
      <c r="K19" s="72">
        <v>-36573.100689927887</v>
      </c>
      <c r="L19" s="72">
        <v>-43321.131984737731</v>
      </c>
      <c r="M19" s="72">
        <v>-75642.997918786539</v>
      </c>
      <c r="N19" s="72">
        <v>-1766466.3253609436</v>
      </c>
      <c r="O19" s="72">
        <v>-218.03102430655971</v>
      </c>
    </row>
    <row r="20" spans="1:15" x14ac:dyDescent="0.2">
      <c r="A20" s="49">
        <f t="shared" si="1"/>
        <v>14</v>
      </c>
      <c r="B20" s="50"/>
      <c r="C20" s="50" t="s">
        <v>100</v>
      </c>
      <c r="D20" s="50">
        <f t="shared" si="0"/>
        <v>0</v>
      </c>
      <c r="E20" s="51">
        <f>+SUM(F20:O20)</f>
        <v>-26069039.028993037</v>
      </c>
      <c r="F20" s="51">
        <v>-22342094.711371284</v>
      </c>
      <c r="G20" s="51">
        <v>-2521655.006089909</v>
      </c>
      <c r="H20" s="51">
        <v>-354341.24452837912</v>
      </c>
      <c r="I20" s="51">
        <v>-193961.88288050433</v>
      </c>
      <c r="J20" s="51">
        <v>-501230.9225051981</v>
      </c>
      <c r="K20" s="51">
        <v>-36573.100689927887</v>
      </c>
      <c r="L20" s="51">
        <v>-43321.131984737731</v>
      </c>
      <c r="M20" s="51">
        <v>-75642.997918786539</v>
      </c>
      <c r="N20" s="51">
        <v>0</v>
      </c>
      <c r="O20" s="51">
        <v>-218.03102430655971</v>
      </c>
    </row>
    <row r="21" spans="1:15" s="24" customFormat="1" x14ac:dyDescent="0.2">
      <c r="A21" s="74">
        <f t="shared" si="1"/>
        <v>15</v>
      </c>
      <c r="C21" s="14"/>
      <c r="D21" s="14">
        <f t="shared" si="0"/>
        <v>0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</row>
    <row r="22" spans="1:15" x14ac:dyDescent="0.2">
      <c r="A22" s="31">
        <f t="shared" si="1"/>
        <v>16</v>
      </c>
      <c r="B22" s="26"/>
      <c r="C22" s="26" t="s">
        <v>101</v>
      </c>
      <c r="D22" s="26">
        <f t="shared" si="0"/>
        <v>0</v>
      </c>
      <c r="E22" s="28">
        <f>SUM(E20,E17,E15,E11)</f>
        <v>281056162.6435864</v>
      </c>
      <c r="F22" s="28">
        <f t="shared" ref="F22:L22" si="3">SUM(F20,F17,F15,F11)</f>
        <v>213962090.73939306</v>
      </c>
      <c r="G22" s="28">
        <f t="shared" si="3"/>
        <v>36468342.167746097</v>
      </c>
      <c r="H22" s="28">
        <f t="shared" si="3"/>
        <v>9753426.8367702086</v>
      </c>
      <c r="I22" s="28">
        <f t="shared" si="3"/>
        <v>1390051.5081989246</v>
      </c>
      <c r="J22" s="28">
        <f t="shared" si="3"/>
        <v>17090500.891286321</v>
      </c>
      <c r="K22" s="28">
        <f t="shared" si="3"/>
        <v>865107.76614551421</v>
      </c>
      <c r="L22" s="28">
        <f t="shared" si="3"/>
        <v>577007.45343164983</v>
      </c>
      <c r="M22" s="28">
        <f>SUM(M20,M17,M15,M11)</f>
        <v>940357.43678084027</v>
      </c>
      <c r="N22" s="28">
        <f>SUM(N20,N17,N15,N11)</f>
        <v>0</v>
      </c>
      <c r="O22" s="28">
        <f>SUM(O20,O17,O15,O11)</f>
        <v>9277.8438337735915</v>
      </c>
    </row>
    <row r="23" spans="1:15" s="24" customFormat="1" x14ac:dyDescent="0.2">
      <c r="A23" s="74">
        <f t="shared" si="1"/>
        <v>17</v>
      </c>
      <c r="C23" s="14"/>
      <c r="D23" s="14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1:15" s="24" customFormat="1" x14ac:dyDescent="0.2">
      <c r="A24" s="74">
        <f t="shared" si="1"/>
        <v>18</v>
      </c>
      <c r="C24" s="13" t="s">
        <v>102</v>
      </c>
      <c r="D24" s="14">
        <f t="shared" ref="D24:D50" si="4">+SUM(F24:O24)-E24</f>
        <v>0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spans="1:15" s="24" customFormat="1" x14ac:dyDescent="0.2">
      <c r="A25" s="74">
        <f t="shared" si="1"/>
        <v>19</v>
      </c>
      <c r="C25" s="14" t="s">
        <v>103</v>
      </c>
      <c r="D25" s="14">
        <f t="shared" si="4"/>
        <v>0</v>
      </c>
      <c r="E25" s="72">
        <f t="shared" ref="E25:E31" si="5">SUM(F25:O25)</f>
        <v>997261.06633620197</v>
      </c>
      <c r="F25" s="72">
        <v>629659.70038862294</v>
      </c>
      <c r="G25" s="72">
        <v>176736.31223532703</v>
      </c>
      <c r="H25" s="72">
        <v>52231.960094350849</v>
      </c>
      <c r="I25" s="72">
        <v>5870.4242924668779</v>
      </c>
      <c r="J25" s="72">
        <v>93267.204644533602</v>
      </c>
      <c r="K25" s="72">
        <v>4596.0525340992945</v>
      </c>
      <c r="L25" s="72">
        <v>2854.1376751150997</v>
      </c>
      <c r="M25" s="72">
        <v>4595.1370564659001</v>
      </c>
      <c r="N25" s="72">
        <v>27398.902177964417</v>
      </c>
      <c r="O25" s="72">
        <v>51.235237255994704</v>
      </c>
    </row>
    <row r="26" spans="1:15" s="24" customFormat="1" x14ac:dyDescent="0.2">
      <c r="A26" s="74">
        <f t="shared" si="1"/>
        <v>20</v>
      </c>
      <c r="C26" s="14" t="s">
        <v>104</v>
      </c>
      <c r="D26" s="14">
        <f t="shared" si="4"/>
        <v>0</v>
      </c>
      <c r="E26" s="72">
        <f t="shared" si="5"/>
        <v>1730550.5930792503</v>
      </c>
      <c r="F26" s="72">
        <v>1123518.3804611764</v>
      </c>
      <c r="G26" s="72">
        <v>315355.25486030173</v>
      </c>
      <c r="H26" s="72">
        <v>93198.861507729729</v>
      </c>
      <c r="I26" s="72">
        <v>10474.752615772622</v>
      </c>
      <c r="J26" s="72">
        <v>166419.12869394882</v>
      </c>
      <c r="K26" s="72">
        <v>8200.857536918249</v>
      </c>
      <c r="L26" s="72">
        <v>5092.712994621379</v>
      </c>
      <c r="M26" s="72">
        <v>8199.2240260751933</v>
      </c>
      <c r="N26" s="72">
        <v>0</v>
      </c>
      <c r="O26" s="72">
        <v>91.420382706517884</v>
      </c>
    </row>
    <row r="27" spans="1:15" s="24" customFormat="1" x14ac:dyDescent="0.2">
      <c r="A27" s="74">
        <f t="shared" si="1"/>
        <v>21</v>
      </c>
      <c r="C27" s="14" t="s">
        <v>105</v>
      </c>
      <c r="D27" s="14">
        <f t="shared" si="4"/>
        <v>0</v>
      </c>
      <c r="E27" s="72">
        <f t="shared" si="5"/>
        <v>3412779.0851301313</v>
      </c>
      <c r="F27" s="72">
        <v>2215664.7982042483</v>
      </c>
      <c r="G27" s="72">
        <v>621904.85645271954</v>
      </c>
      <c r="H27" s="72">
        <v>183795.33460825766</v>
      </c>
      <c r="I27" s="72">
        <v>20657.019096686912</v>
      </c>
      <c r="J27" s="72">
        <v>328191.34213331772</v>
      </c>
      <c r="K27" s="72">
        <v>16172.722828245394</v>
      </c>
      <c r="L27" s="72">
        <v>10043.222350228249</v>
      </c>
      <c r="M27" s="72">
        <v>16169.501419022914</v>
      </c>
      <c r="N27" s="72">
        <v>0</v>
      </c>
      <c r="O27" s="72">
        <v>180.28803740446821</v>
      </c>
    </row>
    <row r="28" spans="1:15" s="24" customFormat="1" x14ac:dyDescent="0.2">
      <c r="A28" s="74">
        <f t="shared" si="1"/>
        <v>22</v>
      </c>
      <c r="C28" s="14" t="s">
        <v>106</v>
      </c>
      <c r="D28" s="14">
        <f t="shared" si="4"/>
        <v>0</v>
      </c>
      <c r="E28" s="72">
        <f t="shared" si="5"/>
        <v>532950.46671577066</v>
      </c>
      <c r="F28" s="72">
        <v>346005.28157058597</v>
      </c>
      <c r="G28" s="72">
        <v>97118.645898711315</v>
      </c>
      <c r="H28" s="72">
        <v>28702.065652725109</v>
      </c>
      <c r="I28" s="72">
        <v>3225.865986024141</v>
      </c>
      <c r="J28" s="72">
        <v>51251.406727182701</v>
      </c>
      <c r="K28" s="72">
        <v>2525.5839784453915</v>
      </c>
      <c r="L28" s="72">
        <v>1568.3816342540404</v>
      </c>
      <c r="M28" s="72">
        <v>2525.0809129067861</v>
      </c>
      <c r="N28" s="72">
        <v>0</v>
      </c>
      <c r="O28" s="72">
        <v>28.15435493514163</v>
      </c>
    </row>
    <row r="29" spans="1:15" s="24" customFormat="1" x14ac:dyDescent="0.2">
      <c r="A29" s="74">
        <f t="shared" si="1"/>
        <v>23</v>
      </c>
      <c r="C29" s="14" t="s">
        <v>107</v>
      </c>
      <c r="D29" s="14">
        <f t="shared" si="4"/>
        <v>0</v>
      </c>
      <c r="E29" s="72">
        <f t="shared" si="5"/>
        <v>134621.92638556892</v>
      </c>
      <c r="F29" s="72">
        <v>117096.12757406002</v>
      </c>
      <c r="G29" s="72">
        <v>12266.034859929381</v>
      </c>
      <c r="H29" s="72">
        <v>1234.1147826003657</v>
      </c>
      <c r="I29" s="72">
        <v>1309.5115746087858</v>
      </c>
      <c r="J29" s="72">
        <v>1455.1315629762987</v>
      </c>
      <c r="K29" s="72">
        <v>160.74239463472423</v>
      </c>
      <c r="L29" s="72">
        <v>256.40347828505998</v>
      </c>
      <c r="M29" s="72">
        <v>457.8237563005523</v>
      </c>
      <c r="N29" s="72">
        <v>385.78311716064832</v>
      </c>
      <c r="O29" s="72">
        <v>0.25328501306495393</v>
      </c>
    </row>
    <row r="30" spans="1:15" s="24" customFormat="1" x14ac:dyDescent="0.2">
      <c r="A30" s="74">
        <f t="shared" si="1"/>
        <v>24</v>
      </c>
      <c r="C30" s="14" t="s">
        <v>108</v>
      </c>
      <c r="D30" s="14">
        <f t="shared" si="4"/>
        <v>0</v>
      </c>
      <c r="E30" s="72">
        <f t="shared" si="5"/>
        <v>11371141.862653147</v>
      </c>
      <c r="F30" s="72">
        <v>9996632.4211208429</v>
      </c>
      <c r="G30" s="72">
        <v>1272599.4674878372</v>
      </c>
      <c r="H30" s="72">
        <v>84726.18167537573</v>
      </c>
      <c r="I30" s="72">
        <v>8562.8039852760412</v>
      </c>
      <c r="J30" s="72">
        <v>6700.9032319657363</v>
      </c>
      <c r="K30" s="72">
        <v>960.04257592562647</v>
      </c>
      <c r="L30" s="72">
        <v>349.10639124568235</v>
      </c>
      <c r="M30" s="72">
        <v>533.35698662534799</v>
      </c>
      <c r="N30" s="72">
        <v>0</v>
      </c>
      <c r="O30" s="72">
        <v>77.579198054596077</v>
      </c>
    </row>
    <row r="31" spans="1:15" s="24" customFormat="1" x14ac:dyDescent="0.2">
      <c r="A31" s="74">
        <f t="shared" si="1"/>
        <v>25</v>
      </c>
      <c r="C31" s="14" t="s">
        <v>109</v>
      </c>
      <c r="D31" s="14">
        <f t="shared" si="4"/>
        <v>0</v>
      </c>
      <c r="E31" s="72">
        <f t="shared" si="5"/>
        <v>23622828.613295939</v>
      </c>
      <c r="F31" s="72">
        <v>20177622.519180335</v>
      </c>
      <c r="G31" s="72">
        <v>2381005.4371652394</v>
      </c>
      <c r="H31" s="72">
        <v>216910.05295143303</v>
      </c>
      <c r="I31" s="72">
        <v>224156.19862806523</v>
      </c>
      <c r="J31" s="72">
        <v>181617.4301552223</v>
      </c>
      <c r="K31" s="72">
        <v>61073.219929349732</v>
      </c>
      <c r="L31" s="72">
        <v>98601.418215949743</v>
      </c>
      <c r="M31" s="72">
        <v>176148.726917133</v>
      </c>
      <c r="N31" s="72">
        <v>105673.44229617827</v>
      </c>
      <c r="O31" s="72">
        <v>20.167857038212635</v>
      </c>
    </row>
    <row r="32" spans="1:15" x14ac:dyDescent="0.2">
      <c r="A32" s="49">
        <f t="shared" si="1"/>
        <v>26</v>
      </c>
      <c r="B32" s="50"/>
      <c r="C32" s="50" t="s">
        <v>110</v>
      </c>
      <c r="D32" s="50">
        <f t="shared" si="4"/>
        <v>0</v>
      </c>
      <c r="E32" s="51">
        <f t="shared" ref="E32:O32" si="6">SUM(E25:E31)</f>
        <v>41802133.613596007</v>
      </c>
      <c r="F32" s="51">
        <f t="shared" si="6"/>
        <v>34606199.228499874</v>
      </c>
      <c r="G32" s="51">
        <f t="shared" si="6"/>
        <v>4876986.0089600664</v>
      </c>
      <c r="H32" s="51">
        <f t="shared" si="6"/>
        <v>660798.5712724725</v>
      </c>
      <c r="I32" s="51">
        <f t="shared" si="6"/>
        <v>274256.57617890061</v>
      </c>
      <c r="J32" s="51">
        <f t="shared" si="6"/>
        <v>828902.54714914714</v>
      </c>
      <c r="K32" s="51">
        <f t="shared" si="6"/>
        <v>93689.221777618412</v>
      </c>
      <c r="L32" s="51">
        <f t="shared" si="6"/>
        <v>118765.38273969926</v>
      </c>
      <c r="M32" s="51">
        <f t="shared" si="6"/>
        <v>208628.8510745297</v>
      </c>
      <c r="N32" s="51">
        <f t="shared" si="6"/>
        <v>133458.12759130335</v>
      </c>
      <c r="O32" s="51">
        <f t="shared" si="6"/>
        <v>449.09835240799606</v>
      </c>
    </row>
    <row r="33" spans="1:15" s="24" customFormat="1" x14ac:dyDescent="0.2">
      <c r="A33" s="74">
        <f t="shared" si="1"/>
        <v>27</v>
      </c>
      <c r="C33" s="14"/>
      <c r="D33" s="14">
        <f t="shared" si="4"/>
        <v>0</v>
      </c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</row>
    <row r="34" spans="1:15" x14ac:dyDescent="0.2">
      <c r="A34" s="74">
        <f t="shared" si="1"/>
        <v>28</v>
      </c>
      <c r="C34" s="14" t="s">
        <v>111</v>
      </c>
      <c r="D34" s="14">
        <f t="shared" si="4"/>
        <v>0</v>
      </c>
      <c r="E34" s="72">
        <f>SUM(F34:O34)</f>
        <v>24227802.194573447</v>
      </c>
      <c r="F34" s="72">
        <v>19433156.748120859</v>
      </c>
      <c r="G34" s="72">
        <v>2400321.0152301593</v>
      </c>
      <c r="H34" s="72">
        <v>366809.54497603117</v>
      </c>
      <c r="I34" s="72">
        <v>186636.34131468923</v>
      </c>
      <c r="J34" s="72">
        <v>541081.79436648381</v>
      </c>
      <c r="K34" s="72">
        <v>37819.615828993061</v>
      </c>
      <c r="L34" s="72">
        <v>42916.878530825386</v>
      </c>
      <c r="M34" s="72">
        <v>74662.163099249898</v>
      </c>
      <c r="N34" s="72">
        <v>1144158.5154409551</v>
      </c>
      <c r="O34" s="72">
        <v>239.57766519774196</v>
      </c>
    </row>
    <row r="35" spans="1:15" x14ac:dyDescent="0.2">
      <c r="A35" s="74">
        <f t="shared" si="1"/>
        <v>29</v>
      </c>
      <c r="C35" s="14" t="s">
        <v>112</v>
      </c>
      <c r="D35" s="14">
        <f t="shared" si="4"/>
        <v>0</v>
      </c>
      <c r="E35" s="72">
        <f>SUM(F35:O35)</f>
        <v>70631674.529572666</v>
      </c>
      <c r="F35" s="72">
        <v>56781065.973101668</v>
      </c>
      <c r="G35" s="72">
        <v>7365778.3311364958</v>
      </c>
      <c r="H35" s="72">
        <v>1157504.0886005575</v>
      </c>
      <c r="I35" s="72">
        <v>582842.7649282132</v>
      </c>
      <c r="J35" s="72">
        <v>1729965.8683752203</v>
      </c>
      <c r="K35" s="72">
        <v>119907.29226580673</v>
      </c>
      <c r="L35" s="72">
        <v>134935.58776790966</v>
      </c>
      <c r="M35" s="72">
        <v>234580.44442422013</v>
      </c>
      <c r="N35" s="72">
        <v>2524329.1789559526</v>
      </c>
      <c r="O35" s="72">
        <v>765.00001660033809</v>
      </c>
    </row>
    <row r="36" spans="1:15" x14ac:dyDescent="0.2">
      <c r="A36" s="49">
        <f t="shared" si="1"/>
        <v>30</v>
      </c>
      <c r="B36" s="50"/>
      <c r="C36" s="50" t="s">
        <v>113</v>
      </c>
      <c r="D36" s="50">
        <f t="shared" si="4"/>
        <v>0</v>
      </c>
      <c r="E36" s="51">
        <f>+SUM(F36:O36)</f>
        <v>14183880.233362332</v>
      </c>
      <c r="F36" s="51">
        <v>11843872.293322524</v>
      </c>
      <c r="G36" s="51">
        <v>1589286.4924817919</v>
      </c>
      <c r="H36" s="51">
        <v>209405.06874780674</v>
      </c>
      <c r="I36" s="51">
        <v>87821.702592169604</v>
      </c>
      <c r="J36" s="51">
        <v>259137.3788350636</v>
      </c>
      <c r="K36" s="51">
        <v>29550.249263340913</v>
      </c>
      <c r="L36" s="51">
        <v>37773.871141196709</v>
      </c>
      <c r="M36" s="51">
        <v>66402.301114096539</v>
      </c>
      <c r="N36" s="51">
        <v>60490.230201098362</v>
      </c>
      <c r="O36" s="51">
        <v>140.64566324090831</v>
      </c>
    </row>
    <row r="37" spans="1:15" x14ac:dyDescent="0.2">
      <c r="A37" s="74">
        <f t="shared" si="1"/>
        <v>31</v>
      </c>
      <c r="D37" s="14">
        <f t="shared" si="4"/>
        <v>0</v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</row>
    <row r="38" spans="1:15" x14ac:dyDescent="0.2">
      <c r="A38" s="74">
        <f t="shared" si="1"/>
        <v>32</v>
      </c>
      <c r="C38" s="14" t="s">
        <v>114</v>
      </c>
      <c r="D38" s="14">
        <f t="shared" si="4"/>
        <v>0</v>
      </c>
      <c r="E38" s="72">
        <f>SUM(F38:O38)</f>
        <v>24102101.709727738</v>
      </c>
      <c r="F38" s="72">
        <v>15823874.153589938</v>
      </c>
      <c r="G38" s="72">
        <v>2991515.4258872718</v>
      </c>
      <c r="H38" s="72">
        <v>840474.73099291453</v>
      </c>
      <c r="I38" s="72">
        <v>93872.595391353098</v>
      </c>
      <c r="J38" s="72">
        <v>1489177.4545950438</v>
      </c>
      <c r="K38" s="72">
        <v>73384.185148474222</v>
      </c>
      <c r="L38" s="72">
        <v>45571.404163884014</v>
      </c>
      <c r="M38" s="72">
        <v>73369.567913433959</v>
      </c>
      <c r="N38" s="72">
        <v>2670044.1300000004</v>
      </c>
      <c r="O38" s="72">
        <v>818.06204542367198</v>
      </c>
    </row>
    <row r="39" spans="1:15" x14ac:dyDescent="0.2">
      <c r="A39" s="49">
        <f t="shared" si="1"/>
        <v>33</v>
      </c>
      <c r="B39" s="50"/>
      <c r="C39" s="50" t="s">
        <v>115</v>
      </c>
      <c r="D39" s="50">
        <f t="shared" si="4"/>
        <v>0</v>
      </c>
      <c r="E39" s="51">
        <f>SUM(F39:O39)</f>
        <v>21432057.579727739</v>
      </c>
      <c r="F39" s="51">
        <v>15823874.153589938</v>
      </c>
      <c r="G39" s="51">
        <v>2991515.4258872718</v>
      </c>
      <c r="H39" s="51">
        <v>840474.73099291453</v>
      </c>
      <c r="I39" s="51">
        <v>93872.595391353098</v>
      </c>
      <c r="J39" s="51">
        <v>1489177.4545950438</v>
      </c>
      <c r="K39" s="51">
        <v>73384.185148474222</v>
      </c>
      <c r="L39" s="51">
        <v>45571.404163884014</v>
      </c>
      <c r="M39" s="51">
        <v>73369.567913433959</v>
      </c>
      <c r="N39" s="51">
        <v>0</v>
      </c>
      <c r="O39" s="51">
        <v>818.06204542367198</v>
      </c>
    </row>
    <row r="40" spans="1:15" x14ac:dyDescent="0.2">
      <c r="A40" s="74">
        <f t="shared" si="1"/>
        <v>34</v>
      </c>
      <c r="D40" s="14">
        <f t="shared" si="4"/>
        <v>0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</row>
    <row r="41" spans="1:15" x14ac:dyDescent="0.2">
      <c r="A41" s="74">
        <f t="shared" si="1"/>
        <v>35</v>
      </c>
      <c r="C41" s="14" t="s">
        <v>116</v>
      </c>
      <c r="D41" s="14">
        <f t="shared" si="4"/>
        <v>0</v>
      </c>
      <c r="E41" s="72">
        <f>SUM(F41:O41)</f>
        <v>28977185.759995148</v>
      </c>
      <c r="F41" s="72">
        <v>19725545.427928906</v>
      </c>
      <c r="G41" s="72">
        <v>3433637.4533741414</v>
      </c>
      <c r="H41" s="72">
        <v>903899.27467180474</v>
      </c>
      <c r="I41" s="72">
        <v>127374.72238279617</v>
      </c>
      <c r="J41" s="72">
        <v>1579836.4600565499</v>
      </c>
      <c r="K41" s="72">
        <v>79883.653720998205</v>
      </c>
      <c r="L41" s="72">
        <v>53134.553914682721</v>
      </c>
      <c r="M41" s="72">
        <v>86555.250817132925</v>
      </c>
      <c r="N41" s="72">
        <v>2986460.9071571217</v>
      </c>
      <c r="O41" s="72">
        <v>858.05597102017623</v>
      </c>
    </row>
    <row r="42" spans="1:15" x14ac:dyDescent="0.2">
      <c r="A42" s="74">
        <f t="shared" si="1"/>
        <v>36</v>
      </c>
      <c r="C42" s="14" t="s">
        <v>117</v>
      </c>
      <c r="D42" s="14">
        <f t="shared" si="4"/>
        <v>0</v>
      </c>
      <c r="E42" s="72">
        <f>SUM(F42:O42)</f>
        <v>4875084.0502674151</v>
      </c>
      <c r="F42" s="72">
        <v>3901671.2743389667</v>
      </c>
      <c r="G42" s="72">
        <v>442122.02748686948</v>
      </c>
      <c r="H42" s="72">
        <v>63424.543678890179</v>
      </c>
      <c r="I42" s="72">
        <v>33502.126991443081</v>
      </c>
      <c r="J42" s="72">
        <v>90659.005461505862</v>
      </c>
      <c r="K42" s="72">
        <v>6499.468572523986</v>
      </c>
      <c r="L42" s="72">
        <v>7563.1497507987106</v>
      </c>
      <c r="M42" s="72">
        <v>13185.682903698971</v>
      </c>
      <c r="N42" s="72">
        <v>316416.77715712122</v>
      </c>
      <c r="O42" s="72">
        <v>39.993925596504312</v>
      </c>
    </row>
    <row r="43" spans="1:15" x14ac:dyDescent="0.2">
      <c r="A43" s="74">
        <f t="shared" si="1"/>
        <v>37</v>
      </c>
      <c r="C43" s="14" t="s">
        <v>118</v>
      </c>
      <c r="D43" s="14">
        <f t="shared" si="4"/>
        <v>0</v>
      </c>
      <c r="E43" s="72">
        <f>SUM(F43:O43)</f>
        <v>24102101.709727742</v>
      </c>
      <c r="F43" s="72">
        <v>15823874.15358994</v>
      </c>
      <c r="G43" s="72">
        <v>2991515.4258872718</v>
      </c>
      <c r="H43" s="72">
        <v>840474.73099291453</v>
      </c>
      <c r="I43" s="72">
        <v>93872.595391353098</v>
      </c>
      <c r="J43" s="72">
        <v>1489177.4545950438</v>
      </c>
      <c r="K43" s="72">
        <v>73384.185148474222</v>
      </c>
      <c r="L43" s="72">
        <v>45571.404163884014</v>
      </c>
      <c r="M43" s="72">
        <v>73369.567913433959</v>
      </c>
      <c r="N43" s="72">
        <v>2670044.1300000004</v>
      </c>
      <c r="O43" s="72">
        <v>818.06204542367186</v>
      </c>
    </row>
    <row r="44" spans="1:15" x14ac:dyDescent="0.2">
      <c r="A44" s="49">
        <f t="shared" si="1"/>
        <v>38</v>
      </c>
      <c r="B44" s="50"/>
      <c r="C44" s="50" t="s">
        <v>119</v>
      </c>
      <c r="D44" s="50">
        <f t="shared" si="4"/>
        <v>0</v>
      </c>
      <c r="E44" s="51">
        <f>+SUM(F44:O44)</f>
        <v>4558667.2731102929</v>
      </c>
      <c r="F44" s="51">
        <v>3901671.2743389662</v>
      </c>
      <c r="G44" s="51">
        <v>442122.02748686948</v>
      </c>
      <c r="H44" s="51">
        <v>63424.543678890179</v>
      </c>
      <c r="I44" s="51">
        <v>33502.126991443081</v>
      </c>
      <c r="J44" s="51">
        <v>90659.005461505862</v>
      </c>
      <c r="K44" s="51">
        <v>6499.468572523986</v>
      </c>
      <c r="L44" s="51">
        <v>7563.1497507987106</v>
      </c>
      <c r="M44" s="51">
        <v>13185.682903698971</v>
      </c>
      <c r="N44" s="51">
        <v>0</v>
      </c>
      <c r="O44" s="51">
        <v>39.993925596504319</v>
      </c>
    </row>
    <row r="45" spans="1:15" x14ac:dyDescent="0.2">
      <c r="A45" s="74">
        <f t="shared" si="1"/>
        <v>39</v>
      </c>
      <c r="D45" s="14">
        <f t="shared" si="4"/>
        <v>0</v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1:15" x14ac:dyDescent="0.2">
      <c r="A46" s="74">
        <f t="shared" si="1"/>
        <v>40</v>
      </c>
      <c r="C46" s="14" t="s">
        <v>120</v>
      </c>
      <c r="D46" s="14">
        <f t="shared" si="4"/>
        <v>0</v>
      </c>
      <c r="E46" s="72">
        <f>SUM(F46:O46)</f>
        <v>588474503.81422949</v>
      </c>
      <c r="F46" s="72">
        <v>425611091.43339598</v>
      </c>
      <c r="G46" s="72">
        <v>55302425.457209252</v>
      </c>
      <c r="H46" s="72">
        <v>13136836.696558774</v>
      </c>
      <c r="I46" s="72">
        <v>2164990.4067870108</v>
      </c>
      <c r="J46" s="72">
        <v>22478247.10226234</v>
      </c>
      <c r="K46" s="72">
        <v>1162198.3280404573</v>
      </c>
      <c r="L46" s="72">
        <v>816335.51795632043</v>
      </c>
      <c r="M46" s="72">
        <v>1341362.0607061903</v>
      </c>
      <c r="N46" s="72">
        <v>66448931.769645274</v>
      </c>
      <c r="O46" s="72">
        <v>12085.041667982408</v>
      </c>
    </row>
    <row r="47" spans="1:15" x14ac:dyDescent="0.2">
      <c r="A47" s="74">
        <f t="shared" si="1"/>
        <v>41</v>
      </c>
      <c r="C47" s="14" t="s">
        <v>121</v>
      </c>
      <c r="D47" s="14">
        <f t="shared" si="4"/>
        <v>0</v>
      </c>
      <c r="E47" s="72">
        <f>SUM(F47:O47)</f>
        <v>8.7576391261648956E-2</v>
      </c>
      <c r="F47" s="72">
        <v>6.2762468871423505E-2</v>
      </c>
      <c r="G47" s="72">
        <v>8.2546529032754886E-3</v>
      </c>
      <c r="H47" s="72">
        <v>2.0246939508913437E-3</v>
      </c>
      <c r="I47" s="72">
        <v>2.983035205134606E-4</v>
      </c>
      <c r="J47" s="72">
        <v>3.4918409679540307E-3</v>
      </c>
      <c r="K47" s="72">
        <v>1.7775863326858465E-4</v>
      </c>
      <c r="L47" s="72">
        <v>1.202582104969682E-4</v>
      </c>
      <c r="M47" s="72">
        <v>1.9643864912936046E-4</v>
      </c>
      <c r="N47" s="72">
        <v>1.0248084802900103E-2</v>
      </c>
      <c r="O47" s="72">
        <v>1.8907517961122721E-6</v>
      </c>
    </row>
    <row r="48" spans="1:15" x14ac:dyDescent="0.2">
      <c r="A48" s="49">
        <f t="shared" si="1"/>
        <v>42</v>
      </c>
      <c r="B48" s="50"/>
      <c r="C48" s="50" t="s">
        <v>122</v>
      </c>
      <c r="D48" s="50">
        <f t="shared" si="4"/>
        <v>0</v>
      </c>
      <c r="E48" s="51">
        <f>+SUM(F48:O48)</f>
        <v>4.1701483244730733E-2</v>
      </c>
      <c r="F48" s="51">
        <v>3.155178361181718E-2</v>
      </c>
      <c r="G48" s="51">
        <v>5.4434051321231225E-3</v>
      </c>
      <c r="H48" s="51">
        <v>1.503231316108458E-3</v>
      </c>
      <c r="I48" s="51">
        <v>1.91528450791689E-4</v>
      </c>
      <c r="J48" s="51">
        <v>2.6550503121151527E-3</v>
      </c>
      <c r="K48" s="51">
        <v>1.3231852983246737E-4</v>
      </c>
      <c r="L48" s="51">
        <v>8.5001671820943313E-5</v>
      </c>
      <c r="M48" s="51">
        <v>1.3771266535056529E-4</v>
      </c>
      <c r="N48" s="51">
        <v>0</v>
      </c>
      <c r="O48" s="51">
        <v>1.4515547711541513E-6</v>
      </c>
    </row>
    <row r="49" spans="1:15" x14ac:dyDescent="0.2">
      <c r="A49" s="74">
        <f t="shared" si="1"/>
        <v>43</v>
      </c>
      <c r="D49" s="14">
        <f t="shared" si="4"/>
        <v>0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</row>
    <row r="50" spans="1:15" x14ac:dyDescent="0.2">
      <c r="A50" s="31">
        <f t="shared" si="1"/>
        <v>44</v>
      </c>
      <c r="B50" s="26"/>
      <c r="C50" s="26" t="s">
        <v>123</v>
      </c>
      <c r="D50" s="26">
        <f t="shared" si="4"/>
        <v>0</v>
      </c>
      <c r="E50" s="28">
        <f>SUM(E48,E44,E39,E36,E32)</f>
        <v>81976738.741497859</v>
      </c>
      <c r="F50" s="28">
        <f t="shared" ref="F50:L50" si="7">SUM(F48,F44,F39,F36,F32)</f>
        <v>66175616.981303088</v>
      </c>
      <c r="G50" s="28">
        <f t="shared" si="7"/>
        <v>9899909.960259404</v>
      </c>
      <c r="H50" s="28">
        <f t="shared" si="7"/>
        <v>1774102.9161953153</v>
      </c>
      <c r="I50" s="28">
        <f t="shared" si="7"/>
        <v>489453.00134539488</v>
      </c>
      <c r="J50" s="28">
        <f t="shared" si="7"/>
        <v>2667876.3886958109</v>
      </c>
      <c r="K50" s="28">
        <f t="shared" si="7"/>
        <v>203123.12489427606</v>
      </c>
      <c r="L50" s="28">
        <f t="shared" si="7"/>
        <v>209673.80788058037</v>
      </c>
      <c r="M50" s="28">
        <f>SUM(M48,M44,M39,M36,M32)</f>
        <v>361586.40314347181</v>
      </c>
      <c r="N50" s="28">
        <f>SUM(N48,N44,N39,N36,N32)</f>
        <v>193948.35779240172</v>
      </c>
      <c r="O50" s="28">
        <f>SUM(O48,O44,O39,O36,O32)</f>
        <v>1447.7999881206354</v>
      </c>
    </row>
    <row r="51" spans="1:15" x14ac:dyDescent="0.2">
      <c r="A51" s="74">
        <f t="shared" si="1"/>
        <v>45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s="24" customFormat="1" x14ac:dyDescent="0.2">
      <c r="A52" s="74">
        <f t="shared" si="1"/>
        <v>46</v>
      </c>
      <c r="B52" s="14"/>
      <c r="C52" s="14" t="s">
        <v>124</v>
      </c>
      <c r="D52" s="14"/>
      <c r="E52" s="40">
        <f>SUM(F52:O52)</f>
        <v>13797492</v>
      </c>
      <c r="F52" s="40">
        <v>12126864</v>
      </c>
      <c r="G52" s="40">
        <v>1459176</v>
      </c>
      <c r="H52" s="40">
        <v>97968</v>
      </c>
      <c r="I52" s="40">
        <v>10104</v>
      </c>
      <c r="J52" s="40">
        <v>7728</v>
      </c>
      <c r="K52" s="40">
        <v>1116</v>
      </c>
      <c r="L52" s="40">
        <v>300</v>
      </c>
      <c r="M52" s="40">
        <v>192</v>
      </c>
      <c r="N52" s="40">
        <v>93948</v>
      </c>
      <c r="O52" s="40">
        <v>96</v>
      </c>
    </row>
    <row r="53" spans="1:15" x14ac:dyDescent="0.2">
      <c r="A53" s="74">
        <f t="shared" si="1"/>
        <v>47</v>
      </c>
      <c r="C53" s="14" t="s">
        <v>125</v>
      </c>
      <c r="E53" s="25">
        <v>7.0172999999999999E-2</v>
      </c>
      <c r="F53" s="25">
        <v>7.0172999999999999E-2</v>
      </c>
      <c r="G53" s="25">
        <v>7.0172999999999999E-2</v>
      </c>
      <c r="H53" s="25">
        <v>7.0172999999999999E-2</v>
      </c>
      <c r="I53" s="25">
        <v>7.0172999999999999E-2</v>
      </c>
      <c r="J53" s="25">
        <v>7.0172999999999999E-2</v>
      </c>
      <c r="K53" s="25">
        <v>7.0172999999999999E-2</v>
      </c>
      <c r="L53" s="25">
        <v>7.0172999999999999E-2</v>
      </c>
      <c r="M53" s="25">
        <v>7.0172999999999999E-2</v>
      </c>
      <c r="N53" s="25">
        <v>7.0172999999999999E-2</v>
      </c>
      <c r="O53" s="25">
        <v>7.0172999999999999E-2</v>
      </c>
    </row>
    <row r="54" spans="1:15" x14ac:dyDescent="0.2">
      <c r="A54" s="74">
        <f t="shared" si="1"/>
        <v>48</v>
      </c>
      <c r="C54" s="14" t="s">
        <v>126</v>
      </c>
      <c r="E54" s="15">
        <v>0.75138099999999997</v>
      </c>
      <c r="F54" s="15">
        <v>0.75138099999999997</v>
      </c>
      <c r="G54" s="15">
        <v>0.75138099999999997</v>
      </c>
      <c r="H54" s="15">
        <v>0.75138099999999997</v>
      </c>
      <c r="I54" s="15">
        <v>0.75138099999999997</v>
      </c>
      <c r="J54" s="15">
        <v>0.75138099999999997</v>
      </c>
      <c r="K54" s="15">
        <v>0.75138099999999997</v>
      </c>
      <c r="L54" s="15">
        <v>0.75138099999999997</v>
      </c>
      <c r="M54" s="15">
        <v>0.75138099999999997</v>
      </c>
      <c r="N54" s="15">
        <v>0.75138099999999997</v>
      </c>
      <c r="O54" s="15">
        <v>0.75138099999999997</v>
      </c>
    </row>
    <row r="55" spans="1:15" x14ac:dyDescent="0.2">
      <c r="A55" s="74">
        <f t="shared" si="1"/>
        <v>49</v>
      </c>
      <c r="C55" s="14" t="s">
        <v>127</v>
      </c>
      <c r="E55" s="64">
        <v>0.79</v>
      </c>
      <c r="F55" s="64">
        <v>0.79</v>
      </c>
      <c r="G55" s="64">
        <v>0.79</v>
      </c>
      <c r="H55" s="64">
        <v>0.79</v>
      </c>
      <c r="I55" s="64">
        <v>0.79</v>
      </c>
      <c r="J55" s="64">
        <v>0.79</v>
      </c>
      <c r="K55" s="64">
        <v>0.79</v>
      </c>
      <c r="L55" s="64">
        <v>0.79</v>
      </c>
      <c r="M55" s="64">
        <v>0.79</v>
      </c>
      <c r="N55" s="64">
        <v>0.79</v>
      </c>
      <c r="O55" s="64">
        <v>0.79</v>
      </c>
    </row>
    <row r="56" spans="1:15" x14ac:dyDescent="0.2">
      <c r="A56" s="74">
        <f t="shared" si="1"/>
        <v>50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</row>
    <row r="57" spans="1:15" x14ac:dyDescent="0.2">
      <c r="A57" s="39">
        <f t="shared" si="1"/>
        <v>51</v>
      </c>
      <c r="B57" s="13"/>
      <c r="C57" s="13" t="s">
        <v>128</v>
      </c>
      <c r="D57" s="13"/>
      <c r="E57" s="65">
        <f>+(E22*E53)/E54/E52</f>
        <v>1.9024042003659716</v>
      </c>
      <c r="F57" s="65">
        <f>+($F$22*$F$53)/$F$54/$F$52</f>
        <v>1.6477759527787388</v>
      </c>
      <c r="G57" s="65">
        <f t="shared" ref="G57:O57" si="8">+(G22*G53)/G54/G52</f>
        <v>2.3340931159490381</v>
      </c>
      <c r="H57" s="65">
        <f t="shared" si="8"/>
        <v>9.297856157804592</v>
      </c>
      <c r="I57" s="65">
        <f t="shared" si="8"/>
        <v>12.848350940459214</v>
      </c>
      <c r="J57" s="65">
        <f t="shared" si="8"/>
        <v>206.53683263643629</v>
      </c>
      <c r="K57" s="65">
        <f t="shared" si="8"/>
        <v>72.396213284826104</v>
      </c>
      <c r="L57" s="65">
        <f t="shared" si="8"/>
        <v>179.62633262246081</v>
      </c>
      <c r="M57" s="65">
        <f t="shared" si="8"/>
        <v>457.40569705442039</v>
      </c>
      <c r="N57" s="65">
        <f t="shared" si="8"/>
        <v>0</v>
      </c>
      <c r="O57" s="65">
        <f t="shared" si="8"/>
        <v>9.0257990418558496</v>
      </c>
    </row>
    <row r="58" spans="1:15" x14ac:dyDescent="0.2">
      <c r="A58" s="39">
        <f t="shared" si="1"/>
        <v>52</v>
      </c>
      <c r="B58" s="13"/>
      <c r="C58" s="13" t="s">
        <v>129</v>
      </c>
      <c r="D58" s="13"/>
      <c r="E58" s="65">
        <f>+E50*E55/E54/E52</f>
        <v>6.2467966439873335</v>
      </c>
      <c r="F58" s="65">
        <f t="shared" ref="F58:O58" si="9">+F50*F55/F54/F52</f>
        <v>5.737416450960847</v>
      </c>
      <c r="G58" s="65">
        <f t="shared" si="9"/>
        <v>7.1332993413361629</v>
      </c>
      <c r="H58" s="65">
        <f t="shared" si="9"/>
        <v>19.039759136008843</v>
      </c>
      <c r="I58" s="65">
        <f t="shared" si="9"/>
        <v>50.931274111120942</v>
      </c>
      <c r="J58" s="65">
        <f t="shared" si="9"/>
        <v>362.96560465243232</v>
      </c>
      <c r="K58" s="65">
        <f t="shared" si="9"/>
        <v>191.36480047961544</v>
      </c>
      <c r="L58" s="65">
        <f t="shared" si="9"/>
        <v>734.83496045130448</v>
      </c>
      <c r="M58" s="65">
        <f>+M50*M55/M54/M52</f>
        <v>1980.0572385169135</v>
      </c>
      <c r="N58" s="65">
        <f t="shared" si="9"/>
        <v>2.1705282861021358</v>
      </c>
      <c r="O58" s="65">
        <f t="shared" si="9"/>
        <v>15.856386310330883</v>
      </c>
    </row>
    <row r="59" spans="1:15" ht="13.5" thickBot="1" x14ac:dyDescent="0.25">
      <c r="A59" s="32">
        <f t="shared" si="1"/>
        <v>53</v>
      </c>
      <c r="B59" s="21"/>
      <c r="C59" s="21" t="s">
        <v>130</v>
      </c>
      <c r="D59" s="21"/>
      <c r="E59" s="66">
        <f>SUM(E57:E58)</f>
        <v>8.1492008443533059</v>
      </c>
      <c r="F59" s="66">
        <f t="shared" ref="F59:O59" si="10">SUM(F57:F58)</f>
        <v>7.3851924037395857</v>
      </c>
      <c r="G59" s="66">
        <f t="shared" si="10"/>
        <v>9.4673924572852002</v>
      </c>
      <c r="H59" s="66">
        <f t="shared" si="10"/>
        <v>28.337615293813435</v>
      </c>
      <c r="I59" s="66">
        <f t="shared" si="10"/>
        <v>63.779625051580155</v>
      </c>
      <c r="J59" s="66">
        <f t="shared" si="10"/>
        <v>569.50243728886858</v>
      </c>
      <c r="K59" s="66">
        <f t="shared" si="10"/>
        <v>263.76101376444154</v>
      </c>
      <c r="L59" s="66">
        <f t="shared" si="10"/>
        <v>914.46129307376532</v>
      </c>
      <c r="M59" s="66">
        <f t="shared" si="10"/>
        <v>2437.4629355713337</v>
      </c>
      <c r="N59" s="66">
        <f t="shared" si="10"/>
        <v>2.1705282861021358</v>
      </c>
      <c r="O59" s="66">
        <f t="shared" si="10"/>
        <v>24.882185352186731</v>
      </c>
    </row>
    <row r="60" spans="1:15" ht="13.5" thickTop="1" x14ac:dyDescent="0.2"/>
  </sheetData>
  <mergeCells count="4">
    <mergeCell ref="A1:O1"/>
    <mergeCell ref="A2:O2"/>
    <mergeCell ref="A3:O3"/>
    <mergeCell ref="A4:O4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0"/>
  <dimension ref="A1:K33"/>
  <sheetViews>
    <sheetView showGridLines="0" zoomScaleNormal="100" workbookViewId="0">
      <selection activeCell="A3" sqref="A3:G3"/>
    </sheetView>
  </sheetViews>
  <sheetFormatPr defaultColWidth="5.85546875" defaultRowHeight="12.75" x14ac:dyDescent="0.2"/>
  <cols>
    <col min="1" max="1" width="4.7109375" style="14" bestFit="1" customWidth="1"/>
    <col min="2" max="2" width="34.28515625" style="14" customWidth="1"/>
    <col min="3" max="3" width="15.7109375" style="14" bestFit="1" customWidth="1"/>
    <col min="4" max="4" width="10" style="14" bestFit="1" customWidth="1"/>
    <col min="5" max="5" width="16.140625" style="14" bestFit="1" customWidth="1"/>
    <col min="6" max="6" width="10" style="14" bestFit="1" customWidth="1"/>
    <col min="7" max="7" width="15.140625" style="14" bestFit="1" customWidth="1"/>
    <col min="8" max="8" width="5.85546875" style="14"/>
    <col min="9" max="9" width="15.5703125" style="14" bestFit="1" customWidth="1"/>
    <col min="10" max="10" width="9.85546875" style="14" bestFit="1" customWidth="1"/>
    <col min="11" max="11" width="15" style="14" bestFit="1" customWidth="1"/>
    <col min="12" max="16384" width="5.85546875" style="14"/>
  </cols>
  <sheetData>
    <row r="1" spans="1:11" x14ac:dyDescent="0.2">
      <c r="A1" s="103" t="str">
        <f>+'Ratebase Summary'!A1</f>
        <v>Puget Sound Energy</v>
      </c>
      <c r="B1" s="103"/>
      <c r="C1" s="103"/>
      <c r="D1" s="103"/>
      <c r="E1" s="103"/>
      <c r="F1" s="103"/>
      <c r="G1" s="103"/>
    </row>
    <row r="2" spans="1:11" x14ac:dyDescent="0.2">
      <c r="A2" s="103" t="str">
        <f>+'Ratebase Summary'!A3</f>
        <v>Adjusted Test Year Twelve Months ended December 2018 @ Revenue Requirement Before Attrition and Riders</v>
      </c>
      <c r="B2" s="103"/>
      <c r="C2" s="103"/>
      <c r="D2" s="103"/>
      <c r="E2" s="103"/>
      <c r="F2" s="103"/>
      <c r="G2" s="103"/>
    </row>
    <row r="3" spans="1:11" x14ac:dyDescent="0.2">
      <c r="A3" s="103" t="s">
        <v>615</v>
      </c>
      <c r="B3" s="103"/>
      <c r="C3" s="103"/>
      <c r="D3" s="103"/>
      <c r="E3" s="103"/>
      <c r="F3" s="103"/>
      <c r="G3" s="103"/>
    </row>
    <row r="4" spans="1:11" s="24" customFormat="1" x14ac:dyDescent="0.2">
      <c r="A4" s="14"/>
    </row>
    <row r="5" spans="1:11" s="13" customFormat="1" x14ac:dyDescent="0.2">
      <c r="A5" s="50"/>
      <c r="B5" s="50"/>
      <c r="C5" s="49"/>
      <c r="D5" s="107" t="s">
        <v>131</v>
      </c>
      <c r="E5" s="108"/>
      <c r="F5" s="108" t="s">
        <v>132</v>
      </c>
      <c r="G5" s="108"/>
      <c r="J5" s="106"/>
      <c r="K5" s="106"/>
    </row>
    <row r="6" spans="1:11" s="10" customFormat="1" x14ac:dyDescent="0.2">
      <c r="A6" s="56" t="s">
        <v>2</v>
      </c>
      <c r="B6" s="56" t="s">
        <v>77</v>
      </c>
      <c r="C6" s="57" t="s">
        <v>53</v>
      </c>
      <c r="D6" s="57" t="s">
        <v>133</v>
      </c>
      <c r="E6" s="58" t="s">
        <v>134</v>
      </c>
      <c r="F6" s="57" t="s">
        <v>133</v>
      </c>
      <c r="G6" s="57" t="s">
        <v>135</v>
      </c>
      <c r="I6" s="13"/>
      <c r="J6" s="13"/>
      <c r="K6" s="13"/>
    </row>
    <row r="7" spans="1:11" s="13" customFormat="1" x14ac:dyDescent="0.2">
      <c r="B7" s="59" t="s">
        <v>15</v>
      </c>
      <c r="C7" s="39" t="s">
        <v>16</v>
      </c>
      <c r="D7" s="39" t="s">
        <v>17</v>
      </c>
      <c r="E7" s="39" t="s">
        <v>18</v>
      </c>
      <c r="F7" s="39" t="s">
        <v>17</v>
      </c>
      <c r="G7" s="39" t="s">
        <v>18</v>
      </c>
    </row>
    <row r="8" spans="1:11" x14ac:dyDescent="0.2">
      <c r="A8" s="74">
        <v>1</v>
      </c>
      <c r="B8" s="13" t="s">
        <v>136</v>
      </c>
    </row>
    <row r="9" spans="1:11" x14ac:dyDescent="0.2">
      <c r="A9" s="74">
        <f t="shared" ref="A9:A31" si="0">+A8+1</f>
        <v>2</v>
      </c>
      <c r="B9" s="14" t="s">
        <v>137</v>
      </c>
      <c r="C9" s="72">
        <f>SUM('Ratebase Summary'!E51)</f>
        <v>4089276603.8939037</v>
      </c>
      <c r="D9" s="60">
        <f>+E9/$C9</f>
        <v>0.20649687021259677</v>
      </c>
      <c r="E9" s="72">
        <f>SUM('Ratebase Summary'!E37:E39)</f>
        <v>844422820.13768792</v>
      </c>
      <c r="F9" s="60">
        <f>+G9/$C9</f>
        <v>0.42387611435698141</v>
      </c>
      <c r="G9" s="72">
        <f>SUM('Ratebase Summary'!E40:E42)</f>
        <v>1733346677.389461</v>
      </c>
    </row>
    <row r="10" spans="1:11" x14ac:dyDescent="0.2">
      <c r="A10" s="74">
        <f t="shared" si="0"/>
        <v>3</v>
      </c>
      <c r="B10" s="14" t="s">
        <v>138</v>
      </c>
      <c r="C10" s="72">
        <f>SUM('Ratebase Summary'!E111)</f>
        <v>-1498751943.7972682</v>
      </c>
      <c r="D10" s="60">
        <f>+E10/$C10</f>
        <v>0.18815614642704867</v>
      </c>
      <c r="E10" s="72">
        <f>SUM('Ratebase Summary'!E97:E99)</f>
        <v>-281999390.19494259</v>
      </c>
      <c r="F10" s="60">
        <f>+G10/$C10</f>
        <v>0.45236547253276349</v>
      </c>
      <c r="G10" s="72">
        <f>SUM('Ratebase Summary'!E100:E102)</f>
        <v>-677983631.26524901</v>
      </c>
    </row>
    <row r="11" spans="1:11" x14ac:dyDescent="0.2">
      <c r="A11" s="74">
        <f t="shared" si="0"/>
        <v>4</v>
      </c>
      <c r="B11" s="14" t="s">
        <v>139</v>
      </c>
      <c r="C11" s="72">
        <f>+C12-C9-C10</f>
        <v>-321424292.24188018</v>
      </c>
      <c r="D11" s="60">
        <f>SUM(E9:E10)/SUM(C9:C10)</f>
        <v>0.21710792358246261</v>
      </c>
      <c r="E11" s="72">
        <f>+C11*D11</f>
        <v>-69783760.677597255</v>
      </c>
      <c r="F11" s="60">
        <f>SUM(G9:G10)/SUM(C9:C10)</f>
        <v>0.40739355327535975</v>
      </c>
      <c r="G11" s="72">
        <f>+C11*F11</f>
        <v>-130946184.52543722</v>
      </c>
    </row>
    <row r="12" spans="1:11" x14ac:dyDescent="0.2">
      <c r="A12" s="49">
        <f>+A11+1</f>
        <v>5</v>
      </c>
      <c r="B12" s="52" t="s">
        <v>140</v>
      </c>
      <c r="C12" s="51">
        <f>+'Class Summary'!E79</f>
        <v>2269100367.8547554</v>
      </c>
      <c r="D12" s="61"/>
      <c r="E12" s="51">
        <f>SUM(E9:E11)</f>
        <v>492639669.26514804</v>
      </c>
      <c r="F12" s="61"/>
      <c r="G12" s="51">
        <f>SUM(G9:G11)</f>
        <v>924416861.59877479</v>
      </c>
    </row>
    <row r="13" spans="1:11" x14ac:dyDescent="0.2">
      <c r="A13" s="74">
        <f t="shared" si="0"/>
        <v>6</v>
      </c>
      <c r="C13" s="72"/>
      <c r="D13" s="60"/>
      <c r="E13" s="91"/>
      <c r="F13" s="60"/>
      <c r="G13" s="91"/>
      <c r="J13" s="24"/>
      <c r="K13" s="24"/>
    </row>
    <row r="14" spans="1:11" x14ac:dyDescent="0.2">
      <c r="A14" s="74">
        <f t="shared" si="0"/>
        <v>7</v>
      </c>
      <c r="B14" s="14" t="s">
        <v>141</v>
      </c>
      <c r="C14" s="54">
        <v>7.6200000000000004E-2</v>
      </c>
      <c r="D14" s="54"/>
      <c r="E14" s="54">
        <f>+C14</f>
        <v>7.6200000000000004E-2</v>
      </c>
      <c r="F14" s="54"/>
      <c r="G14" s="54">
        <f>+C14</f>
        <v>7.6200000000000004E-2</v>
      </c>
    </row>
    <row r="15" spans="1:11" x14ac:dyDescent="0.2">
      <c r="A15" s="31">
        <f t="shared" si="0"/>
        <v>8</v>
      </c>
      <c r="B15" s="26" t="s">
        <v>142</v>
      </c>
      <c r="C15" s="28">
        <f>+C14*C12</f>
        <v>172905448.03053236</v>
      </c>
      <c r="D15" s="62"/>
      <c r="E15" s="28">
        <f>+E14*E12</f>
        <v>37539142.798004285</v>
      </c>
      <c r="F15" s="62"/>
      <c r="G15" s="28">
        <f>+G14*G12</f>
        <v>70440564.853826642</v>
      </c>
    </row>
    <row r="16" spans="1:11" x14ac:dyDescent="0.2">
      <c r="A16" s="74">
        <f t="shared" si="0"/>
        <v>9</v>
      </c>
      <c r="C16" s="72"/>
      <c r="D16" s="60"/>
      <c r="E16" s="72"/>
      <c r="F16" s="60"/>
      <c r="G16" s="72"/>
      <c r="I16" s="24"/>
      <c r="J16" s="24"/>
      <c r="K16" s="24"/>
    </row>
    <row r="17" spans="1:11" x14ac:dyDescent="0.2">
      <c r="A17" s="74">
        <f t="shared" si="0"/>
        <v>10</v>
      </c>
      <c r="B17" s="13" t="s">
        <v>143</v>
      </c>
      <c r="C17" s="72"/>
      <c r="D17" s="60"/>
      <c r="E17" s="72"/>
      <c r="F17" s="60"/>
      <c r="G17" s="72"/>
      <c r="I17" s="24"/>
      <c r="J17" s="24"/>
    </row>
    <row r="18" spans="1:11" x14ac:dyDescent="0.2">
      <c r="A18" s="74">
        <f t="shared" si="0"/>
        <v>11</v>
      </c>
      <c r="B18" s="14" t="s">
        <v>144</v>
      </c>
      <c r="C18" s="72">
        <v>447895305.59108937</v>
      </c>
      <c r="D18" s="60"/>
      <c r="E18" s="72"/>
      <c r="F18" s="60"/>
      <c r="G18" s="72"/>
      <c r="J18" s="24"/>
    </row>
    <row r="19" spans="1:11" x14ac:dyDescent="0.2">
      <c r="A19" s="74">
        <f t="shared" si="0"/>
        <v>12</v>
      </c>
      <c r="B19" s="14" t="s">
        <v>145</v>
      </c>
      <c r="C19" s="72"/>
      <c r="D19" s="60"/>
      <c r="E19" s="72"/>
      <c r="F19" s="60"/>
      <c r="G19" s="72"/>
      <c r="J19" s="24"/>
    </row>
    <row r="20" spans="1:11" x14ac:dyDescent="0.2">
      <c r="A20" s="74">
        <f t="shared" si="0"/>
        <v>13</v>
      </c>
      <c r="B20" s="14" t="s">
        <v>146</v>
      </c>
      <c r="C20" s="72">
        <v>447895305.59108937</v>
      </c>
      <c r="D20" s="60"/>
      <c r="E20" s="72"/>
      <c r="F20" s="60"/>
      <c r="G20" s="72"/>
      <c r="J20" s="24"/>
    </row>
    <row r="21" spans="1:11" x14ac:dyDescent="0.2">
      <c r="A21" s="74">
        <f t="shared" si="0"/>
        <v>14</v>
      </c>
      <c r="B21" s="14" t="s">
        <v>147</v>
      </c>
      <c r="C21" s="72">
        <v>-0.7116322389007913</v>
      </c>
      <c r="D21" s="60"/>
      <c r="E21" s="72"/>
      <c r="F21" s="60"/>
      <c r="G21" s="72"/>
      <c r="J21" s="24"/>
    </row>
    <row r="22" spans="1:11" x14ac:dyDescent="0.2">
      <c r="A22" s="74">
        <f t="shared" si="0"/>
        <v>15</v>
      </c>
      <c r="B22" s="14" t="s">
        <v>59</v>
      </c>
      <c r="C22" s="72">
        <v>-5602315.0515318178</v>
      </c>
      <c r="D22" s="60"/>
      <c r="E22" s="72"/>
      <c r="F22" s="60"/>
      <c r="G22" s="72"/>
      <c r="J22" s="24"/>
    </row>
    <row r="23" spans="1:11" x14ac:dyDescent="0.2">
      <c r="A23" s="92">
        <f t="shared" si="0"/>
        <v>16</v>
      </c>
      <c r="B23" s="93" t="s">
        <v>148</v>
      </c>
      <c r="C23" s="94">
        <f>SUM(C18:C22)</f>
        <v>890188295.41901469</v>
      </c>
      <c r="D23" s="60"/>
      <c r="E23" s="72"/>
      <c r="F23" s="60"/>
      <c r="G23" s="72"/>
      <c r="J23" s="24"/>
    </row>
    <row r="24" spans="1:11" x14ac:dyDescent="0.2">
      <c r="A24" s="74">
        <f t="shared" si="0"/>
        <v>17</v>
      </c>
      <c r="C24" s="72"/>
      <c r="D24" s="60"/>
      <c r="E24" s="72"/>
      <c r="F24" s="60"/>
      <c r="G24" s="72"/>
      <c r="J24" s="24"/>
    </row>
    <row r="25" spans="1:11" x14ac:dyDescent="0.2">
      <c r="A25" s="74">
        <f t="shared" si="0"/>
        <v>18</v>
      </c>
      <c r="B25" s="14" t="s">
        <v>149</v>
      </c>
      <c r="C25" s="72">
        <f>SUM('Expense Summary'!E87:E94,'Expense Summary'!E40:E49)</f>
        <v>85568806.899581373</v>
      </c>
      <c r="D25" s="60">
        <f>+E25/$C25</f>
        <v>0.44973310744747813</v>
      </c>
      <c r="E25" s="72">
        <f>SUM('Expense Summary'!E42,'Expense Summary'!E89)</f>
        <v>38483125.427521937</v>
      </c>
      <c r="F25" s="60">
        <f>+G25/$C25</f>
        <v>0.19955060683975012</v>
      </c>
      <c r="G25" s="72">
        <f>SUM('Expense Summary'!E43,'Expense Summary'!E90)</f>
        <v>17075307.343364861</v>
      </c>
    </row>
    <row r="26" spans="1:11" x14ac:dyDescent="0.2">
      <c r="A26" s="74">
        <f t="shared" si="0"/>
        <v>19</v>
      </c>
      <c r="B26" s="14" t="s">
        <v>150</v>
      </c>
      <c r="C26" s="72">
        <f>+C27-C25</f>
        <v>719050681.61985183</v>
      </c>
      <c r="D26" s="60">
        <f>+D25</f>
        <v>0.44973310744747813</v>
      </c>
      <c r="E26" s="72">
        <f>+C26*D26</f>
        <v>323380897.45712322</v>
      </c>
      <c r="F26" s="60">
        <f>+F25</f>
        <v>0.19955060683975012</v>
      </c>
      <c r="G26" s="72">
        <f>+C26*F26</f>
        <v>143486999.8657774</v>
      </c>
    </row>
    <row r="27" spans="1:11" x14ac:dyDescent="0.2">
      <c r="A27" s="31">
        <f t="shared" si="0"/>
        <v>20</v>
      </c>
      <c r="B27" s="26" t="s">
        <v>144</v>
      </c>
      <c r="C27" s="28">
        <f>+C23-C25</f>
        <v>804619488.51943326</v>
      </c>
      <c r="D27" s="62"/>
      <c r="E27" s="28">
        <f>SUM(E25:E26)</f>
        <v>361864022.88464516</v>
      </c>
      <c r="F27" s="62"/>
      <c r="G27" s="28">
        <f>SUM(G25:G26)</f>
        <v>160562307.20914227</v>
      </c>
      <c r="J27" s="24"/>
    </row>
    <row r="28" spans="1:11" x14ac:dyDescent="0.2">
      <c r="A28" s="74">
        <f t="shared" si="0"/>
        <v>21</v>
      </c>
      <c r="C28" s="72"/>
      <c r="D28" s="60"/>
      <c r="E28" s="72"/>
      <c r="F28" s="60"/>
      <c r="G28" s="72"/>
      <c r="J28" s="24"/>
    </row>
    <row r="29" spans="1:11" x14ac:dyDescent="0.2">
      <c r="A29" s="31">
        <f t="shared" si="0"/>
        <v>22</v>
      </c>
      <c r="B29" s="26" t="s">
        <v>151</v>
      </c>
      <c r="C29" s="28">
        <f>+C27+C15</f>
        <v>977524936.54996562</v>
      </c>
      <c r="D29" s="62"/>
      <c r="E29" s="28">
        <f>+E27+E15</f>
        <v>399403165.68264943</v>
      </c>
      <c r="F29" s="62"/>
      <c r="G29" s="28">
        <f>+G27+G15</f>
        <v>231002872.06296891</v>
      </c>
      <c r="J29" s="24"/>
    </row>
    <row r="30" spans="1:11" x14ac:dyDescent="0.2">
      <c r="A30" s="74">
        <f t="shared" si="0"/>
        <v>23</v>
      </c>
      <c r="C30" s="72"/>
      <c r="D30" s="60"/>
      <c r="E30" s="72"/>
      <c r="F30" s="60"/>
      <c r="G30" s="72"/>
      <c r="I30" s="24"/>
      <c r="J30" s="24"/>
      <c r="K30" s="24"/>
    </row>
    <row r="31" spans="1:11" ht="13.5" thickBot="1" x14ac:dyDescent="0.25">
      <c r="A31" s="32">
        <f t="shared" si="0"/>
        <v>24</v>
      </c>
      <c r="B31" s="21" t="s">
        <v>152</v>
      </c>
      <c r="C31" s="63">
        <f>+C27/SUM(C12)</f>
        <v>0.35459845669150974</v>
      </c>
      <c r="D31" s="63"/>
      <c r="E31" s="63">
        <f>ROUND(+E27/SUM(E12),4)</f>
        <v>0.73450000000000004</v>
      </c>
      <c r="F31" s="63"/>
      <c r="G31" s="63">
        <f>ROUND(+G27/SUM(G12),4)</f>
        <v>0.17369999999999999</v>
      </c>
      <c r="J31" s="24"/>
    </row>
    <row r="32" spans="1:11" ht="13.5" thickTop="1" x14ac:dyDescent="0.2">
      <c r="I32" s="24"/>
      <c r="J32" s="24"/>
      <c r="K32" s="24"/>
    </row>
    <row r="33" spans="9:11" x14ac:dyDescent="0.2">
      <c r="I33" s="24"/>
      <c r="J33" s="24"/>
      <c r="K33" s="24"/>
    </row>
  </sheetData>
  <mergeCells count="6">
    <mergeCell ref="J5:K5"/>
    <mergeCell ref="A1:G1"/>
    <mergeCell ref="A2:G2"/>
    <mergeCell ref="A3:G3"/>
    <mergeCell ref="D5:E5"/>
    <mergeCell ref="F5:G5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4A0D4B9-78EA-4826-A107-88A61455FE88}"/>
</file>

<file path=customXml/itemProps2.xml><?xml version="1.0" encoding="utf-8"?>
<ds:datastoreItem xmlns:ds="http://schemas.openxmlformats.org/officeDocument/2006/customXml" ds:itemID="{61992470-071B-408D-A3E5-F75F4C7186AC}"/>
</file>

<file path=customXml/itemProps3.xml><?xml version="1.0" encoding="utf-8"?>
<ds:datastoreItem xmlns:ds="http://schemas.openxmlformats.org/officeDocument/2006/customXml" ds:itemID="{550E202C-95B1-4438-A09A-31C51D45267F}"/>
</file>

<file path=customXml/itemProps4.xml><?xml version="1.0" encoding="utf-8"?>
<ds:datastoreItem xmlns:ds="http://schemas.openxmlformats.org/officeDocument/2006/customXml" ds:itemID="{8B0863D5-B044-4607-9AA4-FFFDBF48D4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Class Summary</vt:lpstr>
      <vt:lpstr>Energy Summary</vt:lpstr>
      <vt:lpstr>Demand Summary</vt:lpstr>
      <vt:lpstr>Customer Summary</vt:lpstr>
      <vt:lpstr>Revenue Summary</vt:lpstr>
      <vt:lpstr>Expense Summary</vt:lpstr>
      <vt:lpstr>Ratebase Summary</vt:lpstr>
      <vt:lpstr>Basic Charge</vt:lpstr>
      <vt:lpstr>SC Feeder </vt:lpstr>
      <vt:lpstr>SC Substation O&amp;M</vt:lpstr>
      <vt:lpstr>SC Substation A&amp;G</vt:lpstr>
      <vt:lpstr>PCA Costs</vt:lpstr>
      <vt:lpstr>'Basic Charge'!Print_Area</vt:lpstr>
      <vt:lpstr>'Class Summary'!Print_Area</vt:lpstr>
      <vt:lpstr>'Customer Summary'!Print_Area</vt:lpstr>
      <vt:lpstr>'Demand Summary'!Print_Area</vt:lpstr>
      <vt:lpstr>'Energy Summary'!Print_Area</vt:lpstr>
      <vt:lpstr>'Expense Summary'!Print_Area</vt:lpstr>
      <vt:lpstr>'PCA Costs'!Print_Area</vt:lpstr>
      <vt:lpstr>'Ratebase Summary'!Print_Area</vt:lpstr>
      <vt:lpstr>'Revenue Summary'!Print_Area</vt:lpstr>
      <vt:lpstr>'SC Feeder '!Print_Area</vt:lpstr>
      <vt:lpstr>'SC Substation A&amp;G'!Print_Area</vt:lpstr>
      <vt:lpstr>'SC Substation O&amp;M'!Print_Area</vt:lpstr>
      <vt:lpstr>'Basic Charge'!Print_Titles</vt:lpstr>
      <vt:lpstr>'Class Summary'!Print_Titles</vt:lpstr>
      <vt:lpstr>'Customer Summary'!Print_Titles</vt:lpstr>
      <vt:lpstr>'Demand Summary'!Print_Titles</vt:lpstr>
      <vt:lpstr>'Energy Summary'!Print_Titles</vt:lpstr>
      <vt:lpstr>'Expense Summary'!Print_Titles</vt:lpstr>
      <vt:lpstr>'Ratebase Summary'!Print_Titles</vt:lpstr>
      <vt:lpstr>'Revenue Summary'!Print_Titles</vt:lpstr>
      <vt:lpstr>'SC Feeder '!Print_Titles</vt:lpstr>
      <vt:lpstr>'SC Substation A&amp;G'!Print_Titles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Barnett, Donna L. (BEL)</cp:lastModifiedBy>
  <cp:lastPrinted>2019-06-18T18:54:36Z</cp:lastPrinted>
  <dcterms:created xsi:type="dcterms:W3CDTF">2019-06-10T21:24:56Z</dcterms:created>
  <dcterms:modified xsi:type="dcterms:W3CDTF">2019-06-19T20:09:02Z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