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A" sheetId="1" r:id="rId1"/>
  </sheets>
  <externalReferences>
    <externalReference r:id="rId4"/>
    <externalReference r:id="rId5"/>
  </externalReferences>
  <definedNames>
    <definedName name="__123Graph_A" hidden="1">'[1]Inputs'!#REF!</definedName>
    <definedName name="__123Graph_B" hidden="1">'[1]Inputs'!#REF!</definedName>
    <definedName name="__123Graph_D" hidden="1">'[1]Inputs'!#REF!</definedName>
    <definedName name="a" hidden="1">#REF!</definedName>
    <definedName name="DUDE" hidden="1">#REF!</definedName>
    <definedName name="_xlnm.Print_Area" localSheetId="0">'Table A'!$B$1:$AP$54</definedName>
    <definedName name="y" hidden="1">#REF!</definedName>
    <definedName name="z" hidden="1">#REF!</definedName>
  </definedNames>
  <calcPr fullCalcOnLoad="1"/>
</workbook>
</file>

<file path=xl/sharedStrings.xml><?xml version="1.0" encoding="utf-8"?>
<sst xmlns="http://schemas.openxmlformats.org/spreadsheetml/2006/main" count="114" uniqueCount="66">
  <si>
    <t>Exhibit__(WRG-1)</t>
  </si>
  <si>
    <t>TABLE A</t>
  </si>
  <si>
    <t>POWER COST PROPOSAL</t>
  </si>
  <si>
    <t>PACIFIC POWER &amp; LIGHT COMPANY</t>
  </si>
  <si>
    <t>ESTIMATED EFFECT OF PROPOSED PRICES</t>
  </si>
  <si>
    <t>ON REVENUES FROM ELECTRIC SALES TO ULTIMATE CONSUMERS</t>
  </si>
  <si>
    <t>IN WASHINGTON</t>
  </si>
  <si>
    <t>12 MONTHS ENDED MARCH 2002</t>
  </si>
  <si>
    <t>Adjusted</t>
  </si>
  <si>
    <t>Centralia</t>
  </si>
  <si>
    <t>Merger</t>
  </si>
  <si>
    <t>Present</t>
  </si>
  <si>
    <t>Semiannual</t>
  </si>
  <si>
    <t>Unbilled</t>
  </si>
  <si>
    <t>Credit</t>
  </si>
  <si>
    <t>Net</t>
  </si>
  <si>
    <t>Proposed</t>
  </si>
  <si>
    <t>Total Change</t>
  </si>
  <si>
    <t>Line</t>
  </si>
  <si>
    <t>Schedule</t>
  </si>
  <si>
    <t>Average</t>
  </si>
  <si>
    <t>Revenues</t>
  </si>
  <si>
    <t>No.</t>
  </si>
  <si>
    <t>Description</t>
  </si>
  <si>
    <t>Customers</t>
  </si>
  <si>
    <t>MWH</t>
  </si>
  <si>
    <t>($000)</t>
  </si>
  <si>
    <t>¢/kWh</t>
  </si>
  <si>
    <t>%</t>
  </si>
  <si>
    <t>(1)</t>
  </si>
  <si>
    <t>(2)</t>
  </si>
  <si>
    <t>(3)</t>
  </si>
  <si>
    <t>(4)</t>
  </si>
  <si>
    <t>(5)</t>
  </si>
  <si>
    <t>(7)</t>
  </si>
  <si>
    <t>(6)</t>
  </si>
  <si>
    <t>(8)</t>
  </si>
  <si>
    <t>(9)</t>
  </si>
  <si>
    <t>(10)</t>
  </si>
  <si>
    <t>(11)</t>
  </si>
  <si>
    <t>(12)</t>
  </si>
  <si>
    <t>(13)</t>
  </si>
  <si>
    <t>Residential</t>
  </si>
  <si>
    <t>Residential Service</t>
  </si>
  <si>
    <t>16/18</t>
  </si>
  <si>
    <t xml:space="preserve">  Total Residential</t>
  </si>
  <si>
    <t>Commercial &amp; Industrial</t>
  </si>
  <si>
    <t>com</t>
  </si>
  <si>
    <t>ind</t>
  </si>
  <si>
    <t>Small General Service</t>
  </si>
  <si>
    <t>Partial Requirements Service</t>
  </si>
  <si>
    <t>Large General Service kW&lt;1,000</t>
  </si>
  <si>
    <t>Agricultural Pumping Service</t>
  </si>
  <si>
    <t>40</t>
  </si>
  <si>
    <t>Partial Requirements Service kW &gt; 1,000</t>
  </si>
  <si>
    <t>Large General Service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</si>
  <si>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</si>
  <si>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</si>
  <si>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</si>
  <si>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</si>
  <si>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</si>
  <si>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</si>
  <si>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</si>
  <si>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</si>
  <si>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</si>
  <si>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Ultimate Consumers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</si>
</sst>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#,##0.000_);\(#,##0.000\)"/>
    <numFmt numFmtId="171" formatCode="0.0%"/>
    <numFmt numFmtId="183" formatCode="_(* #,##0_);_(* \(#,##0\);_(* &quot;-&quot;??_);_(@_)"/>
  </numFmts>
  <fonts count="13">
    <font>
      <sz val="12"/>
      <name val="Times New Roman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Times New Roman"/>
      <family val="1"/>
    </font>
    <font>
      <sz val="12"/>
      <name val="TimesNewRomanPS"/>
      <family val="0"/>
    </font>
    <font>
      <sz val="12"/>
      <name val="Arial MT"/>
      <family val="0"/>
    </font>
    <font>
      <sz val="10"/>
      <name val="SWISS"/>
      <family val="0"/>
    </font>
    <font>
      <sz val="11"/>
      <name val="Times New Roman"/>
      <family val="0"/>
    </font>
    <font>
      <sz val="14"/>
      <name val="TimesNewRomanPS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b/>
      <sz val="11"/>
      <name val="TimesNewRomanPS"/>
      <family val="0"/>
    </font>
    <font>
      <b/>
      <sz val="11"/>
      <color indexed="8"/>
      <name val="TimesNewRomanP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11" fillId="0" borderId="0" xfId="21" applyFont="1" applyAlignment="1">
      <alignment horizontal="centerContinuous"/>
      <protection/>
    </xf>
    <xf numFmtId="0" fontId="11" fillId="0" borderId="0" xfId="21" applyFont="1" applyAlignment="1" quotePrefix="1">
      <alignment horizontal="centerContinuous"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horizontal="center"/>
      <protection/>
    </xf>
    <xf numFmtId="0" fontId="11" fillId="0" borderId="0" xfId="21" applyFont="1" applyBorder="1" applyAlignment="1">
      <alignment horizontal="centerContinuous"/>
      <protection/>
    </xf>
    <xf numFmtId="0" fontId="0" fillId="0" borderId="0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6" fontId="0" fillId="0" borderId="2" xfId="21" applyNumberFormat="1" applyFont="1" applyBorder="1" applyAlignment="1" quotePrefix="1">
      <alignment horizontal="center"/>
      <protection/>
    </xf>
    <xf numFmtId="6" fontId="0" fillId="0" borderId="2" xfId="21" applyNumberFormat="1" applyFont="1" applyBorder="1" applyAlignment="1">
      <alignment horizontal="center"/>
      <protection/>
    </xf>
    <xf numFmtId="6" fontId="0" fillId="0" borderId="0" xfId="21" applyNumberFormat="1" applyFont="1" applyBorder="1" applyAlignment="1" quotePrefix="1">
      <alignment horizontal="center"/>
      <protection/>
    </xf>
    <xf numFmtId="0" fontId="0" fillId="0" borderId="0" xfId="21" applyFont="1" quotePrefix="1">
      <alignment/>
      <protection/>
    </xf>
    <xf numFmtId="0" fontId="0" fillId="0" borderId="0" xfId="21" applyFont="1" applyAlignment="1" quotePrefix="1">
      <alignment horizontal="center"/>
      <protection/>
    </xf>
    <xf numFmtId="0" fontId="12" fillId="0" borderId="0" xfId="21" applyFont="1">
      <alignment/>
      <protection/>
    </xf>
    <xf numFmtId="0" fontId="9" fillId="0" borderId="0" xfId="21" applyFont="1" applyAlignment="1" quotePrefix="1">
      <alignment horizontal="center"/>
      <protection/>
    </xf>
    <xf numFmtId="37" fontId="0" fillId="0" borderId="0" xfId="21" applyNumberFormat="1" applyFont="1" applyProtection="1">
      <alignment/>
      <protection/>
    </xf>
    <xf numFmtId="37" fontId="3" fillId="0" borderId="0" xfId="21" applyNumberFormat="1" applyFont="1" applyProtection="1">
      <alignment/>
      <protection/>
    </xf>
    <xf numFmtId="0" fontId="0" fillId="0" borderId="0" xfId="21" applyFont="1">
      <alignment/>
      <protection/>
    </xf>
    <xf numFmtId="5" fontId="3" fillId="0" borderId="0" xfId="21" applyNumberFormat="1" applyFont="1" applyProtection="1">
      <alignment/>
      <protection locked="0"/>
    </xf>
    <xf numFmtId="5" fontId="9" fillId="0" borderId="0" xfId="21" applyNumberFormat="1" applyFont="1" applyProtection="1">
      <alignment/>
      <protection locked="0"/>
    </xf>
    <xf numFmtId="169" fontId="9" fillId="0" borderId="0" xfId="21" applyNumberFormat="1" applyFont="1" applyProtection="1">
      <alignment/>
      <protection locked="0"/>
    </xf>
    <xf numFmtId="171" fontId="9" fillId="0" borderId="0" xfId="22" applyNumberFormat="1" applyFont="1" applyAlignment="1" applyProtection="1">
      <alignment/>
      <protection locked="0"/>
    </xf>
    <xf numFmtId="171" fontId="0" fillId="0" borderId="0" xfId="22" applyNumberFormat="1" applyAlignment="1">
      <alignment/>
    </xf>
    <xf numFmtId="0" fontId="0" fillId="0" borderId="2" xfId="21" applyBorder="1">
      <alignment/>
      <protection/>
    </xf>
    <xf numFmtId="0" fontId="0" fillId="0" borderId="1" xfId="21" applyBorder="1">
      <alignment/>
      <protection/>
    </xf>
    <xf numFmtId="37" fontId="0" fillId="0" borderId="0" xfId="21" applyNumberFormat="1" applyProtection="1">
      <alignment/>
      <protection/>
    </xf>
    <xf numFmtId="5" fontId="0" fillId="0" borderId="0" xfId="21" applyNumberFormat="1" applyProtection="1">
      <alignment/>
      <protection/>
    </xf>
    <xf numFmtId="5" fontId="3" fillId="0" borderId="0" xfId="21" applyNumberFormat="1" applyFont="1" applyProtection="1">
      <alignment/>
      <protection/>
    </xf>
    <xf numFmtId="5" fontId="0" fillId="0" borderId="0" xfId="21" applyNumberFormat="1" applyBorder="1" applyProtection="1">
      <alignment/>
      <protection/>
    </xf>
    <xf numFmtId="37" fontId="0" fillId="0" borderId="0" xfId="21" applyNumberFormat="1">
      <alignment/>
      <protection/>
    </xf>
    <xf numFmtId="5" fontId="9" fillId="0" borderId="0" xfId="21" applyNumberFormat="1" applyFont="1" applyBorder="1" applyProtection="1">
      <alignment/>
      <protection locked="0"/>
    </xf>
    <xf numFmtId="37" fontId="0" fillId="0" borderId="2" xfId="21" applyNumberFormat="1" applyBorder="1" applyProtection="1">
      <alignment/>
      <protection/>
    </xf>
    <xf numFmtId="37" fontId="0" fillId="0" borderId="0" xfId="21" applyNumberFormat="1" applyBorder="1" applyProtection="1">
      <alignment/>
      <protection/>
    </xf>
    <xf numFmtId="37" fontId="3" fillId="0" borderId="2" xfId="21" applyNumberFormat="1" applyFont="1" applyBorder="1" applyProtection="1">
      <alignment/>
      <protection/>
    </xf>
    <xf numFmtId="5" fontId="0" fillId="0" borderId="2" xfId="21" applyNumberFormat="1" applyBorder="1" applyProtection="1">
      <alignment/>
      <protection/>
    </xf>
    <xf numFmtId="5" fontId="3" fillId="0" borderId="2" xfId="21" applyNumberFormat="1" applyFont="1" applyBorder="1" applyProtection="1">
      <alignment/>
      <protection/>
    </xf>
    <xf numFmtId="169" fontId="9" fillId="0" borderId="1" xfId="21" applyNumberFormat="1" applyFont="1" applyBorder="1" applyProtection="1">
      <alignment/>
      <protection locked="0"/>
    </xf>
    <xf numFmtId="171" fontId="9" fillId="0" borderId="1" xfId="22" applyNumberFormat="1" applyFont="1" applyBorder="1" applyAlignment="1" applyProtection="1">
      <alignment/>
      <protection locked="0"/>
    </xf>
    <xf numFmtId="171" fontId="0" fillId="0" borderId="1" xfId="22" applyNumberFormat="1" applyBorder="1" applyAlignment="1">
      <alignment/>
    </xf>
    <xf numFmtId="37" fontId="0" fillId="0" borderId="3" xfId="21" applyNumberFormat="1" applyBorder="1" applyProtection="1">
      <alignment/>
      <protection/>
    </xf>
    <xf numFmtId="5" fontId="0" fillId="0" borderId="3" xfId="21" applyNumberFormat="1" applyBorder="1" applyProtection="1">
      <alignment/>
      <protection/>
    </xf>
    <xf numFmtId="169" fontId="9" fillId="0" borderId="4" xfId="21" applyNumberFormat="1" applyFont="1" applyBorder="1" applyProtection="1">
      <alignment/>
      <protection locked="0"/>
    </xf>
    <xf numFmtId="5" fontId="0" fillId="0" borderId="0" xfId="21" applyNumberFormat="1">
      <alignment/>
      <protection/>
    </xf>
    <xf numFmtId="5" fontId="0" fillId="0" borderId="0" xfId="21" applyNumberFormat="1" applyBorder="1">
      <alignment/>
      <protection/>
    </xf>
    <xf numFmtId="5" fontId="0" fillId="0" borderId="0" xfId="21" applyNumberFormat="1" applyFont="1">
      <alignment/>
      <protection/>
    </xf>
    <xf numFmtId="171" fontId="0" fillId="0" borderId="4" xfId="22" applyNumberFormat="1" applyFont="1" applyBorder="1" applyAlignment="1" applyProtection="1">
      <alignment/>
      <protection locked="0"/>
    </xf>
    <xf numFmtId="171" fontId="0" fillId="0" borderId="0" xfId="22" applyNumberFormat="1" applyFont="1" applyAlignment="1" applyProtection="1">
      <alignment/>
      <protection locked="0"/>
    </xf>
    <xf numFmtId="37" fontId="0" fillId="0" borderId="0" xfId="21" applyNumberFormat="1" applyFont="1" applyProtection="1">
      <alignment/>
      <protection/>
    </xf>
    <xf numFmtId="5" fontId="0" fillId="0" borderId="0" xfId="21" applyNumberFormat="1" applyFont="1" applyProtection="1">
      <alignment/>
      <protection locked="0"/>
    </xf>
    <xf numFmtId="171" fontId="0" fillId="0" borderId="4" xfId="22" applyNumberFormat="1" applyBorder="1" applyAlignment="1">
      <alignment/>
    </xf>
    <xf numFmtId="0" fontId="0" fillId="0" borderId="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NE" xfId="20"/>
    <cellStyle name="Normal_WA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1\groups\REGULATN\PA&amp;D\CASES\Wash01\WA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74933\Personal\WA98%20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Actual"/>
      <sheetName val="Blocking"/>
      <sheetName val="Table A"/>
      <sheetName val="Table A summary"/>
      <sheetName val="Spec Conts"/>
      <sheetName val="Boise Bills"/>
      <sheetName val="Boise Casc."/>
      <sheetName val="Table 3Boise"/>
      <sheetName val="Unbilled"/>
      <sheetName val="Weather"/>
      <sheetName val="Weather Present"/>
      <sheetName val="Table 1"/>
      <sheetName val="Table 2"/>
      <sheetName val="Table 3"/>
      <sheetName val="93, 97 &amp; 191"/>
      <sheetName val="Blocking Comparison"/>
      <sheetName val="New 24v36"/>
      <sheetName val="48 vs 36"/>
      <sheetName val="48 vs 36 Proposed"/>
      <sheetName val="Sch16 Yr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Weather"/>
      <sheetName val="Weather Pres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Q58"/>
  <sheetViews>
    <sheetView tabSelected="1" zoomScale="55" zoomScaleNormal="55" workbookViewId="0" topLeftCell="E19">
      <selection activeCell="AP51" sqref="AP51"/>
    </sheetView>
  </sheetViews>
  <sheetFormatPr defaultColWidth="12.375" defaultRowHeight="15.75"/>
  <cols>
    <col min="1" max="2" width="4.625" style="1" customWidth="1"/>
    <col min="3" max="3" width="3.50390625" style="1" customWidth="1"/>
    <col min="4" max="4" width="32.125" style="2" customWidth="1"/>
    <col min="5" max="5" width="4.625" style="2" customWidth="1"/>
    <col min="6" max="6" width="9.625" style="2" customWidth="1"/>
    <col min="7" max="7" width="1.625" style="1" customWidth="1"/>
    <col min="8" max="8" width="10.25390625" style="1" customWidth="1"/>
    <col min="9" max="9" width="2.125" style="1" hidden="1" customWidth="1"/>
    <col min="10" max="10" width="10.25390625" style="1" hidden="1" customWidth="1"/>
    <col min="11" max="11" width="1.875" style="1" hidden="1" customWidth="1"/>
    <col min="12" max="12" width="10.25390625" style="1" hidden="1" customWidth="1"/>
    <col min="13" max="13" width="2.125" style="1" hidden="1" customWidth="1"/>
    <col min="14" max="14" width="10.25390625" style="1" hidden="1" customWidth="1"/>
    <col min="15" max="15" width="1.875" style="1" hidden="1" customWidth="1"/>
    <col min="16" max="16" width="10.25390625" style="1" hidden="1" customWidth="1"/>
    <col min="17" max="17" width="1.625" style="1" customWidth="1"/>
    <col min="18" max="18" width="11.00390625" style="1" bestFit="1" customWidth="1"/>
    <col min="19" max="19" width="3.125" style="1" hidden="1" customWidth="1"/>
    <col min="20" max="20" width="12.125" style="1" hidden="1" customWidth="1"/>
    <col min="21" max="21" width="1.75390625" style="1" hidden="1" customWidth="1"/>
    <col min="22" max="22" width="12.125" style="1" hidden="1" customWidth="1"/>
    <col min="23" max="23" width="1.75390625" style="1" hidden="1" customWidth="1"/>
    <col min="24" max="24" width="12.125" style="1" hidden="1" customWidth="1"/>
    <col min="25" max="25" width="1.75390625" style="1" hidden="1" customWidth="1"/>
    <col min="26" max="26" width="12.125" style="1" hidden="1" customWidth="1"/>
    <col min="27" max="27" width="1.75390625" style="1" customWidth="1"/>
    <col min="28" max="28" width="12.125" style="1" customWidth="1"/>
    <col min="29" max="29" width="1.75390625" style="1" customWidth="1"/>
    <col min="30" max="30" width="13.125" style="1" bestFit="1" customWidth="1"/>
    <col min="31" max="31" width="1.75390625" style="1" customWidth="1"/>
    <col min="32" max="32" width="12.125" style="1" customWidth="1"/>
    <col min="33" max="33" width="1.75390625" style="1" customWidth="1"/>
    <col min="34" max="34" width="12.125" style="1" customWidth="1"/>
    <col min="35" max="35" width="1.75390625" style="1" customWidth="1"/>
    <col min="36" max="36" width="12.125" style="1" customWidth="1"/>
    <col min="37" max="37" width="1.75390625" style="1" customWidth="1"/>
    <col min="38" max="38" width="15.25390625" style="1" customWidth="1"/>
    <col min="39" max="39" width="3.125" style="1" customWidth="1"/>
    <col min="40" max="40" width="10.125" style="1" customWidth="1"/>
    <col min="41" max="41" width="3.125" style="1" customWidth="1"/>
    <col min="42" max="42" width="11.125" style="1" customWidth="1"/>
    <col min="43" max="16384" width="10.25390625" style="1" customWidth="1"/>
  </cols>
  <sheetData>
    <row r="1" ht="18.75">
      <c r="AP1" s="3" t="s">
        <v>0</v>
      </c>
    </row>
    <row r="2" spans="2:42" ht="15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5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15.7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5.7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15.75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5.75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ht="15.75">
      <c r="B8" s="5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12" spans="19:41" ht="15.75">
      <c r="S12" s="6"/>
      <c r="T12" s="7" t="s">
        <v>8</v>
      </c>
      <c r="U12" s="8"/>
      <c r="V12" s="9"/>
      <c r="W12" s="8"/>
      <c r="X12" s="7" t="s">
        <v>8</v>
      </c>
      <c r="Y12" s="8"/>
      <c r="Z12" s="9"/>
      <c r="AA12" s="8"/>
      <c r="AB12" s="9"/>
      <c r="AC12" s="8"/>
      <c r="AD12" s="9" t="s">
        <v>9</v>
      </c>
      <c r="AE12" s="8"/>
      <c r="AF12" s="9"/>
      <c r="AG12" s="8"/>
      <c r="AH12" s="9" t="s">
        <v>10</v>
      </c>
      <c r="AI12" s="8"/>
      <c r="AJ12" s="9" t="s">
        <v>11</v>
      </c>
      <c r="AK12" s="8"/>
      <c r="AM12" s="6"/>
      <c r="AO12" s="9"/>
    </row>
    <row r="13" spans="6:42" ht="15.75">
      <c r="F13" s="10"/>
      <c r="J13" s="7" t="s">
        <v>8</v>
      </c>
      <c r="N13" s="7" t="s">
        <v>8</v>
      </c>
      <c r="T13" s="7" t="s">
        <v>12</v>
      </c>
      <c r="U13" s="11"/>
      <c r="V13" s="9" t="s">
        <v>13</v>
      </c>
      <c r="W13" s="11"/>
      <c r="X13" s="7" t="s">
        <v>12</v>
      </c>
      <c r="Y13" s="11"/>
      <c r="Z13" s="9" t="s">
        <v>13</v>
      </c>
      <c r="AA13" s="11"/>
      <c r="AB13" s="9" t="s">
        <v>9</v>
      </c>
      <c r="AC13" s="11"/>
      <c r="AD13" s="9" t="s">
        <v>14</v>
      </c>
      <c r="AE13" s="11"/>
      <c r="AF13" s="9" t="s">
        <v>10</v>
      </c>
      <c r="AG13" s="11"/>
      <c r="AH13" s="9" t="s">
        <v>14</v>
      </c>
      <c r="AI13" s="11"/>
      <c r="AJ13" s="9" t="s">
        <v>15</v>
      </c>
      <c r="AK13" s="11"/>
      <c r="AL13" s="9" t="s">
        <v>16</v>
      </c>
      <c r="AN13" s="59" t="s">
        <v>17</v>
      </c>
      <c r="AO13" s="59"/>
      <c r="AP13" s="59"/>
    </row>
    <row r="14" spans="2:41" ht="15.75">
      <c r="B14" s="13" t="s">
        <v>18</v>
      </c>
      <c r="F14" s="10" t="s">
        <v>19</v>
      </c>
      <c r="H14" s="13" t="s">
        <v>20</v>
      </c>
      <c r="I14" s="13"/>
      <c r="J14" s="7" t="s">
        <v>12</v>
      </c>
      <c r="K14" s="13"/>
      <c r="L14" s="7" t="s">
        <v>13</v>
      </c>
      <c r="M14" s="13"/>
      <c r="N14" s="7" t="s">
        <v>12</v>
      </c>
      <c r="O14" s="13"/>
      <c r="P14" s="7" t="s">
        <v>13</v>
      </c>
      <c r="T14" s="7" t="s">
        <v>21</v>
      </c>
      <c r="U14" s="13"/>
      <c r="V14" s="7" t="s">
        <v>21</v>
      </c>
      <c r="W14" s="13"/>
      <c r="X14" s="7" t="s">
        <v>21</v>
      </c>
      <c r="Y14" s="13"/>
      <c r="Z14" s="7" t="s">
        <v>21</v>
      </c>
      <c r="AA14" s="13"/>
      <c r="AB14" s="7" t="s">
        <v>14</v>
      </c>
      <c r="AC14" s="13"/>
      <c r="AD14" s="7" t="s">
        <v>21</v>
      </c>
      <c r="AE14" s="13"/>
      <c r="AF14" s="7" t="s">
        <v>14</v>
      </c>
      <c r="AG14" s="13"/>
      <c r="AH14" s="7" t="s">
        <v>21</v>
      </c>
      <c r="AI14" s="13"/>
      <c r="AJ14" s="7" t="s">
        <v>21</v>
      </c>
      <c r="AK14" s="13"/>
      <c r="AL14" s="7" t="s">
        <v>21</v>
      </c>
      <c r="AN14" s="7"/>
      <c r="AO14" s="7"/>
    </row>
    <row r="15" spans="2:42" ht="15.75">
      <c r="B15" s="14" t="s">
        <v>22</v>
      </c>
      <c r="D15" s="15" t="s">
        <v>23</v>
      </c>
      <c r="F15" s="15" t="s">
        <v>22</v>
      </c>
      <c r="H15" s="14" t="s">
        <v>24</v>
      </c>
      <c r="I15" s="16"/>
      <c r="J15" s="12" t="s">
        <v>25</v>
      </c>
      <c r="K15" s="16"/>
      <c r="L15" s="12" t="s">
        <v>25</v>
      </c>
      <c r="M15" s="16"/>
      <c r="N15" s="12" t="s">
        <v>25</v>
      </c>
      <c r="O15" s="16"/>
      <c r="P15" s="12" t="s">
        <v>25</v>
      </c>
      <c r="R15" s="14" t="s">
        <v>25</v>
      </c>
      <c r="T15" s="17" t="s">
        <v>26</v>
      </c>
      <c r="U15" s="16"/>
      <c r="V15" s="17" t="s">
        <v>26</v>
      </c>
      <c r="W15" s="16"/>
      <c r="X15" s="17" t="s">
        <v>26</v>
      </c>
      <c r="Y15" s="16"/>
      <c r="Z15" s="17" t="s">
        <v>26</v>
      </c>
      <c r="AA15" s="16"/>
      <c r="AB15" s="17" t="s">
        <v>27</v>
      </c>
      <c r="AC15" s="16"/>
      <c r="AD15" s="17" t="s">
        <v>26</v>
      </c>
      <c r="AE15" s="16"/>
      <c r="AF15" s="18" t="s">
        <v>28</v>
      </c>
      <c r="AG15" s="16"/>
      <c r="AH15" s="17" t="s">
        <v>26</v>
      </c>
      <c r="AI15" s="16"/>
      <c r="AJ15" s="17" t="s">
        <v>26</v>
      </c>
      <c r="AK15" s="16"/>
      <c r="AL15" s="17" t="s">
        <v>26</v>
      </c>
      <c r="AN15" s="17" t="s">
        <v>26</v>
      </c>
      <c r="AO15" s="19"/>
      <c r="AP15" s="12" t="s">
        <v>28</v>
      </c>
    </row>
    <row r="16" spans="2:42" ht="15.75">
      <c r="B16" s="20" t="s">
        <v>29</v>
      </c>
      <c r="D16" s="10" t="s">
        <v>30</v>
      </c>
      <c r="F16" s="10" t="s">
        <v>31</v>
      </c>
      <c r="H16" s="21" t="s">
        <v>32</v>
      </c>
      <c r="I16" s="21"/>
      <c r="J16" s="21"/>
      <c r="K16" s="21"/>
      <c r="L16" s="21"/>
      <c r="M16" s="21"/>
      <c r="N16" s="21"/>
      <c r="O16" s="21"/>
      <c r="P16" s="21"/>
      <c r="R16" s="21" t="s">
        <v>33</v>
      </c>
      <c r="T16" s="21" t="s">
        <v>34</v>
      </c>
      <c r="V16" s="21" t="s">
        <v>34</v>
      </c>
      <c r="X16" s="21" t="s">
        <v>34</v>
      </c>
      <c r="Z16" s="21" t="s">
        <v>34</v>
      </c>
      <c r="AB16" s="21" t="s">
        <v>35</v>
      </c>
      <c r="AD16" s="21" t="s">
        <v>34</v>
      </c>
      <c r="AF16" s="21" t="s">
        <v>36</v>
      </c>
      <c r="AH16" s="21" t="s">
        <v>37</v>
      </c>
      <c r="AJ16" s="21" t="s">
        <v>38</v>
      </c>
      <c r="AL16" s="21" t="s">
        <v>39</v>
      </c>
      <c r="AN16" s="21" t="s">
        <v>40</v>
      </c>
      <c r="AO16" s="21"/>
      <c r="AP16" s="21" t="s">
        <v>41</v>
      </c>
    </row>
    <row r="18" ht="15.75">
      <c r="D18" s="22" t="s">
        <v>42</v>
      </c>
    </row>
    <row r="20" spans="2:42" ht="15.75">
      <c r="B20" s="13">
        <v>1</v>
      </c>
      <c r="D20" s="2" t="s">
        <v>43</v>
      </c>
      <c r="F20" s="23" t="s">
        <v>44</v>
      </c>
      <c r="H20" s="24">
        <v>98250</v>
      </c>
      <c r="I20" s="24"/>
      <c r="J20" s="25">
        <v>1426873</v>
      </c>
      <c r="K20" s="24"/>
      <c r="L20" s="24">
        <f>L23*J20/J23</f>
        <v>-13204</v>
      </c>
      <c r="M20" s="24"/>
      <c r="N20" s="24"/>
      <c r="O20" s="24"/>
      <c r="P20" s="24"/>
      <c r="Q20" s="26"/>
      <c r="R20" s="24">
        <f>J20+L20</f>
        <v>1413669</v>
      </c>
      <c r="T20" s="27">
        <v>79403</v>
      </c>
      <c r="U20" s="28"/>
      <c r="V20" s="28">
        <v>-480</v>
      </c>
      <c r="W20" s="28"/>
      <c r="X20" s="28"/>
      <c r="Y20" s="28"/>
      <c r="Z20" s="28"/>
      <c r="AA20" s="28"/>
      <c r="AB20" s="29">
        <v>-0.152</v>
      </c>
      <c r="AC20" s="28"/>
      <c r="AD20" s="28">
        <f>ROUND(R20*AB20/100,0)</f>
        <v>-2149</v>
      </c>
      <c r="AE20" s="28"/>
      <c r="AF20" s="30">
        <v>-0.017</v>
      </c>
      <c r="AG20" s="28"/>
      <c r="AH20" s="28">
        <f>-ROUND((SUM(T20:Z20)+AD20)*0.017,0)</f>
        <v>-1305</v>
      </c>
      <c r="AI20" s="28"/>
      <c r="AJ20" s="28">
        <f>SUM(T20:Z20)+AH20+AD20</f>
        <v>75469</v>
      </c>
      <c r="AK20" s="28"/>
      <c r="AL20" s="28">
        <f>AJ20-AH20-AD20</f>
        <v>78923</v>
      </c>
      <c r="AN20" s="28">
        <f>AL20-AJ20</f>
        <v>3454</v>
      </c>
      <c r="AO20" s="28"/>
      <c r="AP20" s="31">
        <f>AN20/AJ20</f>
        <v>0.04576713617511826</v>
      </c>
    </row>
    <row r="21" spans="8:42" ht="15.75">
      <c r="H21" s="32"/>
      <c r="I21" s="6"/>
      <c r="J21" s="32"/>
      <c r="K21" s="6"/>
      <c r="L21" s="32"/>
      <c r="M21" s="6"/>
      <c r="N21" s="32"/>
      <c r="O21" s="6"/>
      <c r="P21" s="32"/>
      <c r="R21" s="32"/>
      <c r="T21" s="32"/>
      <c r="U21" s="6"/>
      <c r="V21" s="32"/>
      <c r="W21" s="6"/>
      <c r="X21" s="32"/>
      <c r="Y21" s="6"/>
      <c r="Z21" s="32"/>
      <c r="AA21" s="6"/>
      <c r="AB21" s="32"/>
      <c r="AC21" s="6"/>
      <c r="AD21" s="32"/>
      <c r="AE21" s="6"/>
      <c r="AF21" s="32"/>
      <c r="AG21" s="6"/>
      <c r="AH21" s="32"/>
      <c r="AI21" s="6"/>
      <c r="AJ21" s="32"/>
      <c r="AK21" s="6"/>
      <c r="AL21" s="32"/>
      <c r="AN21" s="32"/>
      <c r="AO21" s="6"/>
      <c r="AP21" s="33"/>
    </row>
    <row r="22" ht="15.75">
      <c r="AO22" s="6"/>
    </row>
    <row r="23" spans="2:42" ht="15.75">
      <c r="B23" s="13">
        <v>2</v>
      </c>
      <c r="D23" s="22" t="s">
        <v>45</v>
      </c>
      <c r="H23" s="34">
        <f>SUM(H20:H20)</f>
        <v>98250</v>
      </c>
      <c r="I23" s="34"/>
      <c r="J23" s="34">
        <f>SUM(J20:J20)</f>
        <v>1426873</v>
      </c>
      <c r="K23" s="34"/>
      <c r="L23" s="25">
        <v>-13204</v>
      </c>
      <c r="M23" s="34"/>
      <c r="N23" s="34"/>
      <c r="O23" s="34"/>
      <c r="P23" s="34"/>
      <c r="R23" s="34">
        <f>SUM(R20:R20)</f>
        <v>1413669</v>
      </c>
      <c r="S23" s="34"/>
      <c r="T23" s="35">
        <f>SUM(T20:T20)</f>
        <v>79403</v>
      </c>
      <c r="U23" s="35"/>
      <c r="V23" s="36">
        <f>SUM(V20:V20)</f>
        <v>-480</v>
      </c>
      <c r="W23" s="35"/>
      <c r="X23" s="35"/>
      <c r="Y23" s="35"/>
      <c r="Z23" s="35"/>
      <c r="AA23" s="35"/>
      <c r="AB23" s="29">
        <f>AD23/R23*100</f>
        <v>-0.1520157830439799</v>
      </c>
      <c r="AC23" s="35"/>
      <c r="AD23" s="35">
        <f>SUM(AD20:AD20)</f>
        <v>-2149</v>
      </c>
      <c r="AE23" s="35"/>
      <c r="AF23" s="30">
        <f>AH23/SUM(T23:Z23)</f>
        <v>-0.016535103835383855</v>
      </c>
      <c r="AG23" s="35"/>
      <c r="AH23" s="35">
        <f>SUM(AH20:AH20)</f>
        <v>-1305</v>
      </c>
      <c r="AI23" s="35"/>
      <c r="AJ23" s="35">
        <f>SUM(AJ20:AJ20)</f>
        <v>75469</v>
      </c>
      <c r="AK23" s="35"/>
      <c r="AL23" s="35">
        <f>SUM(AL20:AL20)</f>
        <v>78923</v>
      </c>
      <c r="AM23" s="34"/>
      <c r="AN23" s="35">
        <f>SUM(AN20:AN20)</f>
        <v>3454</v>
      </c>
      <c r="AO23" s="37"/>
      <c r="AP23" s="31">
        <f>AN23/AJ23</f>
        <v>0.04576713617511826</v>
      </c>
    </row>
    <row r="24" ht="15.75">
      <c r="AO24" s="6"/>
    </row>
    <row r="25" ht="15.75">
      <c r="AO25" s="6"/>
    </row>
    <row r="26" spans="4:41" ht="15.75">
      <c r="D26" s="22" t="s">
        <v>46</v>
      </c>
      <c r="H26" s="38"/>
      <c r="I26" s="38"/>
      <c r="K26" s="38"/>
      <c r="M26" s="38"/>
      <c r="O26" s="38"/>
      <c r="AO26" s="6"/>
    </row>
    <row r="27" spans="8:43" ht="15.75">
      <c r="H27" s="38"/>
      <c r="I27" s="38"/>
      <c r="J27" s="26" t="s">
        <v>47</v>
      </c>
      <c r="K27" s="38"/>
      <c r="L27" s="26" t="s">
        <v>47</v>
      </c>
      <c r="M27" s="38"/>
      <c r="N27" s="26" t="s">
        <v>48</v>
      </c>
      <c r="O27" s="38"/>
      <c r="P27" s="26" t="s">
        <v>48</v>
      </c>
      <c r="T27" s="26" t="s">
        <v>47</v>
      </c>
      <c r="V27" s="26" t="s">
        <v>47</v>
      </c>
      <c r="X27" s="26" t="s">
        <v>48</v>
      </c>
      <c r="Z27" s="26" t="s">
        <v>48</v>
      </c>
      <c r="AB27" s="26"/>
      <c r="AD27" s="26"/>
      <c r="AF27" s="26"/>
      <c r="AH27" s="26"/>
      <c r="AO27" s="6"/>
      <c r="AP27" s="26"/>
      <c r="AQ27" s="24"/>
    </row>
    <row r="28" spans="2:42" ht="15.75">
      <c r="B28" s="13">
        <v>3</v>
      </c>
      <c r="D28" s="2" t="s">
        <v>49</v>
      </c>
      <c r="F28" s="10">
        <v>24</v>
      </c>
      <c r="H28" s="24">
        <f>16151+9+133</f>
        <v>16293</v>
      </c>
      <c r="I28" s="24"/>
      <c r="J28" s="25">
        <f>473064+181+221+376</f>
        <v>473842</v>
      </c>
      <c r="K28" s="24"/>
      <c r="L28" s="24">
        <f aca="true" t="shared" si="0" ref="L28:L34">$L$37*J28/$J$37</f>
        <v>-3071.874222769699</v>
      </c>
      <c r="M28" s="24"/>
      <c r="N28" s="25">
        <f>28492+0+52</f>
        <v>28544</v>
      </c>
      <c r="O28" s="25"/>
      <c r="P28" s="24">
        <f aca="true" t="shared" si="1" ref="P28:P34">$P$37*N28/$N$37</f>
        <v>-228.08588921581057</v>
      </c>
      <c r="R28" s="24">
        <f>SUM(J28:P28)</f>
        <v>499086.0398880145</v>
      </c>
      <c r="T28" s="27">
        <f>27785+11+19+33</f>
        <v>27848</v>
      </c>
      <c r="U28" s="28"/>
      <c r="V28" s="28">
        <f aca="true" t="shared" si="2" ref="V28:V34">$V$37*T28/$T$37</f>
        <v>-119.96061538461538</v>
      </c>
      <c r="W28" s="28"/>
      <c r="X28" s="27">
        <f>1716+4</f>
        <v>1720</v>
      </c>
      <c r="Y28" s="28"/>
      <c r="Z28" s="28">
        <f aca="true" t="shared" si="3" ref="Z28:Z34">$Z$37*X28/$X$37</f>
        <v>-3.22849025974026</v>
      </c>
      <c r="AA28" s="28"/>
      <c r="AB28" s="29">
        <v>-0.163</v>
      </c>
      <c r="AC28" s="28"/>
      <c r="AD28" s="28">
        <f aca="true" t="shared" si="4" ref="AD28:AD34">ROUND(R28*AB28/100,0)</f>
        <v>-814</v>
      </c>
      <c r="AE28" s="28"/>
      <c r="AF28" s="30">
        <v>-0.017</v>
      </c>
      <c r="AG28" s="28"/>
      <c r="AH28" s="28">
        <f>-ROUND((SUM(T28:Z28)+AD28)*0.017,0)</f>
        <v>-487</v>
      </c>
      <c r="AI28" s="28"/>
      <c r="AJ28" s="28">
        <f>SUM(T28:Z28)+AH28+AD28</f>
        <v>28143.810894355647</v>
      </c>
      <c r="AK28" s="28"/>
      <c r="AL28" s="28">
        <f aca="true" t="shared" si="5" ref="AL28:AL34">AJ28-AH28-AD28</f>
        <v>29444.810894355647</v>
      </c>
      <c r="AN28" s="28">
        <f aca="true" t="shared" si="6" ref="AN28:AN34">AL28-AJ28</f>
        <v>1301</v>
      </c>
      <c r="AO28" s="39"/>
      <c r="AP28" s="31">
        <f>AN28/AJ28</f>
        <v>0.046226859783971924</v>
      </c>
    </row>
    <row r="29" spans="2:42" ht="15.75">
      <c r="B29" s="13">
        <v>4</v>
      </c>
      <c r="D29" s="2" t="s">
        <v>50</v>
      </c>
      <c r="F29" s="10">
        <v>33</v>
      </c>
      <c r="H29" s="24">
        <v>0</v>
      </c>
      <c r="I29" s="24"/>
      <c r="J29" s="25">
        <v>0</v>
      </c>
      <c r="K29" s="24"/>
      <c r="L29" s="24">
        <f t="shared" si="0"/>
        <v>0</v>
      </c>
      <c r="M29" s="24"/>
      <c r="N29" s="25">
        <v>0</v>
      </c>
      <c r="O29" s="25"/>
      <c r="P29" s="24">
        <f t="shared" si="1"/>
        <v>0</v>
      </c>
      <c r="R29" s="24">
        <f>SUM(J29:P29)</f>
        <v>0</v>
      </c>
      <c r="T29" s="27">
        <v>0</v>
      </c>
      <c r="U29" s="28"/>
      <c r="V29" s="28">
        <f t="shared" si="2"/>
        <v>0</v>
      </c>
      <c r="W29" s="28"/>
      <c r="X29" s="27">
        <v>0</v>
      </c>
      <c r="Y29" s="28"/>
      <c r="Z29" s="28">
        <f t="shared" si="3"/>
        <v>0</v>
      </c>
      <c r="AA29" s="28"/>
      <c r="AB29" s="29">
        <v>-0.123</v>
      </c>
      <c r="AC29" s="28"/>
      <c r="AD29" s="28">
        <f t="shared" si="4"/>
        <v>0</v>
      </c>
      <c r="AE29" s="28"/>
      <c r="AF29" s="30">
        <v>-0.017</v>
      </c>
      <c r="AG29" s="28"/>
      <c r="AH29" s="28">
        <f>-ROUND((SUM(T29:Z29)+AD29)*0.017,0)</f>
        <v>0</v>
      </c>
      <c r="AI29" s="28"/>
      <c r="AJ29" s="28">
        <f>SUM(T29:Z29)+AH29+AD29</f>
        <v>0</v>
      </c>
      <c r="AK29" s="28"/>
      <c r="AL29" s="28">
        <f t="shared" si="5"/>
        <v>0</v>
      </c>
      <c r="AN29" s="28">
        <f t="shared" si="6"/>
        <v>0</v>
      </c>
      <c r="AO29" s="39"/>
      <c r="AP29" s="31">
        <v>0</v>
      </c>
    </row>
    <row r="30" spans="2:42" ht="15.75">
      <c r="B30" s="13">
        <v>5</v>
      </c>
      <c r="D30" s="2" t="s">
        <v>51</v>
      </c>
      <c r="F30" s="10">
        <v>36</v>
      </c>
      <c r="H30" s="24">
        <v>988</v>
      </c>
      <c r="I30" s="24"/>
      <c r="J30" s="25">
        <f>60568+621511</f>
        <v>682079</v>
      </c>
      <c r="K30" s="24"/>
      <c r="L30" s="24">
        <f t="shared" si="0"/>
        <v>-4421.8555931988585</v>
      </c>
      <c r="M30" s="24"/>
      <c r="N30" s="25">
        <f>7305+164725</f>
        <v>172030</v>
      </c>
      <c r="O30" s="25"/>
      <c r="P30" s="24">
        <f t="shared" si="1"/>
        <v>-1374.6361940091049</v>
      </c>
      <c r="R30" s="24">
        <f>SUM(J30:P30)</f>
        <v>848312.508212792</v>
      </c>
      <c r="T30" s="27">
        <f>2752+28674</f>
        <v>31426</v>
      </c>
      <c r="U30" s="28"/>
      <c r="V30" s="28">
        <f t="shared" si="2"/>
        <v>-135.37353846153846</v>
      </c>
      <c r="W30" s="28"/>
      <c r="X30" s="27">
        <f>336+7751</f>
        <v>8087</v>
      </c>
      <c r="Y30" s="28"/>
      <c r="Z30" s="28">
        <f t="shared" si="3"/>
        <v>-15.179535308441558</v>
      </c>
      <c r="AA30" s="28"/>
      <c r="AB30" s="29">
        <v>-0.123</v>
      </c>
      <c r="AC30" s="28"/>
      <c r="AD30" s="28">
        <f t="shared" si="4"/>
        <v>-1043</v>
      </c>
      <c r="AE30" s="28"/>
      <c r="AF30" s="30">
        <v>-0.017</v>
      </c>
      <c r="AG30" s="28"/>
      <c r="AH30" s="28">
        <f>-ROUND((SUM(T30:Z30)+AD30)*0.017,0)</f>
        <v>-651</v>
      </c>
      <c r="AI30" s="28"/>
      <c r="AJ30" s="28">
        <f>SUM(T30:Z30)+AH30+AD30</f>
        <v>37668.44692623002</v>
      </c>
      <c r="AK30" s="28"/>
      <c r="AL30" s="28">
        <f t="shared" si="5"/>
        <v>39362.44692623002</v>
      </c>
      <c r="AN30" s="28">
        <f t="shared" si="6"/>
        <v>1694</v>
      </c>
      <c r="AO30" s="39"/>
      <c r="AP30" s="31">
        <f>AN30/AJ30</f>
        <v>0.044971325823905985</v>
      </c>
    </row>
    <row r="31" spans="2:42" ht="15.75">
      <c r="B31" s="13">
        <v>6</v>
      </c>
      <c r="D31" s="2" t="s">
        <v>52</v>
      </c>
      <c r="F31" s="10" t="s">
        <v>53</v>
      </c>
      <c r="H31" s="24">
        <v>5400</v>
      </c>
      <c r="I31" s="24"/>
      <c r="J31" s="25">
        <v>0</v>
      </c>
      <c r="K31" s="24"/>
      <c r="L31" s="24">
        <f t="shared" si="0"/>
        <v>0</v>
      </c>
      <c r="M31" s="24"/>
      <c r="N31" s="25">
        <v>179693</v>
      </c>
      <c r="O31" s="25"/>
      <c r="P31" s="24">
        <f t="shared" si="1"/>
        <v>-1435.8687531830383</v>
      </c>
      <c r="R31" s="24">
        <f>SUM(J31:P31)</f>
        <v>178257.13124681695</v>
      </c>
      <c r="T31" s="27">
        <v>0</v>
      </c>
      <c r="U31" s="28"/>
      <c r="V31" s="28">
        <f t="shared" si="2"/>
        <v>0</v>
      </c>
      <c r="W31" s="28"/>
      <c r="X31" s="27">
        <v>9290</v>
      </c>
      <c r="Y31" s="28"/>
      <c r="Z31" s="28">
        <f t="shared" si="3"/>
        <v>-17.437601461038962</v>
      </c>
      <c r="AA31" s="28"/>
      <c r="AB31" s="29">
        <v>-0.144</v>
      </c>
      <c r="AC31" s="28"/>
      <c r="AD31" s="28">
        <f t="shared" si="4"/>
        <v>-257</v>
      </c>
      <c r="AE31" s="28"/>
      <c r="AF31" s="30">
        <v>-0.017</v>
      </c>
      <c r="AG31" s="28"/>
      <c r="AH31" s="28">
        <f>-ROUND((SUM(T31:Z31)+AD31)*0.017,0)</f>
        <v>-153</v>
      </c>
      <c r="AI31" s="28"/>
      <c r="AJ31" s="28">
        <f>SUM(T31:Z31)+AH31+AD31</f>
        <v>8862.562398538961</v>
      </c>
      <c r="AK31" s="28"/>
      <c r="AL31" s="28">
        <f t="shared" si="5"/>
        <v>9272.562398538961</v>
      </c>
      <c r="AN31" s="28">
        <f t="shared" si="6"/>
        <v>410</v>
      </c>
      <c r="AO31" s="39"/>
      <c r="AP31" s="31">
        <f>AN31/AJ31</f>
        <v>0.046262015607087925</v>
      </c>
    </row>
    <row r="32" spans="2:42" ht="15.75">
      <c r="B32" s="13">
        <v>7</v>
      </c>
      <c r="D32" s="2" t="s">
        <v>54</v>
      </c>
      <c r="F32" s="10">
        <v>47</v>
      </c>
      <c r="H32" s="24">
        <v>0</v>
      </c>
      <c r="I32" s="24"/>
      <c r="J32" s="25">
        <v>0</v>
      </c>
      <c r="K32" s="24"/>
      <c r="L32" s="24">
        <f t="shared" si="0"/>
        <v>0</v>
      </c>
      <c r="M32" s="24"/>
      <c r="N32" s="25">
        <v>0</v>
      </c>
      <c r="O32" s="25"/>
      <c r="P32" s="24">
        <f t="shared" si="1"/>
        <v>0</v>
      </c>
      <c r="R32" s="24">
        <f>SUM(J32:P32)</f>
        <v>0</v>
      </c>
      <c r="T32" s="27">
        <v>0</v>
      </c>
      <c r="U32" s="28"/>
      <c r="V32" s="28">
        <f t="shared" si="2"/>
        <v>0</v>
      </c>
      <c r="W32" s="28"/>
      <c r="X32" s="27">
        <v>0</v>
      </c>
      <c r="Y32" s="28"/>
      <c r="Z32" s="28">
        <f t="shared" si="3"/>
        <v>0</v>
      </c>
      <c r="AA32" s="28"/>
      <c r="AB32" s="29">
        <v>-0.108</v>
      </c>
      <c r="AC32" s="28"/>
      <c r="AD32" s="28">
        <f t="shared" si="4"/>
        <v>0</v>
      </c>
      <c r="AE32" s="28"/>
      <c r="AF32" s="30">
        <v>-0.017</v>
      </c>
      <c r="AG32" s="28"/>
      <c r="AH32" s="28">
        <f>-ROUND((SUM(T32:Z32)+AD32)*0.017,0)</f>
        <v>0</v>
      </c>
      <c r="AI32" s="28"/>
      <c r="AJ32" s="28">
        <f>SUM(T32:Z32)+AH32+AD32</f>
        <v>0</v>
      </c>
      <c r="AK32" s="28"/>
      <c r="AL32" s="28">
        <f t="shared" si="5"/>
        <v>0</v>
      </c>
      <c r="AN32" s="28">
        <f t="shared" si="6"/>
        <v>0</v>
      </c>
      <c r="AO32" s="39"/>
      <c r="AP32" s="31">
        <v>0</v>
      </c>
    </row>
    <row r="33" spans="2:42" ht="15.75">
      <c r="B33" s="13">
        <v>8</v>
      </c>
      <c r="D33" s="2" t="s">
        <v>55</v>
      </c>
      <c r="F33" s="10">
        <v>48</v>
      </c>
      <c r="H33" s="24">
        <f>62+1</f>
        <v>63</v>
      </c>
      <c r="I33" s="24"/>
      <c r="J33" s="25">
        <v>137747</v>
      </c>
      <c r="K33" s="24"/>
      <c r="L33" s="24">
        <f t="shared" si="0"/>
        <v>-893.001166135247</v>
      </c>
      <c r="M33" s="24"/>
      <c r="N33" s="25">
        <f>116649+402382</f>
        <v>519031</v>
      </c>
      <c r="O33" s="25"/>
      <c r="P33" s="24">
        <f t="shared" si="1"/>
        <v>-4147.409163592046</v>
      </c>
      <c r="R33" s="56">
        <f>SUM(J33:P33)+334988</f>
        <v>986725.5896702727</v>
      </c>
      <c r="T33" s="27">
        <v>5702</v>
      </c>
      <c r="U33" s="28"/>
      <c r="V33" s="28">
        <f t="shared" si="2"/>
        <v>-24.562461538461537</v>
      </c>
      <c r="W33" s="28"/>
      <c r="X33" s="27">
        <f>4532+15795</f>
        <v>20327</v>
      </c>
      <c r="Y33" s="28"/>
      <c r="Z33" s="28">
        <f t="shared" si="3"/>
        <v>-38.15437297077922</v>
      </c>
      <c r="AA33" s="28"/>
      <c r="AB33" s="29">
        <v>-0.108</v>
      </c>
      <c r="AC33" s="28"/>
      <c r="AD33" s="28">
        <f t="shared" si="4"/>
        <v>-1066</v>
      </c>
      <c r="AE33" s="28"/>
      <c r="AF33" s="30">
        <v>-0.017</v>
      </c>
      <c r="AG33" s="28"/>
      <c r="AH33" s="57">
        <f>-ROUND((SUM(T33:Z33)+AD33+11935)*0.017,0)</f>
        <v>-626</v>
      </c>
      <c r="AI33" s="57"/>
      <c r="AJ33" s="57">
        <f>SUM(T33:Z33)+AH33+AD33+11935</f>
        <v>36209.28316549076</v>
      </c>
      <c r="AK33" s="28"/>
      <c r="AL33" s="28">
        <f t="shared" si="5"/>
        <v>37901.28316549076</v>
      </c>
      <c r="AN33" s="28">
        <f t="shared" si="6"/>
        <v>1692</v>
      </c>
      <c r="AO33" s="39"/>
      <c r="AP33" s="31">
        <f>AN33/AJ33</f>
        <v>0.04672834842564793</v>
      </c>
    </row>
    <row r="34" spans="2:42" ht="15.75">
      <c r="B34" s="13">
        <v>9</v>
      </c>
      <c r="D34" s="2" t="s">
        <v>56</v>
      </c>
      <c r="F34" s="10" t="s">
        <v>57</v>
      </c>
      <c r="H34" s="24">
        <v>33</v>
      </c>
      <c r="I34" s="24"/>
      <c r="J34" s="25">
        <v>350</v>
      </c>
      <c r="K34" s="24"/>
      <c r="L34" s="24">
        <f t="shared" si="0"/>
        <v>-2.269017896196189</v>
      </c>
      <c r="M34" s="24"/>
      <c r="N34" s="25">
        <v>0</v>
      </c>
      <c r="O34" s="25"/>
      <c r="P34" s="24">
        <f t="shared" si="1"/>
        <v>0</v>
      </c>
      <c r="R34" s="24">
        <f>SUM(J34:P34)</f>
        <v>347.7309821038038</v>
      </c>
      <c r="T34" s="27">
        <v>24</v>
      </c>
      <c r="U34" s="28"/>
      <c r="V34" s="28">
        <f t="shared" si="2"/>
        <v>-0.10338461538461538</v>
      </c>
      <c r="W34" s="28"/>
      <c r="X34" s="27">
        <v>0</v>
      </c>
      <c r="Y34" s="28"/>
      <c r="Z34" s="28">
        <f t="shared" si="3"/>
        <v>0</v>
      </c>
      <c r="AA34" s="28"/>
      <c r="AB34" s="29">
        <v>-0.184</v>
      </c>
      <c r="AC34" s="28"/>
      <c r="AD34" s="28">
        <f t="shared" si="4"/>
        <v>-1</v>
      </c>
      <c r="AE34" s="28"/>
      <c r="AF34" s="30">
        <v>-0.017</v>
      </c>
      <c r="AG34" s="28"/>
      <c r="AH34" s="28">
        <f>-ROUND((SUM(T34:Z34)+AD34)*0.017,0)</f>
        <v>0</v>
      </c>
      <c r="AI34" s="28"/>
      <c r="AJ34" s="28">
        <f>SUM(T34:Z34)+AH34+AD34</f>
        <v>22.896615384615384</v>
      </c>
      <c r="AK34" s="28"/>
      <c r="AL34" s="28">
        <f t="shared" si="5"/>
        <v>23.896615384615384</v>
      </c>
      <c r="AN34" s="28">
        <f t="shared" si="6"/>
        <v>1</v>
      </c>
      <c r="AO34" s="39"/>
      <c r="AP34" s="31">
        <f>AN34/AJ34</f>
        <v>0.04367457736447443</v>
      </c>
    </row>
    <row r="35" spans="2:42" ht="15.75">
      <c r="B35" s="13"/>
      <c r="F35" s="10"/>
      <c r="H35" s="32"/>
      <c r="I35" s="6"/>
      <c r="J35" s="32"/>
      <c r="K35" s="6"/>
      <c r="L35" s="32"/>
      <c r="M35" s="6"/>
      <c r="N35" s="32"/>
      <c r="O35" s="6"/>
      <c r="P35" s="32"/>
      <c r="R35" s="32"/>
      <c r="T35" s="32"/>
      <c r="U35" s="6"/>
      <c r="V35" s="32"/>
      <c r="W35" s="6"/>
      <c r="X35" s="32"/>
      <c r="Y35" s="6"/>
      <c r="Z35" s="32"/>
      <c r="AA35" s="6"/>
      <c r="AB35" s="32"/>
      <c r="AC35" s="6"/>
      <c r="AD35" s="32"/>
      <c r="AE35" s="6"/>
      <c r="AF35" s="32"/>
      <c r="AG35" s="6"/>
      <c r="AH35" s="32"/>
      <c r="AI35" s="6"/>
      <c r="AJ35" s="32"/>
      <c r="AK35" s="6"/>
      <c r="AL35" s="32"/>
      <c r="AN35" s="32"/>
      <c r="AO35" s="6"/>
      <c r="AP35" s="33"/>
    </row>
    <row r="36" spans="2:41" ht="15.75">
      <c r="B36" s="13"/>
      <c r="AO36" s="6"/>
    </row>
    <row r="37" spans="2:42" ht="15.75">
      <c r="B37" s="13">
        <v>10</v>
      </c>
      <c r="D37" s="22" t="s">
        <v>58</v>
      </c>
      <c r="H37" s="34">
        <f>SUM(H28:H34)</f>
        <v>22777</v>
      </c>
      <c r="I37" s="34"/>
      <c r="J37" s="34">
        <f>SUM(J28:J34)</f>
        <v>1294018</v>
      </c>
      <c r="K37" s="34"/>
      <c r="L37" s="25">
        <v>-8389</v>
      </c>
      <c r="M37" s="34"/>
      <c r="N37" s="34">
        <f>SUM(N28:N34)</f>
        <v>899298</v>
      </c>
      <c r="O37" s="34"/>
      <c r="P37" s="25">
        <v>-7186</v>
      </c>
      <c r="R37" s="34">
        <f>SUM(R28:R34)</f>
        <v>2512729</v>
      </c>
      <c r="S37" s="34"/>
      <c r="T37" s="35">
        <f>SUM(T28:T34)</f>
        <v>65000</v>
      </c>
      <c r="U37" s="35"/>
      <c r="V37" s="36">
        <v>-280</v>
      </c>
      <c r="W37" s="35"/>
      <c r="X37" s="35">
        <f>SUM(X28:X34)</f>
        <v>39424</v>
      </c>
      <c r="Y37" s="35"/>
      <c r="Z37" s="36">
        <v>-74</v>
      </c>
      <c r="AA37" s="35"/>
      <c r="AB37" s="29">
        <f>AD37/R37*100</f>
        <v>-0.12659542672528554</v>
      </c>
      <c r="AC37" s="35"/>
      <c r="AD37" s="35">
        <f>SUM(AD28:AD34)</f>
        <v>-3181</v>
      </c>
      <c r="AE37" s="35"/>
      <c r="AF37" s="55">
        <f>AH37/(SUM(T37:Z37)+11935)</f>
        <v>-0.01652514977802681</v>
      </c>
      <c r="AG37" s="35"/>
      <c r="AH37" s="35">
        <f>SUM(AH28:AH34)</f>
        <v>-1917</v>
      </c>
      <c r="AI37" s="35"/>
      <c r="AJ37" s="35">
        <f>SUM(AJ28:AJ34)</f>
        <v>110907</v>
      </c>
      <c r="AK37" s="35"/>
      <c r="AL37" s="35">
        <f>SUM(AL28:AL34)</f>
        <v>116005</v>
      </c>
      <c r="AM37" s="34"/>
      <c r="AN37" s="35">
        <f>SUM(AN28:AN34)</f>
        <v>5098</v>
      </c>
      <c r="AO37" s="37"/>
      <c r="AP37" s="31">
        <f>AN37/AJ37</f>
        <v>0.04596644035092465</v>
      </c>
    </row>
    <row r="38" spans="2:41" ht="15.75">
      <c r="B38" s="13"/>
      <c r="AO38" s="6"/>
    </row>
    <row r="39" spans="2:41" ht="15.75">
      <c r="B39" s="13"/>
      <c r="AO39" s="6"/>
    </row>
    <row r="40" spans="2:41" ht="15.75">
      <c r="B40" s="13"/>
      <c r="D40" s="22" t="s">
        <v>59</v>
      </c>
      <c r="AO40" s="6"/>
    </row>
    <row r="41" spans="2:41" ht="15.75">
      <c r="B41" s="13"/>
      <c r="AO41" s="6"/>
    </row>
    <row r="42" spans="2:42" ht="15.75">
      <c r="B42" s="13">
        <v>11</v>
      </c>
      <c r="D42" s="2" t="s">
        <v>60</v>
      </c>
      <c r="F42" s="10" t="s">
        <v>61</v>
      </c>
      <c r="H42" s="24">
        <f>1403+1617+74</f>
        <v>3094</v>
      </c>
      <c r="I42" s="24"/>
      <c r="J42" s="25">
        <f>1517+3003+226</f>
        <v>4746</v>
      </c>
      <c r="K42" s="24"/>
      <c r="L42" s="24">
        <v>0</v>
      </c>
      <c r="M42" s="24"/>
      <c r="N42" s="24"/>
      <c r="O42" s="24"/>
      <c r="P42" s="24"/>
      <c r="R42" s="24">
        <f>J42+L42</f>
        <v>4746</v>
      </c>
      <c r="T42" s="27">
        <f>149+278+20</f>
        <v>447</v>
      </c>
      <c r="U42" s="28"/>
      <c r="V42" s="28">
        <v>0</v>
      </c>
      <c r="W42" s="28"/>
      <c r="X42" s="28"/>
      <c r="Y42" s="28"/>
      <c r="Z42" s="28"/>
      <c r="AA42" s="28"/>
      <c r="AB42" s="29">
        <v>-0.268</v>
      </c>
      <c r="AC42" s="28"/>
      <c r="AD42" s="28">
        <f>ROUND(R42*AB42/100,0)</f>
        <v>-13</v>
      </c>
      <c r="AE42" s="28"/>
      <c r="AF42" s="30">
        <v>-0.017</v>
      </c>
      <c r="AG42" s="28"/>
      <c r="AH42" s="28">
        <f>-ROUND((SUM(T42:Z42)+AD42)*0.017,0)</f>
        <v>-7</v>
      </c>
      <c r="AI42" s="28"/>
      <c r="AJ42" s="28">
        <f>SUM(T42:Z42)+AH42+AD42</f>
        <v>427</v>
      </c>
      <c r="AK42" s="28"/>
      <c r="AL42" s="28">
        <f>AJ42-AH42-AD42</f>
        <v>447</v>
      </c>
      <c r="AN42" s="28">
        <f>AL42-AJ42</f>
        <v>20</v>
      </c>
      <c r="AO42" s="39"/>
      <c r="AP42" s="31">
        <f>AN42/AJ42</f>
        <v>0.0468384074941452</v>
      </c>
    </row>
    <row r="43" spans="2:42" ht="15.75">
      <c r="B43" s="13">
        <v>12</v>
      </c>
      <c r="D43" s="2" t="s">
        <v>62</v>
      </c>
      <c r="F43" s="10" t="s">
        <v>63</v>
      </c>
      <c r="H43" s="24">
        <v>113</v>
      </c>
      <c r="I43" s="24"/>
      <c r="J43" s="25">
        <f>3083</f>
        <v>3083</v>
      </c>
      <c r="K43" s="24"/>
      <c r="L43" s="24">
        <v>0</v>
      </c>
      <c r="M43" s="24"/>
      <c r="N43" s="24"/>
      <c r="O43" s="24"/>
      <c r="P43" s="24"/>
      <c r="R43" s="24">
        <f>J43+L43</f>
        <v>3083</v>
      </c>
      <c r="T43" s="27">
        <v>403</v>
      </c>
      <c r="U43" s="28"/>
      <c r="V43" s="28">
        <v>0</v>
      </c>
      <c r="W43" s="28"/>
      <c r="X43" s="28"/>
      <c r="Y43" s="28"/>
      <c r="Z43" s="28"/>
      <c r="AA43" s="28"/>
      <c r="AB43" s="29">
        <v>-0.268</v>
      </c>
      <c r="AC43" s="28"/>
      <c r="AD43" s="28">
        <f>ROUND(R43*AB43/100,0)</f>
        <v>-8</v>
      </c>
      <c r="AE43" s="28"/>
      <c r="AF43" s="30">
        <v>-0.017</v>
      </c>
      <c r="AG43" s="28"/>
      <c r="AH43" s="28">
        <f>-ROUND((SUM(T43:Z43)+AD43)*0.017,0)</f>
        <v>-7</v>
      </c>
      <c r="AI43" s="28"/>
      <c r="AJ43" s="28">
        <f>SUM(T43:Z43)+AH43+AD43</f>
        <v>388</v>
      </c>
      <c r="AK43" s="28"/>
      <c r="AL43" s="28">
        <f>AJ43-AH43-AD43</f>
        <v>403</v>
      </c>
      <c r="AN43" s="28">
        <f>AL43-AJ43</f>
        <v>15</v>
      </c>
      <c r="AO43" s="39"/>
      <c r="AP43" s="31">
        <f>AN43/AJ43</f>
        <v>0.03865979381443299</v>
      </c>
    </row>
    <row r="44" spans="2:42" ht="15.75">
      <c r="B44" s="13">
        <v>13</v>
      </c>
      <c r="D44" s="2" t="s">
        <v>62</v>
      </c>
      <c r="F44" s="10">
        <v>52</v>
      </c>
      <c r="H44" s="24">
        <v>20</v>
      </c>
      <c r="I44" s="24"/>
      <c r="J44" s="25">
        <f>453</f>
        <v>453</v>
      </c>
      <c r="K44" s="24"/>
      <c r="L44" s="24">
        <v>0</v>
      </c>
      <c r="M44" s="24"/>
      <c r="N44" s="24"/>
      <c r="O44" s="24"/>
      <c r="P44" s="24"/>
      <c r="R44" s="24">
        <f>J44+L44</f>
        <v>453</v>
      </c>
      <c r="T44" s="27">
        <v>38</v>
      </c>
      <c r="U44" s="28"/>
      <c r="V44" s="28">
        <v>0</v>
      </c>
      <c r="W44" s="28"/>
      <c r="X44" s="28"/>
      <c r="Y44" s="28"/>
      <c r="Z44" s="28"/>
      <c r="AA44" s="28"/>
      <c r="AB44" s="29">
        <v>-0.268</v>
      </c>
      <c r="AC44" s="28"/>
      <c r="AD44" s="28">
        <f>ROUND(R44*AB44/100,0)</f>
        <v>-1</v>
      </c>
      <c r="AE44" s="28"/>
      <c r="AF44" s="30">
        <v>-0.017</v>
      </c>
      <c r="AG44" s="28"/>
      <c r="AH44" s="28">
        <f>-ROUND((SUM(T44:Z44)+AD44)*0.017,0)</f>
        <v>-1</v>
      </c>
      <c r="AI44" s="28"/>
      <c r="AJ44" s="28">
        <f>SUM(T44:Z44)+AH44+AD44</f>
        <v>36</v>
      </c>
      <c r="AK44" s="28"/>
      <c r="AL44" s="28">
        <f>AJ44-AH44-AD44</f>
        <v>38</v>
      </c>
      <c r="AN44" s="28">
        <f>AL44-AJ44</f>
        <v>2</v>
      </c>
      <c r="AO44" s="39"/>
      <c r="AP44" s="31">
        <f>AN44/AJ44</f>
        <v>0.05555555555555555</v>
      </c>
    </row>
    <row r="45" spans="2:42" ht="15.75">
      <c r="B45" s="13">
        <v>14</v>
      </c>
      <c r="D45" s="2" t="s">
        <v>62</v>
      </c>
      <c r="F45" s="10">
        <v>53</v>
      </c>
      <c r="H45" s="24">
        <f>135+81</f>
        <v>216</v>
      </c>
      <c r="I45" s="24"/>
      <c r="J45" s="25">
        <f>3671+955</f>
        <v>4626</v>
      </c>
      <c r="K45" s="24"/>
      <c r="L45" s="24">
        <v>0</v>
      </c>
      <c r="M45" s="24"/>
      <c r="N45" s="24"/>
      <c r="O45" s="24"/>
      <c r="P45" s="24"/>
      <c r="R45" s="24">
        <f>J45+L45</f>
        <v>4626</v>
      </c>
      <c r="T45" s="27">
        <f>169+55</f>
        <v>224</v>
      </c>
      <c r="U45" s="28"/>
      <c r="V45" s="28">
        <v>0</v>
      </c>
      <c r="W45" s="28"/>
      <c r="X45" s="28"/>
      <c r="Y45" s="28"/>
      <c r="Z45" s="28"/>
      <c r="AA45" s="28"/>
      <c r="AB45" s="29">
        <v>-0.268</v>
      </c>
      <c r="AC45" s="28"/>
      <c r="AD45" s="28">
        <f>ROUND(R45*AB45/100,0)</f>
        <v>-12</v>
      </c>
      <c r="AE45" s="28"/>
      <c r="AF45" s="30">
        <v>-0.017</v>
      </c>
      <c r="AG45" s="28"/>
      <c r="AH45" s="28">
        <f>-ROUND((SUM(T45:Z45)+AD45)*0.017,0)</f>
        <v>-4</v>
      </c>
      <c r="AI45" s="28"/>
      <c r="AJ45" s="28">
        <f>SUM(T45:Z45)+AH45+AD45</f>
        <v>208</v>
      </c>
      <c r="AK45" s="28"/>
      <c r="AL45" s="28">
        <f>AJ45-AH45-AD45</f>
        <v>224</v>
      </c>
      <c r="AN45" s="28">
        <f>AL45-AJ45</f>
        <v>16</v>
      </c>
      <c r="AO45" s="39"/>
      <c r="AP45" s="31">
        <f>AN45/AJ45</f>
        <v>0.07692307692307693</v>
      </c>
    </row>
    <row r="46" spans="2:42" ht="15.75">
      <c r="B46" s="13">
        <v>15</v>
      </c>
      <c r="D46" s="2" t="s">
        <v>62</v>
      </c>
      <c r="F46" s="10">
        <v>57</v>
      </c>
      <c r="H46" s="24">
        <v>64</v>
      </c>
      <c r="I46" s="24"/>
      <c r="J46" s="25">
        <f>2527</f>
        <v>2527</v>
      </c>
      <c r="K46" s="24"/>
      <c r="L46" s="24">
        <v>0</v>
      </c>
      <c r="M46" s="24"/>
      <c r="N46" s="24"/>
      <c r="O46" s="24"/>
      <c r="P46" s="24"/>
      <c r="R46" s="24">
        <f>J46+L46</f>
        <v>2527</v>
      </c>
      <c r="T46" s="27">
        <f>206+3</f>
        <v>209</v>
      </c>
      <c r="U46" s="28"/>
      <c r="V46" s="28">
        <v>0</v>
      </c>
      <c r="W46" s="28"/>
      <c r="X46" s="28"/>
      <c r="Y46" s="28"/>
      <c r="Z46" s="28"/>
      <c r="AA46" s="28"/>
      <c r="AB46" s="29">
        <v>-0.268</v>
      </c>
      <c r="AC46" s="28"/>
      <c r="AD46" s="28">
        <f>ROUND(R46*AB46/100,0)</f>
        <v>-7</v>
      </c>
      <c r="AE46" s="28"/>
      <c r="AF46" s="30">
        <v>-0.017</v>
      </c>
      <c r="AG46" s="28"/>
      <c r="AH46" s="28">
        <f>-ROUND((SUM(T46:Z46)+AD46)*0.017,0)</f>
        <v>-3</v>
      </c>
      <c r="AI46" s="28"/>
      <c r="AJ46" s="28">
        <f>SUM(T46:Z46)+AH46+AD46</f>
        <v>199</v>
      </c>
      <c r="AK46" s="28"/>
      <c r="AL46" s="28">
        <f>AJ46-AH46-AD46</f>
        <v>209</v>
      </c>
      <c r="AN46" s="28">
        <f>AL46-AJ46</f>
        <v>10</v>
      </c>
      <c r="AO46" s="39"/>
      <c r="AP46" s="31">
        <f>AN46/AJ46</f>
        <v>0.05025125628140704</v>
      </c>
    </row>
    <row r="47" spans="2:42" ht="15.75">
      <c r="B47" s="13"/>
      <c r="H47" s="32"/>
      <c r="I47" s="6"/>
      <c r="J47" s="32"/>
      <c r="K47" s="6"/>
      <c r="L47" s="32"/>
      <c r="M47" s="6"/>
      <c r="N47" s="32"/>
      <c r="O47" s="6"/>
      <c r="P47" s="32"/>
      <c r="R47" s="32"/>
      <c r="T47" s="32"/>
      <c r="U47" s="6"/>
      <c r="V47" s="32"/>
      <c r="W47" s="6"/>
      <c r="X47" s="32"/>
      <c r="Y47" s="6"/>
      <c r="Z47" s="32"/>
      <c r="AA47" s="6"/>
      <c r="AB47" s="32"/>
      <c r="AC47" s="6"/>
      <c r="AD47" s="32"/>
      <c r="AE47" s="6"/>
      <c r="AF47" s="32"/>
      <c r="AG47" s="6"/>
      <c r="AH47" s="32"/>
      <c r="AI47" s="6"/>
      <c r="AJ47" s="32"/>
      <c r="AK47" s="6"/>
      <c r="AL47" s="32"/>
      <c r="AN47" s="32"/>
      <c r="AO47" s="6"/>
      <c r="AP47" s="33"/>
    </row>
    <row r="48" spans="2:41" ht="15.75">
      <c r="B48" s="13"/>
      <c r="AO48" s="6"/>
    </row>
    <row r="49" spans="2:42" ht="15.75">
      <c r="B49" s="13">
        <v>16</v>
      </c>
      <c r="D49" s="22" t="s">
        <v>64</v>
      </c>
      <c r="H49" s="40">
        <f>SUM(H42:H46)</f>
        <v>3507</v>
      </c>
      <c r="I49" s="41"/>
      <c r="J49" s="40">
        <f>SUM(J42:J46)</f>
        <v>15435</v>
      </c>
      <c r="K49" s="41"/>
      <c r="L49" s="42">
        <v>0</v>
      </c>
      <c r="M49" s="41"/>
      <c r="N49" s="40"/>
      <c r="O49" s="41"/>
      <c r="P49" s="40"/>
      <c r="R49" s="40">
        <f>SUM(R42:R46)</f>
        <v>15435</v>
      </c>
      <c r="S49" s="34"/>
      <c r="T49" s="43">
        <f>SUM(T42:T46)</f>
        <v>1321</v>
      </c>
      <c r="U49" s="37"/>
      <c r="V49" s="44">
        <v>0</v>
      </c>
      <c r="W49" s="37"/>
      <c r="X49" s="43"/>
      <c r="Y49" s="37"/>
      <c r="Z49" s="43"/>
      <c r="AA49" s="37"/>
      <c r="AB49" s="45">
        <f>AD49/R49*100</f>
        <v>-0.2656300615484289</v>
      </c>
      <c r="AC49" s="37"/>
      <c r="AD49" s="43">
        <f>SUM(AD42:AD46)</f>
        <v>-41</v>
      </c>
      <c r="AE49" s="37"/>
      <c r="AF49" s="46">
        <v>-0.017</v>
      </c>
      <c r="AG49" s="37"/>
      <c r="AH49" s="43">
        <f>SUM(AH42:AH46)</f>
        <v>-22</v>
      </c>
      <c r="AI49" s="37"/>
      <c r="AJ49" s="43">
        <f>SUM(AJ42:AJ46)</f>
        <v>1258</v>
      </c>
      <c r="AK49" s="37"/>
      <c r="AL49" s="43">
        <f>SUM(AL42:AL46)</f>
        <v>1321</v>
      </c>
      <c r="AM49" s="34"/>
      <c r="AN49" s="43">
        <f>SUM(AN42:AN46)</f>
        <v>63</v>
      </c>
      <c r="AO49" s="37"/>
      <c r="AP49" s="47">
        <f>AN49/AJ49</f>
        <v>0.050079491255961846</v>
      </c>
    </row>
    <row r="50" spans="2:41" ht="15.75">
      <c r="B50" s="13"/>
      <c r="AO50" s="6"/>
    </row>
    <row r="51" spans="2:42" ht="16.5" thickBot="1">
      <c r="B51" s="13">
        <v>17</v>
      </c>
      <c r="D51" s="22" t="s">
        <v>65</v>
      </c>
      <c r="H51" s="48">
        <f>H49+H37+H23</f>
        <v>124534</v>
      </c>
      <c r="I51" s="41"/>
      <c r="J51" s="48">
        <f>J49+J37+J23</f>
        <v>2736326</v>
      </c>
      <c r="K51" s="41"/>
      <c r="L51" s="48">
        <f>L49+L37+L23</f>
        <v>-21593</v>
      </c>
      <c r="M51" s="41"/>
      <c r="N51" s="48">
        <f>N49+N37+N23</f>
        <v>899298</v>
      </c>
      <c r="O51" s="41"/>
      <c r="P51" s="48">
        <f>P49+P37+P23</f>
        <v>-7186</v>
      </c>
      <c r="R51" s="48">
        <f>R49+R37+R23</f>
        <v>3941833</v>
      </c>
      <c r="S51" s="34"/>
      <c r="T51" s="49">
        <f>T49+T37+T23</f>
        <v>145724</v>
      </c>
      <c r="U51" s="37"/>
      <c r="V51" s="49">
        <f>V49+V37+V23</f>
        <v>-760</v>
      </c>
      <c r="W51" s="37"/>
      <c r="X51" s="49">
        <f>X49+X37+X23</f>
        <v>39424</v>
      </c>
      <c r="Y51" s="37"/>
      <c r="Z51" s="49">
        <f>Z49+Z37+Z23</f>
        <v>-74</v>
      </c>
      <c r="AA51" s="37"/>
      <c r="AB51" s="50">
        <f>AD51/R51*100</f>
        <v>-0.13625640660068553</v>
      </c>
      <c r="AC51" s="37"/>
      <c r="AD51" s="49">
        <f>AD49+AD37+AD23</f>
        <v>-5371</v>
      </c>
      <c r="AE51" s="37"/>
      <c r="AF51" s="54">
        <f>AH51/(SUM(T51:Z51)+11935)</f>
        <v>-0.016530020535136483</v>
      </c>
      <c r="AG51" s="37"/>
      <c r="AH51" s="49">
        <f>AH49+AH37+AH23</f>
        <v>-3244</v>
      </c>
      <c r="AI51" s="37"/>
      <c r="AJ51" s="49">
        <f>AJ49+AJ37+AJ23</f>
        <v>187634</v>
      </c>
      <c r="AK51" s="37"/>
      <c r="AL51" s="49">
        <f>AL49+AL37+AL23</f>
        <v>196249</v>
      </c>
      <c r="AM51" s="34"/>
      <c r="AN51" s="49">
        <f>AN49+AN37+AN23</f>
        <v>8615</v>
      </c>
      <c r="AO51" s="37"/>
      <c r="AP51" s="58">
        <f>AN51/AJ51</f>
        <v>0.04591385356598484</v>
      </c>
    </row>
    <row r="52" spans="2:41" ht="16.5" thickTop="1">
      <c r="B52" s="13"/>
      <c r="D52" s="22"/>
      <c r="H52" s="41"/>
      <c r="I52" s="41"/>
      <c r="J52" s="41"/>
      <c r="K52" s="41"/>
      <c r="L52" s="41"/>
      <c r="M52" s="41"/>
      <c r="N52" s="41"/>
      <c r="O52" s="41"/>
      <c r="P52" s="41"/>
      <c r="R52" s="41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4"/>
      <c r="AN52" s="37"/>
      <c r="AO52" s="37"/>
    </row>
    <row r="53" spans="2:41" ht="15.75">
      <c r="B53" s="13"/>
      <c r="D53" s="22"/>
      <c r="H53" s="38"/>
      <c r="I53" s="38"/>
      <c r="J53" s="38"/>
      <c r="K53" s="38"/>
      <c r="L53" s="38"/>
      <c r="M53" s="38"/>
      <c r="N53" s="38"/>
      <c r="O53" s="38"/>
      <c r="P53" s="38"/>
      <c r="R53" s="38"/>
      <c r="T53" s="51"/>
      <c r="V53" s="51"/>
      <c r="X53" s="51"/>
      <c r="Z53" s="51"/>
      <c r="AB53" s="51"/>
      <c r="AD53" s="51"/>
      <c r="AF53" s="51"/>
      <c r="AH53" s="51"/>
      <c r="AJ53" s="51"/>
      <c r="AL53" s="51"/>
      <c r="AN53" s="51"/>
      <c r="AO53" s="52"/>
    </row>
    <row r="54" spans="20:41" ht="15.75">
      <c r="T54" s="53"/>
      <c r="V54" s="53"/>
      <c r="X54" s="53"/>
      <c r="Z54" s="53"/>
      <c r="AB54" s="53"/>
      <c r="AD54" s="53"/>
      <c r="AF54" s="53"/>
      <c r="AH54" s="53"/>
      <c r="AJ54" s="53"/>
      <c r="AO54" s="6"/>
    </row>
    <row r="56" spans="8:39" ht="15.75">
      <c r="H56" s="21"/>
      <c r="I56" s="21"/>
      <c r="J56" s="21"/>
      <c r="K56" s="21"/>
      <c r="L56" s="21"/>
      <c r="M56" s="21"/>
      <c r="N56" s="21"/>
      <c r="O56" s="21"/>
      <c r="P56" s="21"/>
      <c r="Q56" s="13"/>
      <c r="R56" s="7"/>
      <c r="S56" s="13"/>
      <c r="T56" s="21"/>
      <c r="V56" s="21"/>
      <c r="X56" s="21"/>
      <c r="Z56" s="21"/>
      <c r="AB56" s="21"/>
      <c r="AD56" s="21"/>
      <c r="AF56" s="21"/>
      <c r="AH56" s="21"/>
      <c r="AJ56" s="21"/>
      <c r="AM56" s="13"/>
    </row>
    <row r="57" ht="15.75">
      <c r="R57" s="21"/>
    </row>
    <row r="58" ht="15.75">
      <c r="R58" s="21"/>
    </row>
  </sheetData>
  <mergeCells count="1">
    <mergeCell ref="AN13:AP13"/>
  </mergeCells>
  <printOptions horizontalCentered="1"/>
  <pageMargins left="0.6" right="0.6" top="1" bottom="0.5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M Ridenour</dc:creator>
  <cp:keywords/>
  <dc:description/>
  <cp:lastModifiedBy>Mike Sommerville</cp:lastModifiedBy>
  <dcterms:created xsi:type="dcterms:W3CDTF">2002-10-15T22:42:58Z</dcterms:created>
  <dcterms:modified xsi:type="dcterms:W3CDTF">2002-10-21T16:42:51Z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020417</vt:lpwstr>
  </property>
  <property fmtid="{D5CDD505-2E9C-101B-9397-08002B2CF9AE}" pid="6" name="IsConfidenti">
    <vt:lpwstr>0</vt:lpwstr>
  </property>
  <property fmtid="{D5CDD505-2E9C-101B-9397-08002B2CF9AE}" pid="7" name="Dat">
    <vt:lpwstr>2002-10-18T00:00:00Z</vt:lpwstr>
  </property>
  <property fmtid="{D5CDD505-2E9C-101B-9397-08002B2CF9AE}" pid="8" name="CaseTy">
    <vt:lpwstr>Petition</vt:lpwstr>
  </property>
  <property fmtid="{D5CDD505-2E9C-101B-9397-08002B2CF9AE}" pid="9" name="OpenedDa">
    <vt:lpwstr>2002-04-05T00:00:00Z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