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home.utc.wa.gov/sites/ue-150204/Staffs Testimony and Exhibits/"/>
    </mc:Choice>
  </mc:AlternateContent>
  <bookViews>
    <workbookView xWindow="0" yWindow="0" windowWidth="28800" windowHeight="10875" activeTab="1"/>
  </bookViews>
  <sheets>
    <sheet name="LIRAP Forecast" sheetId="2" r:id="rId1"/>
    <sheet name="Historical LIRAP trends" sheetId="1" r:id="rId2"/>
  </sheets>
  <definedNames>
    <definedName name="_xlnm.Print_Area" localSheetId="1">'Historical LIRAP trends'!$A$1:$I$42</definedName>
    <definedName name="_xlnm.Print_Area" localSheetId="0">'LIRAP Forecast'!$A$1:$L$30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J20" i="2"/>
  <c r="J19" i="2"/>
  <c r="J18" i="2"/>
  <c r="J17" i="2"/>
  <c r="J16" i="2"/>
  <c r="J15" i="2"/>
  <c r="J14" i="2"/>
  <c r="J13" i="2"/>
  <c r="J12" i="2"/>
  <c r="F11" i="2"/>
  <c r="B11" i="2"/>
  <c r="E6" i="2" l="1"/>
  <c r="B18" i="1"/>
  <c r="B12" i="2"/>
  <c r="B13" i="2" l="1"/>
  <c r="D7" i="1"/>
  <c r="D8" i="1"/>
  <c r="D9" i="1"/>
  <c r="D10" i="1"/>
  <c r="D11" i="1"/>
  <c r="D12" i="1"/>
  <c r="D13" i="1"/>
  <c r="D15" i="1"/>
  <c r="D16" i="1"/>
  <c r="D17" i="1"/>
  <c r="D6" i="1"/>
  <c r="D5" i="1"/>
  <c r="B14" i="2" l="1"/>
  <c r="B15" i="2" l="1"/>
  <c r="B16" i="2" l="1"/>
  <c r="G14" i="1"/>
  <c r="G19" i="1" s="1"/>
  <c r="E14" i="1"/>
  <c r="E19" i="1" s="1"/>
  <c r="E3" i="2" s="1"/>
  <c r="E5" i="2" s="1"/>
  <c r="K16" i="2" s="1"/>
  <c r="F14" i="1"/>
  <c r="K11" i="2" l="1"/>
  <c r="C12" i="2"/>
  <c r="K13" i="2"/>
  <c r="C11" i="2"/>
  <c r="K12" i="2"/>
  <c r="C13" i="2"/>
  <c r="K14" i="2"/>
  <c r="C14" i="2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K15" i="2"/>
  <c r="C16" i="2"/>
  <c r="C15" i="2"/>
  <c r="K17" i="2"/>
  <c r="B17" i="2"/>
  <c r="C17" i="2" s="1"/>
  <c r="C14" i="1"/>
  <c r="F12" i="2" l="1"/>
  <c r="B18" i="2"/>
  <c r="C18" i="2" s="1"/>
  <c r="K18" i="2"/>
  <c r="B14" i="1"/>
  <c r="F13" i="2" l="1"/>
  <c r="K19" i="2"/>
  <c r="B19" i="2"/>
  <c r="C19" i="2" s="1"/>
  <c r="D14" i="1"/>
  <c r="D19" i="1" s="1"/>
  <c r="F14" i="2" l="1"/>
  <c r="B20" i="2"/>
  <c r="C20" i="2" s="1"/>
  <c r="K21" i="2"/>
  <c r="K20" i="2"/>
  <c r="F15" i="2" l="1"/>
  <c r="B21" i="2"/>
  <c r="C21" i="2" s="1"/>
  <c r="F16" i="2" l="1"/>
  <c r="B22" i="2"/>
  <c r="C22" i="2" s="1"/>
  <c r="F17" i="2" l="1"/>
  <c r="B23" i="2"/>
  <c r="C23" i="2" s="1"/>
  <c r="F18" i="2" l="1"/>
  <c r="B24" i="2"/>
  <c r="C24" i="2" s="1"/>
  <c r="F19" i="2" l="1"/>
  <c r="B25" i="2"/>
  <c r="C25" i="2" s="1"/>
  <c r="F21" i="2" l="1"/>
  <c r="F20" i="2"/>
  <c r="B26" i="2"/>
  <c r="C26" i="2" s="1"/>
</calcChain>
</file>

<file path=xl/sharedStrings.xml><?xml version="1.0" encoding="utf-8"?>
<sst xmlns="http://schemas.openxmlformats.org/spreadsheetml/2006/main" count="45" uniqueCount="34">
  <si>
    <t>Total customer grants</t>
  </si>
  <si>
    <t>Average customer grant</t>
  </si>
  <si>
    <t>Total LIRAP Heat Grants</t>
  </si>
  <si>
    <t>Average LIRAP Heat Grant</t>
  </si>
  <si>
    <t>Total LIRAP expenditures</t>
  </si>
  <si>
    <t>Average cost per customer</t>
  </si>
  <si>
    <t>Adds $332,716 and 760 customers/year</t>
  </si>
  <si>
    <t>Cost per customer (10-yr avg grant + Non-Direct Services)</t>
  </si>
  <si>
    <t>(a)</t>
  </si>
  <si>
    <t>(b)</t>
  </si>
  <si>
    <t>(d)</t>
  </si>
  <si>
    <t xml:space="preserve">(e) </t>
  </si>
  <si>
    <t>(f)</t>
  </si>
  <si>
    <t>Historical Avista LIRAP expenditures and grants</t>
  </si>
  <si>
    <t>Program Year Beginning Sept. 1</t>
  </si>
  <si>
    <t>(c) = 
(a) / (b)</t>
  </si>
  <si>
    <t xml:space="preserve">Forecast of LIRAP expenditures and customer grants using multiple ramp rates </t>
  </si>
  <si>
    <t>10-year average grant amount</t>
  </si>
  <si>
    <t xml:space="preserve">(c) </t>
  </si>
  <si>
    <t>Total cost for 25,565 grants</t>
  </si>
  <si>
    <t>10-year ramp rate to reach 25,565 grants</t>
  </si>
  <si>
    <t>Staff proposed ramp rate</t>
  </si>
  <si>
    <t>Budget</t>
  </si>
  <si>
    <t>Historical growth rate, 14-year ramp rate to reach 25,565 grants</t>
  </si>
  <si>
    <t>Grants</t>
  </si>
  <si>
    <t>Program year beginning October 1</t>
  </si>
  <si>
    <t>Adds $476,106 and 1,086 customers/year</t>
  </si>
  <si>
    <t>2014*</t>
  </si>
  <si>
    <t>*2014 budget estimate from Avista Response to Staff Data Request 197.</t>
  </si>
  <si>
    <t>Adds $475,000 and 1,085 customers/year</t>
  </si>
  <si>
    <t>Non-Direct Services (Conservation Education + Administration &amp; Program Support)</t>
  </si>
  <si>
    <t>Exhibit No.___(JMW-2) page 1</t>
  </si>
  <si>
    <t>10-year average</t>
  </si>
  <si>
    <t>Exhibit No.___(JMW-2)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</si>
</sst>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3" xfId="0" applyNumberFormat="1" applyBorder="1"/>
    <xf numFmtId="166" fontId="0" fillId="0" borderId="3" xfId="0" applyNumberFormat="1" applyBorder="1"/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</a:t>
            </a:r>
            <a:r>
              <a:rPr lang="en-US" baseline="0"/>
              <a:t> 1. </a:t>
            </a:r>
            <a:r>
              <a:rPr lang="en-US"/>
              <a:t>LIRAP expenditures and grants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2383187532548"/>
          <c:y val="0.12342875260558944"/>
          <c:w val="0.79867608459358108"/>
          <c:h val="0.61592452405003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'Historical LIRAP trends'!$B$3</c:f>
              <c:strCache>
                <c:ptCount val="1"/>
                <c:pt idx="0">
                  <c:v>Total LIRAP expenditures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forward val="5"/>
            <c:dispRSqr val="0"/>
            <c:dispEq val="1"/>
            <c:trendlineLbl>
              <c:layout>
                <c:manualLayout>
                  <c:x val="5.102316851961225E-2"/>
                  <c:y val="0.15875681121710342"/>
                </c:manualLayout>
              </c:layout>
              <c:numFmt formatCode="&quot;$&quot;#,##0" sourceLinked="0"/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'Historical LIRAP trends'!$A$5:$A$18</c:f>
              <c:strCach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2014*</c:v>
                </c:pt>
              </c:strCache>
            </c:strRef>
          </c:cat>
          <c:val>
            <c:numRef>
              <c:f>'Historical LIRAP trends'!$B$5:$B$18</c:f>
              <c:numCache>
                <c:formatCode>"$"#,##0</c:formatCode>
                <c:ptCount val="14"/>
                <c:pt idx="0">
                  <c:v>2476529</c:v>
                </c:pt>
                <c:pt idx="1">
                  <c:v>2197150</c:v>
                </c:pt>
                <c:pt idx="2">
                  <c:v>2533916</c:v>
                </c:pt>
                <c:pt idx="3">
                  <c:v>3169051</c:v>
                </c:pt>
                <c:pt idx="4">
                  <c:v>3230665</c:v>
                </c:pt>
                <c:pt idx="5">
                  <c:v>4155463</c:v>
                </c:pt>
                <c:pt idx="6">
                  <c:v>3320239</c:v>
                </c:pt>
                <c:pt idx="7">
                  <c:v>2955033</c:v>
                </c:pt>
                <c:pt idx="8">
                  <c:v>5534638</c:v>
                </c:pt>
                <c:pt idx="9">
                  <c:v>4351409</c:v>
                </c:pt>
                <c:pt idx="10">
                  <c:v>5698838</c:v>
                </c:pt>
                <c:pt idx="11">
                  <c:v>6030999</c:v>
                </c:pt>
                <c:pt idx="12">
                  <c:v>5671179</c:v>
                </c:pt>
                <c:pt idx="13">
                  <c:v>6677549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468408"/>
        <c:axId val="265468016"/>
      </c:barChart>
      <c:lineChart>
        <c:grouping val="standard"/>
        <c:varyColors val="0"/>
        <c:ser>
          <c:idx val="1"/>
          <c:order val="1"/>
          <c:tx>
            <c:strRef>
              <c:f>'Historical LIRAP trends'!$C$3</c:f>
              <c:strCache>
                <c:ptCount val="1"/>
                <c:pt idx="0">
                  <c:v>Total customer grants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1"/>
            <c:trendlineLbl>
              <c:layout>
                <c:manualLayout>
                  <c:x val="-3.7683881993981566E-2"/>
                  <c:y val="-1.238419784530365E-2"/>
                </c:manualLayout>
              </c:layout>
              <c:numFmt formatCode="#,##0" sourceLinked="0"/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'Historical LIRAP trends'!$A$5:$A$17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'Historical LIRAP trends'!$C$5:$C$17</c:f>
              <c:numCache>
                <c:formatCode>General</c:formatCode>
                <c:ptCount val="13"/>
                <c:pt idx="0">
                  <c:v>8568</c:v>
                </c:pt>
                <c:pt idx="1">
                  <c:v>10864</c:v>
                </c:pt>
                <c:pt idx="2">
                  <c:v>6773</c:v>
                </c:pt>
                <c:pt idx="3">
                  <c:v>8592</c:v>
                </c:pt>
                <c:pt idx="4">
                  <c:v>6980</c:v>
                </c:pt>
                <c:pt idx="5">
                  <c:v>8549</c:v>
                </c:pt>
                <c:pt idx="6">
                  <c:v>6678</c:v>
                </c:pt>
                <c:pt idx="7">
                  <c:v>4571</c:v>
                </c:pt>
                <c:pt idx="8">
                  <c:v>10529</c:v>
                </c:pt>
                <c:pt idx="9">
                  <c:v>8288</c:v>
                </c:pt>
                <c:pt idx="10">
                  <c:v>12527</c:v>
                </c:pt>
                <c:pt idx="11">
                  <c:v>12680</c:v>
                </c:pt>
                <c:pt idx="12">
                  <c:v>12483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'Historical LIRAP trends'!$F$3</c:f>
              <c:strCache>
                <c:ptCount val="1"/>
                <c:pt idx="0">
                  <c:v>Total LIRAP Heat Grants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>
                    <a:lumMod val="75000"/>
                  </a:schemeClr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1"/>
            <c:trendlineLbl>
              <c:layout>
                <c:manualLayout>
                  <c:x val="-3.9903222762397807E-2"/>
                  <c:y val="0.11921211954463927"/>
                </c:manualLayout>
              </c:layout>
              <c:numFmt formatCode="#,##0" sourceLinked="0"/>
              <c:spPr>
                <a:noFill/>
                <a:ln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'Historical LIRAP trends'!$A$5:$A$17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'Historical LIRAP trends'!$F$5:$F$17</c:f>
              <c:numCache>
                <c:formatCode>General</c:formatCode>
                <c:ptCount val="13"/>
                <c:pt idx="0">
                  <c:v>1034</c:v>
                </c:pt>
                <c:pt idx="1">
                  <c:v>1532</c:v>
                </c:pt>
                <c:pt idx="2">
                  <c:v>3018</c:v>
                </c:pt>
                <c:pt idx="3">
                  <c:v>5169</c:v>
                </c:pt>
                <c:pt idx="4">
                  <c:v>4534</c:v>
                </c:pt>
                <c:pt idx="5">
                  <c:v>5453</c:v>
                </c:pt>
                <c:pt idx="6">
                  <c:v>3919</c:v>
                </c:pt>
                <c:pt idx="7">
                  <c:v>1214</c:v>
                </c:pt>
                <c:pt idx="8">
                  <c:v>6139</c:v>
                </c:pt>
                <c:pt idx="9">
                  <c:v>3856</c:v>
                </c:pt>
                <c:pt idx="10">
                  <c:v>6047</c:v>
                </c:pt>
                <c:pt idx="11">
                  <c:v>6258</c:v>
                </c:pt>
                <c:pt idx="12">
                  <c:v>5858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465272"/>
        <c:axId val="265461352"/>
      </c:lineChart>
      <c:catAx>
        <c:axId val="26546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468016"/>
        <c:crosses val="autoZero"/>
        <c:auto val="1"/>
        <c:lblAlgn val="ctr"/>
        <c:lblOffset val="100"/>
        <c:noMultiLvlLbl val="0"/>
      </c:catAx>
      <c:valAx>
        <c:axId val="26546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468408"/>
        <c:crosses val="autoZero"/>
        <c:crossBetween val="between"/>
      </c:valAx>
      <c:valAx>
        <c:axId val="26546135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465272"/>
        <c:crosses val="max"/>
        <c:crossBetween val="between"/>
      </c:valAx>
      <c:catAx>
        <c:axId val="26546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5461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60138</xdr:rowOff>
    </xdr:from>
    <xdr:to>
      <xdr:col>8</xdr:col>
      <xdr:colOff>406141</xdr:colOff>
      <xdr:row>39</xdr:row>
      <xdr:rowOff>88604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D23" sqref="D23"/>
    </sheetView>
  </sheetViews>
  <sheetFormatPr defaultRowHeight="15" x14ac:dyDescent="0.25"/>
  <cols>
    <col min="1" max="1" width="12.7109375" style="11" customWidth="1"/>
    <col min="2" max="2" width="10.85546875" customWidth="1"/>
    <col min="3" max="3" width="12" customWidth="1"/>
    <col min="4" max="4" width="5.140625" customWidth="1"/>
    <col min="5" max="5" width="11" style="11" customWidth="1"/>
    <col min="6" max="6" width="11.140625" bestFit="1" customWidth="1"/>
    <col min="7" max="7" width="12" customWidth="1"/>
    <col min="8" max="8" width="5" customWidth="1"/>
    <col min="9" max="9" width="9.140625" style="11"/>
    <col min="10" max="10" width="11.140625" bestFit="1" customWidth="1"/>
    <col min="11" max="11" width="10.140625" bestFit="1" customWidth="1"/>
    <col min="12" max="12" width="11.5703125" bestFit="1" customWidth="1"/>
  </cols>
  <sheetData>
    <row r="1" spans="1:14" x14ac:dyDescent="0.25">
      <c r="A1" s="30" t="s">
        <v>16</v>
      </c>
      <c r="B1" s="30"/>
      <c r="C1" s="30"/>
      <c r="D1" s="30"/>
      <c r="E1" s="30"/>
      <c r="F1" s="30"/>
      <c r="G1" s="30"/>
    </row>
    <row r="2" spans="1:14" ht="6.75" customHeight="1" x14ac:dyDescent="0.25"/>
    <row r="3" spans="1:14" x14ac:dyDescent="0.25">
      <c r="A3" s="19" t="s">
        <v>17</v>
      </c>
      <c r="B3" s="19"/>
      <c r="C3" s="19"/>
      <c r="D3" s="19"/>
      <c r="E3" s="15">
        <f>'Historical LIRAP trends'!E19</f>
        <v>362.76848455598457</v>
      </c>
    </row>
    <row r="4" spans="1:14" ht="30.75" customHeight="1" x14ac:dyDescent="0.25">
      <c r="A4" s="19" t="s">
        <v>30</v>
      </c>
      <c r="B4" s="19"/>
      <c r="C4" s="19"/>
      <c r="D4" s="19"/>
      <c r="E4" s="16">
        <v>0.20699999999999999</v>
      </c>
    </row>
    <row r="5" spans="1:14" ht="28.5" customHeight="1" x14ac:dyDescent="0.25">
      <c r="A5" s="19" t="s">
        <v>7</v>
      </c>
      <c r="B5" s="19"/>
      <c r="C5" s="19"/>
      <c r="D5" s="19"/>
      <c r="E5" s="15">
        <f>E3+(E3*E4)</f>
        <v>437.86156085907339</v>
      </c>
    </row>
    <row r="6" spans="1:14" ht="17.25" customHeight="1" x14ac:dyDescent="0.25">
      <c r="A6" s="19" t="s">
        <v>19</v>
      </c>
      <c r="B6" s="19"/>
      <c r="C6" s="19"/>
      <c r="D6" s="19"/>
      <c r="E6" s="17">
        <f>25565*438</f>
        <v>11197470</v>
      </c>
    </row>
    <row r="8" spans="1:14" ht="30" customHeight="1" x14ac:dyDescent="0.25">
      <c r="A8" s="18" t="s">
        <v>23</v>
      </c>
      <c r="B8" s="18"/>
      <c r="C8" s="18"/>
      <c r="E8" s="18" t="s">
        <v>20</v>
      </c>
      <c r="F8" s="18"/>
      <c r="G8" s="18"/>
      <c r="I8" s="18" t="s">
        <v>21</v>
      </c>
      <c r="J8" s="18"/>
      <c r="K8" s="18"/>
    </row>
    <row r="9" spans="1:14" s="11" customFormat="1" x14ac:dyDescent="0.25">
      <c r="B9" s="11" t="s">
        <v>8</v>
      </c>
      <c r="C9" s="11" t="s">
        <v>9</v>
      </c>
      <c r="F9" s="11" t="s">
        <v>18</v>
      </c>
      <c r="G9" s="11" t="s">
        <v>10</v>
      </c>
      <c r="J9" s="11" t="s">
        <v>11</v>
      </c>
      <c r="K9" s="11" t="s">
        <v>12</v>
      </c>
    </row>
    <row r="10" spans="1:14" s="10" customFormat="1" ht="45" x14ac:dyDescent="0.25">
      <c r="A10" s="14" t="s">
        <v>25</v>
      </c>
      <c r="B10" s="14" t="s">
        <v>22</v>
      </c>
      <c r="C10" s="14" t="s">
        <v>24</v>
      </c>
      <c r="E10" s="14"/>
      <c r="F10" s="14" t="s">
        <v>22</v>
      </c>
      <c r="G10" s="14" t="s">
        <v>24</v>
      </c>
      <c r="I10" s="14"/>
      <c r="J10" s="14" t="s">
        <v>22</v>
      </c>
      <c r="K10" s="14" t="s">
        <v>24</v>
      </c>
    </row>
    <row r="11" spans="1:14" s="6" customFormat="1" x14ac:dyDescent="0.25">
      <c r="A11" s="13" t="s">
        <v>27</v>
      </c>
      <c r="B11" s="7">
        <f>6437204</f>
        <v>6437204</v>
      </c>
      <c r="C11" s="8">
        <f>B11/E5</f>
        <v>14701.459491832002</v>
      </c>
      <c r="E11" s="13">
        <v>2014</v>
      </c>
      <c r="F11" s="7">
        <f>B11</f>
        <v>6437204</v>
      </c>
      <c r="G11" s="8">
        <f>F11/E5</f>
        <v>14701.459491832002</v>
      </c>
      <c r="H11" s="9"/>
      <c r="I11" s="13">
        <v>2014</v>
      </c>
      <c r="J11" s="7">
        <v>6437204</v>
      </c>
      <c r="K11" s="8">
        <f>J11/E5</f>
        <v>14701.459491832002</v>
      </c>
      <c r="L11" s="8"/>
      <c r="N11" s="7"/>
    </row>
    <row r="12" spans="1:14" x14ac:dyDescent="0.25">
      <c r="A12" s="11">
        <v>2015</v>
      </c>
      <c r="B12" s="1">
        <f>B11+332716</f>
        <v>6769920</v>
      </c>
      <c r="C12" s="5">
        <f>B12/E5</f>
        <v>15461.325234207787</v>
      </c>
      <c r="D12" s="3"/>
      <c r="E12" s="11">
        <v>2015</v>
      </c>
      <c r="F12" s="1">
        <f>G12*438</f>
        <v>6915345.2574224165</v>
      </c>
      <c r="G12" s="5">
        <f t="shared" ref="G12:G21" si="0">G11+1087</f>
        <v>15788.459491832002</v>
      </c>
      <c r="H12" s="1"/>
      <c r="I12" s="11">
        <v>2015</v>
      </c>
      <c r="J12" s="1">
        <f t="shared" ref="J12:J21" si="1">J11+475000</f>
        <v>6912204</v>
      </c>
      <c r="K12" s="5">
        <f>J12/E5</f>
        <v>15786.277257218992</v>
      </c>
      <c r="L12" s="5"/>
      <c r="M12" s="5"/>
      <c r="N12" s="1"/>
    </row>
    <row r="13" spans="1:14" x14ac:dyDescent="0.25">
      <c r="A13" s="11">
        <v>2016</v>
      </c>
      <c r="B13" s="1">
        <f>B12+332716</f>
        <v>7102636</v>
      </c>
      <c r="C13" s="5">
        <f>B13/E5</f>
        <v>16221.190976583572</v>
      </c>
      <c r="D13" s="3"/>
      <c r="E13" s="11">
        <v>2016</v>
      </c>
      <c r="F13" s="1">
        <f>G13*438</f>
        <v>7391451.2574224155</v>
      </c>
      <c r="G13" s="5">
        <f t="shared" si="0"/>
        <v>16875.459491832</v>
      </c>
      <c r="I13" s="11">
        <v>2016</v>
      </c>
      <c r="J13" s="1">
        <f t="shared" si="1"/>
        <v>7387204</v>
      </c>
      <c r="K13" s="5">
        <f>J13/E5</f>
        <v>16871.095022605983</v>
      </c>
      <c r="N13" s="1"/>
    </row>
    <row r="14" spans="1:14" x14ac:dyDescent="0.25">
      <c r="A14" s="11">
        <v>2017</v>
      </c>
      <c r="B14" s="1">
        <f t="shared" ref="B14:B26" si="2">B13+332716</f>
        <v>7435352</v>
      </c>
      <c r="C14" s="5">
        <f>B14/E5</f>
        <v>16981.056718959357</v>
      </c>
      <c r="E14" s="11">
        <v>2017</v>
      </c>
      <c r="F14" s="1">
        <f t="shared" ref="F14:F21" si="3">G14*438</f>
        <v>7867557.2574224155</v>
      </c>
      <c r="G14" s="5">
        <f t="shared" si="0"/>
        <v>17962.459491832</v>
      </c>
      <c r="I14" s="11">
        <v>2017</v>
      </c>
      <c r="J14" s="1">
        <f t="shared" si="1"/>
        <v>7862204</v>
      </c>
      <c r="K14" s="5">
        <f>J14/E5</f>
        <v>17955.912787992973</v>
      </c>
      <c r="N14" s="1"/>
    </row>
    <row r="15" spans="1:14" x14ac:dyDescent="0.25">
      <c r="A15" s="11">
        <v>2018</v>
      </c>
      <c r="B15" s="1">
        <f t="shared" si="2"/>
        <v>7768068</v>
      </c>
      <c r="C15" s="5">
        <f>B15/E5</f>
        <v>17740.922461335143</v>
      </c>
      <c r="E15" s="11">
        <v>2018</v>
      </c>
      <c r="F15" s="1">
        <f t="shared" si="3"/>
        <v>8343663.2574224155</v>
      </c>
      <c r="G15" s="5">
        <f t="shared" si="0"/>
        <v>19049.459491832</v>
      </c>
      <c r="I15" s="11">
        <v>2018</v>
      </c>
      <c r="J15" s="1">
        <f t="shared" si="1"/>
        <v>8337204</v>
      </c>
      <c r="K15" s="5">
        <f>J15/E5</f>
        <v>19040.730553379966</v>
      </c>
    </row>
    <row r="16" spans="1:14" x14ac:dyDescent="0.25">
      <c r="A16" s="11">
        <v>2019</v>
      </c>
      <c r="B16" s="1">
        <f t="shared" si="2"/>
        <v>8100784</v>
      </c>
      <c r="C16" s="5">
        <f>B16/E5</f>
        <v>18500.78820371093</v>
      </c>
      <c r="E16" s="11">
        <v>2019</v>
      </c>
      <c r="F16" s="1">
        <f t="shared" si="3"/>
        <v>8819769.2574224155</v>
      </c>
      <c r="G16" s="5">
        <f t="shared" si="0"/>
        <v>20136.459491832</v>
      </c>
      <c r="I16" s="11">
        <v>2019</v>
      </c>
      <c r="J16" s="1">
        <f t="shared" si="1"/>
        <v>8812204</v>
      </c>
      <c r="K16" s="5">
        <f>J16/E5</f>
        <v>20125.548318766956</v>
      </c>
    </row>
    <row r="17" spans="1:11" x14ac:dyDescent="0.25">
      <c r="A17" s="11">
        <v>2020</v>
      </c>
      <c r="B17" s="1">
        <f t="shared" si="2"/>
        <v>8433500</v>
      </c>
      <c r="C17" s="5">
        <f>B17/E5</f>
        <v>19260.653946086713</v>
      </c>
      <c r="E17" s="11">
        <v>2020</v>
      </c>
      <c r="F17" s="1">
        <f t="shared" si="3"/>
        <v>9295875.2574224155</v>
      </c>
      <c r="G17" s="5">
        <f t="shared" si="0"/>
        <v>21223.459491832</v>
      </c>
      <c r="I17" s="11">
        <v>2020</v>
      </c>
      <c r="J17" s="1">
        <f t="shared" si="1"/>
        <v>9287204</v>
      </c>
      <c r="K17" s="5">
        <f>J17/E5</f>
        <v>21210.366084153949</v>
      </c>
    </row>
    <row r="18" spans="1:11" x14ac:dyDescent="0.25">
      <c r="A18" s="11">
        <v>2021</v>
      </c>
      <c r="B18" s="1">
        <f t="shared" si="2"/>
        <v>8766216</v>
      </c>
      <c r="C18" s="5">
        <f>B18/E5</f>
        <v>20020.5196884625</v>
      </c>
      <c r="E18" s="11">
        <v>2021</v>
      </c>
      <c r="F18" s="1">
        <f t="shared" si="3"/>
        <v>9771981.2574224155</v>
      </c>
      <c r="G18" s="5">
        <f t="shared" si="0"/>
        <v>22310.459491832</v>
      </c>
      <c r="I18" s="11">
        <v>2021</v>
      </c>
      <c r="J18" s="1">
        <f t="shared" si="1"/>
        <v>9762204</v>
      </c>
      <c r="K18" s="5">
        <f>J18/E5</f>
        <v>22295.183849540939</v>
      </c>
    </row>
    <row r="19" spans="1:11" x14ac:dyDescent="0.25">
      <c r="A19" s="11">
        <v>2022</v>
      </c>
      <c r="B19" s="1">
        <f t="shared" si="2"/>
        <v>9098932</v>
      </c>
      <c r="C19" s="5">
        <f>B19/E5</f>
        <v>20780.385430838287</v>
      </c>
      <c r="E19" s="11">
        <v>2022</v>
      </c>
      <c r="F19" s="1">
        <f t="shared" si="3"/>
        <v>10248087.257422416</v>
      </c>
      <c r="G19" s="5">
        <f t="shared" si="0"/>
        <v>23397.459491832</v>
      </c>
      <c r="I19" s="11">
        <v>2022</v>
      </c>
      <c r="J19" s="1">
        <f t="shared" si="1"/>
        <v>10237204</v>
      </c>
      <c r="K19" s="5">
        <f>J19/E5</f>
        <v>23380.001614927929</v>
      </c>
    </row>
    <row r="20" spans="1:11" x14ac:dyDescent="0.25">
      <c r="A20" s="11">
        <v>2023</v>
      </c>
      <c r="B20" s="1">
        <f t="shared" si="2"/>
        <v>9431648</v>
      </c>
      <c r="C20" s="5">
        <f>B20/E5</f>
        <v>21540.25117321407</v>
      </c>
      <c r="E20" s="11">
        <v>2023</v>
      </c>
      <c r="F20" s="1">
        <f t="shared" si="3"/>
        <v>10724193.257422416</v>
      </c>
      <c r="G20" s="5">
        <f t="shared" si="0"/>
        <v>24484.459491832</v>
      </c>
      <c r="I20" s="11">
        <v>2023</v>
      </c>
      <c r="J20" s="1">
        <f t="shared" si="1"/>
        <v>10712204</v>
      </c>
      <c r="K20" s="5">
        <f>J20/E5</f>
        <v>24464.819380314922</v>
      </c>
    </row>
    <row r="21" spans="1:11" x14ac:dyDescent="0.25">
      <c r="A21" s="11">
        <v>2024</v>
      </c>
      <c r="B21" s="1">
        <f t="shared" si="2"/>
        <v>9764364</v>
      </c>
      <c r="C21" s="5">
        <f>B21/E5</f>
        <v>22300.116915589857</v>
      </c>
      <c r="E21" s="11">
        <v>2024</v>
      </c>
      <c r="F21" s="1">
        <f t="shared" si="3"/>
        <v>11200299.257422416</v>
      </c>
      <c r="G21" s="5">
        <f t="shared" si="0"/>
        <v>25571.459491832</v>
      </c>
      <c r="I21" s="11">
        <v>2024</v>
      </c>
      <c r="J21" s="1">
        <f t="shared" si="1"/>
        <v>11187204</v>
      </c>
      <c r="K21" s="5">
        <f>J21/E5</f>
        <v>25549.637145701912</v>
      </c>
    </row>
    <row r="22" spans="1:11" x14ac:dyDescent="0.25">
      <c r="A22" s="11">
        <v>2025</v>
      </c>
      <c r="B22" s="1">
        <f t="shared" si="2"/>
        <v>10097080</v>
      </c>
      <c r="C22" s="5">
        <f>B22/E5</f>
        <v>23059.982657965644</v>
      </c>
    </row>
    <row r="23" spans="1:11" x14ac:dyDescent="0.25">
      <c r="A23" s="11">
        <v>2026</v>
      </c>
      <c r="B23" s="1">
        <f t="shared" si="2"/>
        <v>10429796</v>
      </c>
      <c r="C23" s="5">
        <f>B23/E5</f>
        <v>23819.848400341427</v>
      </c>
    </row>
    <row r="24" spans="1:11" x14ac:dyDescent="0.25">
      <c r="A24" s="11">
        <v>2027</v>
      </c>
      <c r="B24" s="1">
        <f t="shared" si="2"/>
        <v>10762512</v>
      </c>
      <c r="C24" s="5">
        <f>B24/E5</f>
        <v>24579.714142717214</v>
      </c>
    </row>
    <row r="25" spans="1:11" x14ac:dyDescent="0.25">
      <c r="A25" s="11">
        <v>2028</v>
      </c>
      <c r="B25" s="1">
        <f t="shared" si="2"/>
        <v>11095228</v>
      </c>
      <c r="C25" s="5">
        <f>B25/E5</f>
        <v>25339.579885092997</v>
      </c>
    </row>
    <row r="26" spans="1:11" x14ac:dyDescent="0.25">
      <c r="A26" s="11">
        <v>2029</v>
      </c>
      <c r="B26" s="1">
        <f t="shared" si="2"/>
        <v>11427944</v>
      </c>
      <c r="C26" s="5">
        <f>B26/E5</f>
        <v>26099.445627468784</v>
      </c>
    </row>
    <row r="27" spans="1:11" x14ac:dyDescent="0.25">
      <c r="C27" s="4"/>
      <c r="F27" s="3"/>
    </row>
    <row r="28" spans="1:11" x14ac:dyDescent="0.25">
      <c r="A28" s="12" t="s">
        <v>6</v>
      </c>
      <c r="E28" s="12" t="s">
        <v>26</v>
      </c>
      <c r="I28" t="s">
        <v>29</v>
      </c>
    </row>
    <row r="29" spans="1:11" x14ac:dyDescent="0.25">
      <c r="A29" s="12" t="s">
        <v>28</v>
      </c>
    </row>
    <row r="30" spans="1:11" x14ac:dyDescent="0.25">
      <c r="B30" s="4"/>
      <c r="J30" s="20" t="s">
        <v>31</v>
      </c>
    </row>
  </sheetData>
  <mergeCells count="8">
    <mergeCell ref="A1:G1"/>
    <mergeCell ref="A8:C8"/>
    <mergeCell ref="E8:G8"/>
    <mergeCell ref="I8:K8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86" zoomScaleNormal="86" workbookViewId="0">
      <selection activeCell="C18" sqref="C18"/>
    </sheetView>
  </sheetViews>
  <sheetFormatPr defaultRowHeight="15" x14ac:dyDescent="0.25"/>
  <cols>
    <col min="1" max="1" width="9.5703125" customWidth="1"/>
    <col min="2" max="2" width="12.28515625" customWidth="1"/>
    <col min="3" max="3" width="9.85546875" customWidth="1"/>
    <col min="4" max="5" width="9.5703125" bestFit="1" customWidth="1"/>
  </cols>
  <sheetData>
    <row r="1" spans="1:8" s="2" customFormat="1" x14ac:dyDescent="0.25">
      <c r="A1" s="27" t="s">
        <v>13</v>
      </c>
      <c r="B1" s="27"/>
      <c r="C1" s="27"/>
      <c r="D1" s="27"/>
      <c r="E1" s="27"/>
      <c r="F1" s="27"/>
      <c r="G1" s="27"/>
      <c r="H1" s="21"/>
    </row>
    <row r="2" spans="1:8" s="2" customFormat="1" x14ac:dyDescent="0.25">
      <c r="A2" s="23"/>
      <c r="B2" s="23"/>
      <c r="C2" s="23"/>
      <c r="D2" s="23"/>
      <c r="E2" s="23"/>
      <c r="F2" s="23"/>
      <c r="G2" s="23"/>
      <c r="H2" s="21"/>
    </row>
    <row r="3" spans="1:8" s="2" customFormat="1" ht="34.5" x14ac:dyDescent="0.25">
      <c r="A3" s="28" t="s">
        <v>14</v>
      </c>
      <c r="B3" s="28" t="s">
        <v>4</v>
      </c>
      <c r="C3" s="28" t="s">
        <v>0</v>
      </c>
      <c r="D3" s="28" t="s">
        <v>5</v>
      </c>
      <c r="E3" s="28" t="s">
        <v>1</v>
      </c>
      <c r="F3" s="28" t="s">
        <v>2</v>
      </c>
      <c r="G3" s="28" t="s">
        <v>3</v>
      </c>
      <c r="H3" s="21"/>
    </row>
    <row r="4" spans="1:8" s="10" customFormat="1" ht="23.25" x14ac:dyDescent="0.25">
      <c r="A4" s="22"/>
      <c r="B4" s="22" t="s">
        <v>8</v>
      </c>
      <c r="C4" s="22" t="s">
        <v>9</v>
      </c>
      <c r="D4" s="22" t="s">
        <v>15</v>
      </c>
      <c r="E4" s="22" t="s">
        <v>10</v>
      </c>
      <c r="F4" s="22" t="s">
        <v>11</v>
      </c>
      <c r="G4" s="22" t="s">
        <v>12</v>
      </c>
      <c r="H4" s="23"/>
    </row>
    <row r="5" spans="1:8" x14ac:dyDescent="0.25">
      <c r="A5" s="29">
        <v>2001</v>
      </c>
      <c r="B5" s="25">
        <v>2476529</v>
      </c>
      <c r="C5" s="24">
        <v>8568</v>
      </c>
      <c r="D5" s="25">
        <f t="shared" ref="D5:D17" si="0">B5/C5</f>
        <v>289.0440009337068</v>
      </c>
      <c r="E5" s="25">
        <v>207</v>
      </c>
      <c r="F5" s="24">
        <v>1034</v>
      </c>
      <c r="G5" s="25">
        <v>481</v>
      </c>
      <c r="H5" s="24"/>
    </row>
    <row r="6" spans="1:8" x14ac:dyDescent="0.25">
      <c r="A6" s="29">
        <v>2002</v>
      </c>
      <c r="B6" s="25">
        <v>2197150</v>
      </c>
      <c r="C6" s="24">
        <v>10864</v>
      </c>
      <c r="D6" s="25">
        <f t="shared" si="0"/>
        <v>202.24134756995582</v>
      </c>
      <c r="E6" s="25">
        <v>176</v>
      </c>
      <c r="F6" s="24">
        <v>1532</v>
      </c>
      <c r="G6" s="25">
        <v>478</v>
      </c>
      <c r="H6" s="24"/>
    </row>
    <row r="7" spans="1:8" x14ac:dyDescent="0.25">
      <c r="A7" s="29">
        <v>2003</v>
      </c>
      <c r="B7" s="25">
        <v>2533916</v>
      </c>
      <c r="C7" s="24">
        <v>6773</v>
      </c>
      <c r="D7" s="25">
        <f t="shared" si="0"/>
        <v>374.12018307987597</v>
      </c>
      <c r="E7" s="25">
        <v>301</v>
      </c>
      <c r="F7" s="24">
        <v>3018</v>
      </c>
      <c r="G7" s="25">
        <v>453</v>
      </c>
      <c r="H7" s="24"/>
    </row>
    <row r="8" spans="1:8" x14ac:dyDescent="0.25">
      <c r="A8" s="29">
        <v>2004</v>
      </c>
      <c r="B8" s="25">
        <v>3169051</v>
      </c>
      <c r="C8" s="24">
        <v>8592</v>
      </c>
      <c r="D8" s="25">
        <f t="shared" si="0"/>
        <v>368.83740689013035</v>
      </c>
      <c r="E8" s="25">
        <v>334</v>
      </c>
      <c r="F8" s="24">
        <v>5169</v>
      </c>
      <c r="G8" s="25">
        <v>421</v>
      </c>
      <c r="H8" s="24"/>
    </row>
    <row r="9" spans="1:8" x14ac:dyDescent="0.25">
      <c r="A9" s="29">
        <v>2005</v>
      </c>
      <c r="B9" s="25">
        <v>3230665</v>
      </c>
      <c r="C9" s="24">
        <v>6980</v>
      </c>
      <c r="D9" s="25">
        <f t="shared" si="0"/>
        <v>462.84598853868192</v>
      </c>
      <c r="E9" s="25">
        <v>354</v>
      </c>
      <c r="F9" s="24">
        <v>4534</v>
      </c>
      <c r="G9" s="25">
        <v>410</v>
      </c>
      <c r="H9" s="24"/>
    </row>
    <row r="10" spans="1:8" x14ac:dyDescent="0.25">
      <c r="A10" s="29">
        <v>2006</v>
      </c>
      <c r="B10" s="25">
        <v>4155463</v>
      </c>
      <c r="C10" s="24">
        <v>8549</v>
      </c>
      <c r="D10" s="25">
        <f t="shared" si="0"/>
        <v>486.07591531173239</v>
      </c>
      <c r="E10" s="25">
        <v>400</v>
      </c>
      <c r="F10" s="24">
        <v>5453</v>
      </c>
      <c r="G10" s="25">
        <v>480</v>
      </c>
      <c r="H10" s="24"/>
    </row>
    <row r="11" spans="1:8" x14ac:dyDescent="0.25">
      <c r="A11" s="29">
        <v>2007</v>
      </c>
      <c r="B11" s="25">
        <v>3320239</v>
      </c>
      <c r="C11" s="24">
        <v>6678</v>
      </c>
      <c r="D11" s="25">
        <f t="shared" si="0"/>
        <v>497.19062593590894</v>
      </c>
      <c r="E11" s="25">
        <v>395</v>
      </c>
      <c r="F11" s="24">
        <v>3919</v>
      </c>
      <c r="G11" s="25">
        <v>493</v>
      </c>
      <c r="H11" s="24"/>
    </row>
    <row r="12" spans="1:8" x14ac:dyDescent="0.25">
      <c r="A12" s="29">
        <v>2008</v>
      </c>
      <c r="B12" s="25">
        <v>2955033</v>
      </c>
      <c r="C12" s="24">
        <v>4571</v>
      </c>
      <c r="D12" s="25">
        <f t="shared" si="0"/>
        <v>646.47407569459642</v>
      </c>
      <c r="E12" s="25">
        <v>336</v>
      </c>
      <c r="F12" s="24">
        <v>1214</v>
      </c>
      <c r="G12" s="25">
        <v>555</v>
      </c>
      <c r="H12" s="24"/>
    </row>
    <row r="13" spans="1:8" x14ac:dyDescent="0.25">
      <c r="A13" s="29">
        <v>2009</v>
      </c>
      <c r="B13" s="25">
        <v>5534638</v>
      </c>
      <c r="C13" s="24">
        <v>10529</v>
      </c>
      <c r="D13" s="25">
        <f t="shared" si="0"/>
        <v>525.65656757526835</v>
      </c>
      <c r="E13" s="25">
        <v>428</v>
      </c>
      <c r="F13" s="24">
        <v>6139</v>
      </c>
      <c r="G13" s="25">
        <v>555</v>
      </c>
      <c r="H13" s="24"/>
    </row>
    <row r="14" spans="1:8" x14ac:dyDescent="0.25">
      <c r="A14" s="29">
        <v>2010</v>
      </c>
      <c r="B14" s="25">
        <f>3683166+668243</f>
        <v>4351409</v>
      </c>
      <c r="C14" s="24">
        <f>7543+745</f>
        <v>8288</v>
      </c>
      <c r="D14" s="25">
        <f t="shared" si="0"/>
        <v>525.02521718146716</v>
      </c>
      <c r="E14" s="25">
        <f>(196859+2610161)/(7543+745)</f>
        <v>338.68484555984554</v>
      </c>
      <c r="F14" s="24">
        <f>3784+72</f>
        <v>3856</v>
      </c>
      <c r="G14" s="25">
        <f>(1716922+27660)/(3784+72)</f>
        <v>452.43309128630705</v>
      </c>
      <c r="H14" s="24"/>
    </row>
    <row r="15" spans="1:8" x14ac:dyDescent="0.25">
      <c r="A15" s="29">
        <v>2011</v>
      </c>
      <c r="B15" s="25">
        <v>5698838</v>
      </c>
      <c r="C15" s="24">
        <v>12527</v>
      </c>
      <c r="D15" s="25">
        <f t="shared" si="0"/>
        <v>454.92440328889597</v>
      </c>
      <c r="E15" s="25">
        <v>356</v>
      </c>
      <c r="F15" s="24">
        <v>6047</v>
      </c>
      <c r="G15" s="25">
        <v>482</v>
      </c>
      <c r="H15" s="24"/>
    </row>
    <row r="16" spans="1:8" x14ac:dyDescent="0.25">
      <c r="A16" s="29">
        <v>2012</v>
      </c>
      <c r="B16" s="25">
        <v>6030999</v>
      </c>
      <c r="C16" s="24">
        <v>12680</v>
      </c>
      <c r="D16" s="25">
        <f t="shared" si="0"/>
        <v>475.63083596214511</v>
      </c>
      <c r="E16" s="25">
        <v>343</v>
      </c>
      <c r="F16" s="24">
        <v>6258</v>
      </c>
      <c r="G16" s="25">
        <v>461</v>
      </c>
      <c r="H16" s="24"/>
    </row>
    <row r="17" spans="1:8" x14ac:dyDescent="0.25">
      <c r="A17" s="29">
        <v>2013</v>
      </c>
      <c r="B17" s="25">
        <v>5671179</v>
      </c>
      <c r="C17" s="24">
        <v>12483</v>
      </c>
      <c r="D17" s="25">
        <f t="shared" si="0"/>
        <v>454.31218457101659</v>
      </c>
      <c r="E17" s="25">
        <v>343</v>
      </c>
      <c r="F17" s="24">
        <v>5858</v>
      </c>
      <c r="G17" s="25">
        <v>459</v>
      </c>
      <c r="H17" s="24"/>
    </row>
    <row r="18" spans="1:8" x14ac:dyDescent="0.25">
      <c r="A18" s="29" t="s">
        <v>27</v>
      </c>
      <c r="B18" s="25">
        <f>4398818+2278731</f>
        <v>6677549</v>
      </c>
      <c r="C18" s="24"/>
      <c r="D18" s="25"/>
      <c r="E18" s="25"/>
      <c r="F18" s="24"/>
      <c r="G18" s="25"/>
      <c r="H18" s="24"/>
    </row>
    <row r="19" spans="1:8" ht="23.25" x14ac:dyDescent="0.25">
      <c r="A19" s="23" t="s">
        <v>32</v>
      </c>
      <c r="B19" s="24"/>
      <c r="C19" s="24"/>
      <c r="D19" s="25">
        <f>AVERAGE(D8:D17)</f>
        <v>489.69732209498426</v>
      </c>
      <c r="E19" s="25">
        <f>AVERAGE(E8:E17)</f>
        <v>362.76848455598457</v>
      </c>
      <c r="F19" s="24"/>
      <c r="G19" s="25">
        <f>AVERAGE(G8:G17)</f>
        <v>476.84330912863072</v>
      </c>
      <c r="H19" s="24"/>
    </row>
    <row r="20" spans="1:8" x14ac:dyDescent="0.25">
      <c r="A20" s="24"/>
      <c r="B20" s="24"/>
      <c r="C20" s="24"/>
      <c r="D20" s="25"/>
      <c r="E20" s="25"/>
      <c r="F20" s="24"/>
      <c r="G20" s="25"/>
      <c r="H20" s="24"/>
    </row>
    <row r="21" spans="1:8" ht="13.5" customHeight="1" x14ac:dyDescent="0.25">
      <c r="A21" s="26" t="s">
        <v>28</v>
      </c>
      <c r="B21" s="26"/>
      <c r="C21" s="26"/>
      <c r="D21" s="26"/>
      <c r="E21" s="26"/>
      <c r="F21" s="26"/>
      <c r="G21" s="26"/>
      <c r="H21" s="26"/>
    </row>
    <row r="22" spans="1:8" x14ac:dyDescent="0.25">
      <c r="B22" s="1"/>
    </row>
    <row r="42" spans="7:7" x14ac:dyDescent="0.25">
      <c r="G42" s="20" t="s">
        <v>33</v>
      </c>
    </row>
  </sheetData>
  <mergeCells count="2">
    <mergeCell ref="A1:G1"/>
    <mergeCell ref="A21:H2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E9E7D-75BB-4E61-9AC3-D2C4A407A297}"/>
</file>

<file path=customXml/itemProps2.xml><?xml version="1.0" encoding="utf-8"?>
<ds:datastoreItem xmlns:ds="http://schemas.openxmlformats.org/officeDocument/2006/customXml" ds:itemID="{075A11B2-0339-4109-B8D6-1944A53C66E8}"/>
</file>

<file path=customXml/itemProps3.xml><?xml version="1.0" encoding="utf-8"?>
<ds:datastoreItem xmlns:ds="http://schemas.openxmlformats.org/officeDocument/2006/customXml" ds:itemID="{44536F9F-21A0-4D2A-A80A-AF829C408FDB}"/>
</file>

<file path=customXml/itemProps4.xml><?xml version="1.0" encoding="utf-8"?>
<ds:datastoreItem xmlns:ds="http://schemas.openxmlformats.org/officeDocument/2006/customXml" ds:itemID="{93FD72D2-C9B5-4BB4-9599-F5EA02BF9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LIRAP Forecast</vt:lpstr>
      <vt:lpstr>Historical LIRAP trends</vt:lpstr>
      <vt:lpstr>'Historical LIRAP trends'!Print_Area</vt:lpstr>
      <vt:lpstr>'LIRAP Forecast'!Print_Area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Juliana Williams</dc:creator>
  <dc:description/>
  <cp:lastModifiedBy>Juliana Williams</cp:lastModifiedBy>
  <cp:lastPrinted>2015-07-22T17:32:13Z</cp:lastPrinted>
  <dcterms:created xsi:type="dcterms:W3CDTF">2015-06-03T21:13:04Z</dcterms:created>
  <dcterms:modified xsi:type="dcterms:W3CDTF">2015-07-22T18:08:19Z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