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charts/colors1.xml" ContentType="application/vnd.ms-office.chartcolorstyl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F540A216-5ACF-46BD-9913-25C7D74E040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 6" sheetId="24" r:id="rId1"/>
    <sheet name="FC North Economics" sheetId="26" r:id="rId2"/>
    <sheet name="FC North" sheetId="27" r:id="rId3"/>
    <sheet name="Change in System Costs" sheetId="25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1">'FC North Economics'!$A$1:$AL$96</definedName>
    <definedName name="_xlnm.Print_Titles" localSheetId="1">'FC North Economics'!$C:$E,'FC North Economics'!$1:$1</definedName>
    <definedName name="Prod_Tax_Credit">#REF!</definedName>
    <definedName name="PROJECT_BY_PROJECT_COSTS" localSheetId="3">[1]Main!$I$13</definedName>
    <definedName name="PROJECT_BY_PROJECT_COSTS">[2]Main!$I$13</definedName>
    <definedName name="REPOWER_COSTS" localSheetId="3">[1]Main!$I$12</definedName>
    <definedName name="REPOWER_COSTS">[2]Main!$I$12</definedName>
    <definedName name="SOLAR_CASE_NUM" localSheetId="3">[1]Main!$N$11</definedName>
    <definedName name="SOLAR_CASE_NUM">[2]Main!$N$11</definedName>
    <definedName name="SOLAR_COSTS" localSheetId="3">[1]Main!$I$11</definedName>
    <definedName name="SOLAR_COSTS">[2]Main!$I$11</definedName>
    <definedName name="Tax_Rate" localSheetId="3">'[3]Multipliers Input'!$Y$4</definedName>
    <definedName name="Tax_Rate">#REF!</definedName>
    <definedName name="TRANS_COSTS" localSheetId="3">[1]Main!$I$9</definedName>
    <definedName name="TRANS_COSTS">[2]Main!$I$9</definedName>
    <definedName name="WIND_CASE_NUM" localSheetId="3">[1]Main!$N$10</definedName>
    <definedName name="WIND_CASE_NUM">[2]Main!$N$10</definedName>
    <definedName name="WIND_COSTS" localSheetId="3">[1]Main!$I$10</definedName>
    <definedName name="WIND_COSTS">[2]Main!$I$10</definedName>
    <definedName name="xdfv">[4]Main!$I$13</definedName>
    <definedName name="yyy">[4]Main!$I$12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00" i="26" l="1"/>
  <c r="C6" i="24"/>
  <c r="C20" i="24" s="1"/>
  <c r="D20" i="24"/>
  <c r="H98" i="26"/>
  <c r="D20" i="25"/>
  <c r="D19" i="25"/>
  <c r="D18" i="25"/>
  <c r="D6" i="25"/>
  <c r="D5" i="25"/>
  <c r="D4" i="25"/>
  <c r="B139" i="26" l="1"/>
  <c r="C137" i="26"/>
  <c r="C136" i="26"/>
  <c r="B135" i="26"/>
  <c r="C133" i="26"/>
  <c r="C132" i="26"/>
  <c r="B131" i="26"/>
  <c r="C129" i="26"/>
  <c r="C128" i="26"/>
  <c r="B127" i="26"/>
  <c r="H126" i="26"/>
  <c r="H73" i="26"/>
  <c r="H48" i="26"/>
  <c r="H22" i="26"/>
  <c r="H17" i="26"/>
  <c r="H16" i="26"/>
  <c r="H15" i="26"/>
  <c r="H14" i="26"/>
  <c r="H13" i="26"/>
  <c r="H12" i="26"/>
  <c r="H9" i="26"/>
  <c r="I7" i="26"/>
  <c r="G7" i="26"/>
  <c r="A7" i="26"/>
  <c r="D5" i="26"/>
  <c r="D4" i="26"/>
  <c r="G15" i="26" l="1"/>
  <c r="G98" i="26"/>
  <c r="I9" i="26"/>
  <c r="I98" i="26"/>
  <c r="W27" i="26"/>
  <c r="X27" i="26" s="1"/>
  <c r="Y27" i="26" s="1"/>
  <c r="Z27" i="26" s="1"/>
  <c r="AA27" i="26" s="1"/>
  <c r="AB27" i="26" s="1"/>
  <c r="AC27" i="26" s="1"/>
  <c r="AD27" i="26" s="1"/>
  <c r="AE27" i="26" s="1"/>
  <c r="AF27" i="26" s="1"/>
  <c r="AG27" i="26" s="1"/>
  <c r="AH27" i="26" s="1"/>
  <c r="AI27" i="26" s="1"/>
  <c r="AJ27" i="26" s="1"/>
  <c r="AK27" i="26" s="1"/>
  <c r="AL27" i="26" s="1"/>
  <c r="AM27" i="26" s="1"/>
  <c r="Q102" i="26"/>
  <c r="R102" i="26" s="1"/>
  <c r="S102" i="26" s="1"/>
  <c r="T102" i="26" s="1"/>
  <c r="U102" i="26" s="1"/>
  <c r="V102" i="26" s="1"/>
  <c r="W102" i="26" s="1"/>
  <c r="X102" i="26" s="1"/>
  <c r="Y102" i="26" s="1"/>
  <c r="Z102" i="26" s="1"/>
  <c r="AA102" i="26" s="1"/>
  <c r="AB102" i="26" s="1"/>
  <c r="AC102" i="26" s="1"/>
  <c r="AD102" i="26" s="1"/>
  <c r="AE102" i="26" s="1"/>
  <c r="AF102" i="26" s="1"/>
  <c r="AG102" i="26" s="1"/>
  <c r="AH102" i="26" s="1"/>
  <c r="AI102" i="26" s="1"/>
  <c r="AJ102" i="26" s="1"/>
  <c r="AK102" i="26" s="1"/>
  <c r="AL102" i="26" s="1"/>
  <c r="AM102" i="26" s="1"/>
  <c r="W103" i="26"/>
  <c r="X103" i="26" s="1"/>
  <c r="Y103" i="26" s="1"/>
  <c r="Z103" i="26" s="1"/>
  <c r="AA103" i="26" s="1"/>
  <c r="AB103" i="26" s="1"/>
  <c r="AC103" i="26" s="1"/>
  <c r="AD103" i="26" s="1"/>
  <c r="AE103" i="26" s="1"/>
  <c r="AF103" i="26" s="1"/>
  <c r="AG103" i="26" s="1"/>
  <c r="AH103" i="26" s="1"/>
  <c r="AI103" i="26" s="1"/>
  <c r="AJ103" i="26" s="1"/>
  <c r="AK103" i="26" s="1"/>
  <c r="AL103" i="26" s="1"/>
  <c r="AM103" i="26" s="1"/>
  <c r="I12" i="26"/>
  <c r="I17" i="26"/>
  <c r="I14" i="26"/>
  <c r="G9" i="26"/>
  <c r="F7" i="26"/>
  <c r="I13" i="26"/>
  <c r="I22" i="26"/>
  <c r="J7" i="26"/>
  <c r="J9" i="26" s="1"/>
  <c r="G12" i="26"/>
  <c r="H18" i="26"/>
  <c r="G73" i="26"/>
  <c r="G48" i="26"/>
  <c r="A9" i="26"/>
  <c r="J17" i="26"/>
  <c r="F13" i="26"/>
  <c r="I126" i="26"/>
  <c r="I48" i="26"/>
  <c r="I73" i="26"/>
  <c r="G13" i="26"/>
  <c r="I15" i="26"/>
  <c r="F16" i="26"/>
  <c r="G16" i="26"/>
  <c r="F73" i="26"/>
  <c r="F22" i="26"/>
  <c r="F48" i="26"/>
  <c r="F14" i="26"/>
  <c r="G14" i="26"/>
  <c r="I16" i="26"/>
  <c r="W78" i="26"/>
  <c r="X78" i="26" s="1"/>
  <c r="Y78" i="26" s="1"/>
  <c r="Z78" i="26" s="1"/>
  <c r="AA78" i="26" s="1"/>
  <c r="AB78" i="26" s="1"/>
  <c r="AC78" i="26" s="1"/>
  <c r="AD78" i="26" s="1"/>
  <c r="AE78" i="26" s="1"/>
  <c r="AF78" i="26" s="1"/>
  <c r="AG78" i="26" s="1"/>
  <c r="AH78" i="26" s="1"/>
  <c r="AI78" i="26" s="1"/>
  <c r="AJ78" i="26" s="1"/>
  <c r="AK78" i="26" s="1"/>
  <c r="AL78" i="26" s="1"/>
  <c r="AM78" i="26" s="1"/>
  <c r="Q77" i="26"/>
  <c r="R77" i="26" s="1"/>
  <c r="S77" i="26" s="1"/>
  <c r="T77" i="26" s="1"/>
  <c r="U77" i="26" s="1"/>
  <c r="V77" i="26" s="1"/>
  <c r="W77" i="26" s="1"/>
  <c r="X77" i="26" s="1"/>
  <c r="Y77" i="26" s="1"/>
  <c r="Z77" i="26" s="1"/>
  <c r="AA77" i="26" s="1"/>
  <c r="AB77" i="26" s="1"/>
  <c r="AC77" i="26" s="1"/>
  <c r="AD77" i="26" s="1"/>
  <c r="AE77" i="26" s="1"/>
  <c r="AF77" i="26" s="1"/>
  <c r="AG77" i="26" s="1"/>
  <c r="AH77" i="26" s="1"/>
  <c r="AI77" i="26" s="1"/>
  <c r="AJ77" i="26" s="1"/>
  <c r="AK77" i="26" s="1"/>
  <c r="AL77" i="26" s="1"/>
  <c r="AM77" i="26" s="1"/>
  <c r="W53" i="26"/>
  <c r="X53" i="26" s="1"/>
  <c r="Y53" i="26" s="1"/>
  <c r="Z53" i="26" s="1"/>
  <c r="AA53" i="26" s="1"/>
  <c r="AB53" i="26" s="1"/>
  <c r="AC53" i="26" s="1"/>
  <c r="AD53" i="26" s="1"/>
  <c r="AE53" i="26" s="1"/>
  <c r="AF53" i="26" s="1"/>
  <c r="AG53" i="26" s="1"/>
  <c r="AH53" i="26" s="1"/>
  <c r="AI53" i="26" s="1"/>
  <c r="AJ53" i="26" s="1"/>
  <c r="AK53" i="26" s="1"/>
  <c r="AL53" i="26" s="1"/>
  <c r="AM53" i="26" s="1"/>
  <c r="Q52" i="26"/>
  <c r="R52" i="26" s="1"/>
  <c r="S52" i="26" s="1"/>
  <c r="T52" i="26" s="1"/>
  <c r="U52" i="26" s="1"/>
  <c r="V52" i="26" s="1"/>
  <c r="W52" i="26" s="1"/>
  <c r="X52" i="26" s="1"/>
  <c r="Y52" i="26" s="1"/>
  <c r="Z52" i="26" s="1"/>
  <c r="AA52" i="26" s="1"/>
  <c r="AB52" i="26" s="1"/>
  <c r="AC52" i="26" s="1"/>
  <c r="AD52" i="26" s="1"/>
  <c r="AE52" i="26" s="1"/>
  <c r="AF52" i="26" s="1"/>
  <c r="AG52" i="26" s="1"/>
  <c r="AH52" i="26" s="1"/>
  <c r="AI52" i="26" s="1"/>
  <c r="AJ52" i="26" s="1"/>
  <c r="AK52" i="26" s="1"/>
  <c r="AL52" i="26" s="1"/>
  <c r="AM52" i="26" s="1"/>
  <c r="F12" i="26"/>
  <c r="J16" i="26"/>
  <c r="G17" i="26"/>
  <c r="G22" i="26"/>
  <c r="F15" i="26"/>
  <c r="Q26" i="26"/>
  <c r="R26" i="26" s="1"/>
  <c r="S26" i="26" s="1"/>
  <c r="T26" i="26" s="1"/>
  <c r="U26" i="26" s="1"/>
  <c r="V26" i="26" s="1"/>
  <c r="W26" i="26" s="1"/>
  <c r="X26" i="26" s="1"/>
  <c r="Y26" i="26" s="1"/>
  <c r="Z26" i="26" s="1"/>
  <c r="AA26" i="26" s="1"/>
  <c r="AB26" i="26" s="1"/>
  <c r="AC26" i="26" s="1"/>
  <c r="AD26" i="26" s="1"/>
  <c r="AE26" i="26" s="1"/>
  <c r="AF26" i="26" s="1"/>
  <c r="AG26" i="26" s="1"/>
  <c r="AH26" i="26" s="1"/>
  <c r="AI26" i="26" s="1"/>
  <c r="AJ26" i="26" s="1"/>
  <c r="AK26" i="26" s="1"/>
  <c r="AL26" i="26" s="1"/>
  <c r="AM26" i="26" s="1"/>
  <c r="J5" i="26" l="1"/>
  <c r="F9" i="26"/>
  <c r="F98" i="26"/>
  <c r="H19" i="26"/>
  <c r="A18" i="26"/>
  <c r="J14" i="26"/>
  <c r="F17" i="26"/>
  <c r="F18" i="26" s="1"/>
  <c r="J126" i="26"/>
  <c r="J22" i="26"/>
  <c r="J12" i="26"/>
  <c r="J98" i="26"/>
  <c r="J15" i="26"/>
  <c r="J48" i="26"/>
  <c r="J13" i="26"/>
  <c r="J73" i="26"/>
  <c r="K7" i="26"/>
  <c r="K12" i="26"/>
  <c r="I18" i="26"/>
  <c r="K48" i="26"/>
  <c r="K9" i="26"/>
  <c r="G18" i="26"/>
  <c r="I19" i="26" l="1"/>
  <c r="D19" i="26"/>
  <c r="A19" i="26"/>
  <c r="K126" i="26"/>
  <c r="K98" i="26"/>
  <c r="J18" i="26"/>
  <c r="K15" i="26"/>
  <c r="K73" i="26"/>
  <c r="K22" i="26"/>
  <c r="K16" i="26"/>
  <c r="K17" i="26"/>
  <c r="K14" i="26"/>
  <c r="L7" i="26"/>
  <c r="K13" i="26"/>
  <c r="L98" i="26" l="1"/>
  <c r="A24" i="26"/>
  <c r="J19" i="26"/>
  <c r="K18" i="26"/>
  <c r="L13" i="26"/>
  <c r="M7" i="26"/>
  <c r="L15" i="26"/>
  <c r="L12" i="26"/>
  <c r="L126" i="26"/>
  <c r="L17" i="26"/>
  <c r="L73" i="26"/>
  <c r="L14" i="26"/>
  <c r="L48" i="26"/>
  <c r="L16" i="26"/>
  <c r="L22" i="26"/>
  <c r="L9" i="26"/>
  <c r="M98" i="26" l="1"/>
  <c r="K19" i="26"/>
  <c r="A26" i="26"/>
  <c r="A27" i="26" s="1"/>
  <c r="L18" i="26"/>
  <c r="M15" i="26"/>
  <c r="M12" i="26"/>
  <c r="M14" i="26"/>
  <c r="M17" i="26"/>
  <c r="M9" i="26"/>
  <c r="M126" i="26"/>
  <c r="M13" i="26"/>
  <c r="M16" i="26"/>
  <c r="N7" i="26"/>
  <c r="M73" i="26"/>
  <c r="M22" i="26"/>
  <c r="M48" i="26"/>
  <c r="A29" i="26" l="1"/>
  <c r="D34" i="26" s="1"/>
  <c r="N98" i="26"/>
  <c r="L19" i="26"/>
  <c r="M18" i="26"/>
  <c r="N48" i="26"/>
  <c r="O7" i="26"/>
  <c r="N12" i="26"/>
  <c r="N73" i="26"/>
  <c r="N17" i="26"/>
  <c r="N15" i="26"/>
  <c r="N14" i="26"/>
  <c r="N22" i="26"/>
  <c r="N16" i="26"/>
  <c r="N13" i="26"/>
  <c r="N126" i="26"/>
  <c r="N9" i="26"/>
  <c r="A30" i="26" l="1"/>
  <c r="A34" i="26" s="1"/>
  <c r="D39" i="26" s="1"/>
  <c r="O98" i="26"/>
  <c r="M19" i="26"/>
  <c r="N18" i="26"/>
  <c r="O48" i="26"/>
  <c r="O13" i="26"/>
  <c r="O12" i="26"/>
  <c r="O15" i="26"/>
  <c r="P7" i="26"/>
  <c r="O73" i="26"/>
  <c r="O17" i="26"/>
  <c r="O9" i="26"/>
  <c r="O126" i="26"/>
  <c r="O14" i="26"/>
  <c r="O16" i="26"/>
  <c r="O22" i="26"/>
  <c r="D35" i="26" l="1"/>
  <c r="A35" i="26"/>
  <c r="A39" i="26" s="1"/>
  <c r="D44" i="26" s="1"/>
  <c r="N19" i="26"/>
  <c r="P98" i="26"/>
  <c r="P48" i="26"/>
  <c r="Q7" i="26"/>
  <c r="P17" i="26"/>
  <c r="P15" i="26"/>
  <c r="P14" i="26"/>
  <c r="P16" i="26"/>
  <c r="P9" i="26"/>
  <c r="P22" i="26"/>
  <c r="P73" i="26"/>
  <c r="P12" i="26"/>
  <c r="P126" i="26"/>
  <c r="P13" i="26"/>
  <c r="O18" i="26"/>
  <c r="A40" i="26" l="1"/>
  <c r="D45" i="26" s="1"/>
  <c r="D40" i="26"/>
  <c r="Q98" i="26"/>
  <c r="O19" i="26"/>
  <c r="P18" i="26"/>
  <c r="Q126" i="26"/>
  <c r="R7" i="26"/>
  <c r="Q48" i="26"/>
  <c r="Q15" i="26"/>
  <c r="Q22" i="26"/>
  <c r="Q13" i="26"/>
  <c r="Q73" i="26"/>
  <c r="Q12" i="26"/>
  <c r="Q14" i="26"/>
  <c r="Q17" i="26"/>
  <c r="Q9" i="26"/>
  <c r="Q16" i="26"/>
  <c r="A44" i="26" l="1"/>
  <c r="A45" i="26" s="1"/>
  <c r="P19" i="26"/>
  <c r="R98" i="26"/>
  <c r="R73" i="26"/>
  <c r="R15" i="26"/>
  <c r="R13" i="26"/>
  <c r="R126" i="26"/>
  <c r="R14" i="26"/>
  <c r="R48" i="26"/>
  <c r="R12" i="26"/>
  <c r="R16" i="26"/>
  <c r="R17" i="26"/>
  <c r="S7" i="26"/>
  <c r="R22" i="26"/>
  <c r="R9" i="26"/>
  <c r="Q18" i="26"/>
  <c r="A50" i="26" l="1"/>
  <c r="A52" i="26" s="1"/>
  <c r="Q19" i="26"/>
  <c r="S98" i="26"/>
  <c r="R18" i="26"/>
  <c r="S73" i="26"/>
  <c r="S12" i="26"/>
  <c r="S48" i="26"/>
  <c r="S22" i="26"/>
  <c r="S17" i="26"/>
  <c r="S16" i="26"/>
  <c r="S14" i="26"/>
  <c r="S13" i="26"/>
  <c r="S126" i="26"/>
  <c r="T7" i="26"/>
  <c r="S9" i="26"/>
  <c r="S15" i="26"/>
  <c r="A53" i="26" l="1"/>
  <c r="T98" i="26"/>
  <c r="R19" i="26"/>
  <c r="T73" i="26"/>
  <c r="T14" i="26"/>
  <c r="T22" i="26"/>
  <c r="T9" i="26"/>
  <c r="T48" i="26"/>
  <c r="T17" i="26"/>
  <c r="T16" i="26"/>
  <c r="T13" i="26"/>
  <c r="T12" i="26"/>
  <c r="T126" i="26"/>
  <c r="U7" i="26"/>
  <c r="T15" i="26"/>
  <c r="S18" i="26"/>
  <c r="A55" i="26"/>
  <c r="D60" i="26" s="1"/>
  <c r="U98" i="26" l="1"/>
  <c r="S19" i="26"/>
  <c r="T18" i="26"/>
  <c r="U48" i="26"/>
  <c r="V7" i="26"/>
  <c r="U15" i="26"/>
  <c r="U12" i="26"/>
  <c r="U14" i="26"/>
  <c r="U126" i="26"/>
  <c r="U13" i="26"/>
  <c r="U73" i="26"/>
  <c r="U9" i="26"/>
  <c r="U22" i="26"/>
  <c r="U16" i="26"/>
  <c r="U17" i="26"/>
  <c r="A56" i="26"/>
  <c r="D61" i="26" s="1"/>
  <c r="T19" i="26" l="1"/>
  <c r="V98" i="26"/>
  <c r="U18" i="26"/>
  <c r="V126" i="26"/>
  <c r="V9" i="26"/>
  <c r="V73" i="26"/>
  <c r="V16" i="26"/>
  <c r="V22" i="26"/>
  <c r="V13" i="26"/>
  <c r="V15" i="26"/>
  <c r="V48" i="26"/>
  <c r="W7" i="26"/>
  <c r="V17" i="26"/>
  <c r="V12" i="26"/>
  <c r="V14" i="26"/>
  <c r="A60" i="26"/>
  <c r="W98" i="26" l="1"/>
  <c r="U19" i="26"/>
  <c r="V18" i="26"/>
  <c r="W12" i="26"/>
  <c r="W15" i="26"/>
  <c r="W17" i="26"/>
  <c r="W14" i="26"/>
  <c r="W9" i="26"/>
  <c r="W22" i="26"/>
  <c r="W126" i="26"/>
  <c r="W16" i="26"/>
  <c r="W73" i="26"/>
  <c r="W13" i="26"/>
  <c r="W48" i="26"/>
  <c r="X7" i="26"/>
  <c r="D65" i="26"/>
  <c r="A61" i="26"/>
  <c r="X105" i="26" l="1"/>
  <c r="X98" i="26"/>
  <c r="V19" i="26"/>
  <c r="X48" i="26"/>
  <c r="Y7" i="26"/>
  <c r="X80" i="26" s="1"/>
  <c r="X136" i="26" s="1"/>
  <c r="X22" i="26"/>
  <c r="X15" i="26"/>
  <c r="X17" i="26"/>
  <c r="X14" i="26"/>
  <c r="X16" i="26"/>
  <c r="X126" i="26"/>
  <c r="X13" i="26"/>
  <c r="X73" i="26"/>
  <c r="X12" i="26"/>
  <c r="X9" i="26"/>
  <c r="X56" i="26"/>
  <c r="X133" i="26" s="1"/>
  <c r="W18" i="26"/>
  <c r="D66" i="26"/>
  <c r="A65" i="26"/>
  <c r="D70" i="26" s="1"/>
  <c r="X85" i="26" l="1"/>
  <c r="X110" i="26"/>
  <c r="X60" i="26"/>
  <c r="Y106" i="26"/>
  <c r="H106" i="26"/>
  <c r="H111" i="26" s="1"/>
  <c r="H116" i="26" s="1"/>
  <c r="H121" i="26" s="1"/>
  <c r="Y98" i="26"/>
  <c r="Y105" i="26"/>
  <c r="H105" i="26"/>
  <c r="H110" i="26" s="1"/>
  <c r="H115" i="26" s="1"/>
  <c r="H120" i="26" s="1"/>
  <c r="I105" i="26"/>
  <c r="I110" i="26" s="1"/>
  <c r="I115" i="26" s="1"/>
  <c r="I120" i="26" s="1"/>
  <c r="G105" i="26"/>
  <c r="G110" i="26" s="1"/>
  <c r="G115" i="26" s="1"/>
  <c r="G106" i="26"/>
  <c r="G111" i="26" s="1"/>
  <c r="G116" i="26" s="1"/>
  <c r="I106" i="26"/>
  <c r="I111" i="26" s="1"/>
  <c r="I116" i="26" s="1"/>
  <c r="I121" i="26" s="1"/>
  <c r="F106" i="26"/>
  <c r="F111" i="26" s="1"/>
  <c r="J105" i="26"/>
  <c r="J110" i="26" s="1"/>
  <c r="J115" i="26" s="1"/>
  <c r="J120" i="26" s="1"/>
  <c r="J106" i="26"/>
  <c r="J111" i="26" s="1"/>
  <c r="J116" i="26" s="1"/>
  <c r="J121" i="26" s="1"/>
  <c r="F105" i="26"/>
  <c r="F110" i="26" s="1"/>
  <c r="K105" i="26"/>
  <c r="K110" i="26" s="1"/>
  <c r="K115" i="26" s="1"/>
  <c r="K120" i="26" s="1"/>
  <c r="K106" i="26"/>
  <c r="K111" i="26" s="1"/>
  <c r="K116" i="26" s="1"/>
  <c r="K121" i="26" s="1"/>
  <c r="L106" i="26"/>
  <c r="L111" i="26" s="1"/>
  <c r="L116" i="26" s="1"/>
  <c r="L121" i="26" s="1"/>
  <c r="L105" i="26"/>
  <c r="L110" i="26" s="1"/>
  <c r="L115" i="26" s="1"/>
  <c r="L120" i="26" s="1"/>
  <c r="M105" i="26"/>
  <c r="M110" i="26" s="1"/>
  <c r="M115" i="26" s="1"/>
  <c r="M120" i="26" s="1"/>
  <c r="M106" i="26"/>
  <c r="M111" i="26" s="1"/>
  <c r="M116" i="26" s="1"/>
  <c r="M121" i="26" s="1"/>
  <c r="N105" i="26"/>
  <c r="N110" i="26" s="1"/>
  <c r="N115" i="26" s="1"/>
  <c r="N120" i="26" s="1"/>
  <c r="N106" i="26"/>
  <c r="N111" i="26" s="1"/>
  <c r="N116" i="26" s="1"/>
  <c r="N121" i="26" s="1"/>
  <c r="O105" i="26"/>
  <c r="O110" i="26" s="1"/>
  <c r="O115" i="26" s="1"/>
  <c r="O120" i="26" s="1"/>
  <c r="O106" i="26"/>
  <c r="O111" i="26" s="1"/>
  <c r="O116" i="26" s="1"/>
  <c r="O121" i="26" s="1"/>
  <c r="P106" i="26"/>
  <c r="P111" i="26" s="1"/>
  <c r="P116" i="26" s="1"/>
  <c r="P121" i="26" s="1"/>
  <c r="P105" i="26"/>
  <c r="P110" i="26" s="1"/>
  <c r="P115" i="26" s="1"/>
  <c r="P120" i="26" s="1"/>
  <c r="Q106" i="26"/>
  <c r="Q111" i="26" s="1"/>
  <c r="Q116" i="26" s="1"/>
  <c r="Q121" i="26" s="1"/>
  <c r="Q105" i="26"/>
  <c r="Q110" i="26" s="1"/>
  <c r="Q115" i="26" s="1"/>
  <c r="Q120" i="26" s="1"/>
  <c r="R105" i="26"/>
  <c r="R110" i="26" s="1"/>
  <c r="R115" i="26" s="1"/>
  <c r="R120" i="26" s="1"/>
  <c r="R106" i="26"/>
  <c r="R111" i="26" s="1"/>
  <c r="R116" i="26" s="1"/>
  <c r="R121" i="26" s="1"/>
  <c r="S105" i="26"/>
  <c r="S110" i="26" s="1"/>
  <c r="S115" i="26" s="1"/>
  <c r="S120" i="26" s="1"/>
  <c r="S106" i="26"/>
  <c r="S111" i="26" s="1"/>
  <c r="S116" i="26" s="1"/>
  <c r="S121" i="26" s="1"/>
  <c r="T106" i="26"/>
  <c r="T111" i="26" s="1"/>
  <c r="T116" i="26" s="1"/>
  <c r="T121" i="26" s="1"/>
  <c r="T105" i="26"/>
  <c r="T110" i="26" s="1"/>
  <c r="T115" i="26" s="1"/>
  <c r="T120" i="26" s="1"/>
  <c r="U105" i="26"/>
  <c r="U110" i="26" s="1"/>
  <c r="U115" i="26" s="1"/>
  <c r="U120" i="26" s="1"/>
  <c r="U106" i="26"/>
  <c r="U111" i="26" s="1"/>
  <c r="U116" i="26" s="1"/>
  <c r="U121" i="26" s="1"/>
  <c r="V106" i="26"/>
  <c r="V111" i="26" s="1"/>
  <c r="V116" i="26" s="1"/>
  <c r="V121" i="26" s="1"/>
  <c r="V105" i="26"/>
  <c r="V110" i="26" s="1"/>
  <c r="V115" i="26" s="1"/>
  <c r="V120" i="26" s="1"/>
  <c r="W106" i="26"/>
  <c r="W111" i="26" s="1"/>
  <c r="W105" i="26"/>
  <c r="W110" i="26" s="1"/>
  <c r="W19" i="26"/>
  <c r="W116" i="26"/>
  <c r="W121" i="26" s="1"/>
  <c r="W115" i="26"/>
  <c r="W120" i="26" s="1"/>
  <c r="X55" i="26"/>
  <c r="X132" i="26" s="1"/>
  <c r="X81" i="26"/>
  <c r="X137" i="26" s="1"/>
  <c r="X106" i="26"/>
  <c r="X111" i="26" s="1"/>
  <c r="X30" i="26"/>
  <c r="X129" i="26" s="1"/>
  <c r="X61" i="26"/>
  <c r="X86" i="26"/>
  <c r="X35" i="26"/>
  <c r="X18" i="26"/>
  <c r="Y73" i="26"/>
  <c r="H29" i="26"/>
  <c r="Y12" i="26"/>
  <c r="I80" i="26"/>
  <c r="F55" i="26"/>
  <c r="F60" i="26" s="1"/>
  <c r="F65" i="26" s="1"/>
  <c r="K55" i="26"/>
  <c r="F80" i="26"/>
  <c r="F85" i="26" s="1"/>
  <c r="F90" i="26" s="1"/>
  <c r="M30" i="26"/>
  <c r="N56" i="26"/>
  <c r="O29" i="26"/>
  <c r="Q81" i="26"/>
  <c r="R80" i="26"/>
  <c r="S80" i="26"/>
  <c r="U81" i="26"/>
  <c r="V81" i="26"/>
  <c r="W30" i="26"/>
  <c r="Y17" i="26"/>
  <c r="M55" i="26"/>
  <c r="Q30" i="26"/>
  <c r="U30" i="26"/>
  <c r="Y48" i="26"/>
  <c r="Y14" i="26"/>
  <c r="I29" i="26"/>
  <c r="G29" i="26"/>
  <c r="G34" i="26" s="1"/>
  <c r="G39" i="26" s="1"/>
  <c r="J80" i="26"/>
  <c r="I55" i="26"/>
  <c r="L81" i="26"/>
  <c r="M29" i="26"/>
  <c r="N55" i="26"/>
  <c r="P80" i="26"/>
  <c r="Q55" i="26"/>
  <c r="R55" i="26"/>
  <c r="T81" i="26"/>
  <c r="U29" i="26"/>
  <c r="V56" i="26"/>
  <c r="P56" i="26"/>
  <c r="Y55" i="26"/>
  <c r="Y132" i="26" s="1"/>
  <c r="Y29" i="26"/>
  <c r="Y128" i="26" s="1"/>
  <c r="Y22" i="26"/>
  <c r="I81" i="26"/>
  <c r="K81" i="26"/>
  <c r="G56" i="26"/>
  <c r="G61" i="26" s="1"/>
  <c r="G66" i="26" s="1"/>
  <c r="L30" i="26"/>
  <c r="M81" i="26"/>
  <c r="N81" i="26"/>
  <c r="P81" i="26"/>
  <c r="Q29" i="26"/>
  <c r="R30" i="26"/>
  <c r="T30" i="26"/>
  <c r="U56" i="26"/>
  <c r="V55" i="26"/>
  <c r="Y126" i="26"/>
  <c r="H55" i="26"/>
  <c r="Y9" i="26"/>
  <c r="J29" i="26"/>
  <c r="G80" i="26"/>
  <c r="G85" i="26" s="1"/>
  <c r="G90" i="26" s="1"/>
  <c r="J30" i="26"/>
  <c r="L80" i="26"/>
  <c r="O81" i="26"/>
  <c r="S55" i="26"/>
  <c r="T80" i="26"/>
  <c r="W29" i="26"/>
  <c r="V29" i="26"/>
  <c r="H81" i="26"/>
  <c r="Y81" i="26"/>
  <c r="Y137" i="26" s="1"/>
  <c r="Y16" i="26"/>
  <c r="G30" i="26"/>
  <c r="G35" i="26" s="1"/>
  <c r="G40" i="26" s="1"/>
  <c r="K56" i="26"/>
  <c r="J81" i="26"/>
  <c r="F56" i="26"/>
  <c r="F61" i="26" s="1"/>
  <c r="F66" i="26" s="1"/>
  <c r="L29" i="26"/>
  <c r="M80" i="26"/>
  <c r="O80" i="26"/>
  <c r="P30" i="26"/>
  <c r="Q80" i="26"/>
  <c r="S30" i="26"/>
  <c r="T55" i="26"/>
  <c r="U80" i="26"/>
  <c r="W55" i="26"/>
  <c r="H30" i="26"/>
  <c r="I56" i="26"/>
  <c r="N29" i="26"/>
  <c r="R29" i="26"/>
  <c r="Y80" i="26"/>
  <c r="Y136" i="26" s="1"/>
  <c r="Y30" i="26"/>
  <c r="Y129" i="26" s="1"/>
  <c r="Y13" i="26"/>
  <c r="F30" i="26"/>
  <c r="F35" i="26" s="1"/>
  <c r="F40" i="26" s="1"/>
  <c r="G81" i="26"/>
  <c r="G86" i="26" s="1"/>
  <c r="G91" i="26" s="1"/>
  <c r="G55" i="26"/>
  <c r="G60" i="26" s="1"/>
  <c r="G65" i="26" s="1"/>
  <c r="F29" i="26"/>
  <c r="F34" i="26" s="1"/>
  <c r="F39" i="26" s="1"/>
  <c r="L56" i="26"/>
  <c r="N80" i="26"/>
  <c r="O30" i="26"/>
  <c r="P55" i="26"/>
  <c r="R81" i="26"/>
  <c r="S29" i="26"/>
  <c r="T29" i="26"/>
  <c r="V80" i="26"/>
  <c r="W56" i="26"/>
  <c r="K29" i="26"/>
  <c r="M56" i="26"/>
  <c r="Q56" i="26"/>
  <c r="U55" i="26"/>
  <c r="H80" i="26"/>
  <c r="H56" i="26"/>
  <c r="Z7" i="26"/>
  <c r="K30" i="26"/>
  <c r="J56" i="26"/>
  <c r="J55" i="26"/>
  <c r="K80" i="26"/>
  <c r="L55" i="26"/>
  <c r="N30" i="26"/>
  <c r="O55" i="26"/>
  <c r="P29" i="26"/>
  <c r="R56" i="26"/>
  <c r="S81" i="26"/>
  <c r="T56" i="26"/>
  <c r="V30" i="26"/>
  <c r="W80" i="26"/>
  <c r="X29" i="26"/>
  <c r="Y56" i="26"/>
  <c r="Y133" i="26" s="1"/>
  <c r="Y15" i="26"/>
  <c r="F81" i="26"/>
  <c r="F86" i="26" s="1"/>
  <c r="F91" i="26" s="1"/>
  <c r="I30" i="26"/>
  <c r="O56" i="26"/>
  <c r="S56" i="26"/>
  <c r="W81" i="26"/>
  <c r="A66" i="26"/>
  <c r="D71" i="26" s="1"/>
  <c r="X19" i="26" l="1"/>
  <c r="X115" i="26"/>
  <c r="X120" i="26" s="1"/>
  <c r="X116" i="26"/>
  <c r="X121" i="26" s="1"/>
  <c r="F116" i="26"/>
  <c r="F115" i="26"/>
  <c r="Y111" i="26"/>
  <c r="Y110" i="26"/>
  <c r="Z106" i="26"/>
  <c r="Z105" i="26"/>
  <c r="Z98" i="26"/>
  <c r="P128" i="26"/>
  <c r="P34" i="26"/>
  <c r="P39" i="26" s="1"/>
  <c r="P44" i="26" s="1"/>
  <c r="Z55" i="26"/>
  <c r="Z132" i="26" s="1"/>
  <c r="Z12" i="26"/>
  <c r="Z56" i="26"/>
  <c r="Z133" i="26" s="1"/>
  <c r="Z22" i="26"/>
  <c r="Z73" i="26"/>
  <c r="Z30" i="26"/>
  <c r="Z129" i="26" s="1"/>
  <c r="Z17" i="26"/>
  <c r="Z126" i="26"/>
  <c r="Z16" i="26"/>
  <c r="Z9" i="26"/>
  <c r="Z80" i="26"/>
  <c r="Z136" i="26" s="1"/>
  <c r="AA7" i="26"/>
  <c r="Z81" i="26"/>
  <c r="Z137" i="26" s="1"/>
  <c r="Z13" i="26"/>
  <c r="Z48" i="26"/>
  <c r="Z15" i="26"/>
  <c r="Z29" i="26"/>
  <c r="Z128" i="26" s="1"/>
  <c r="Z14" i="26"/>
  <c r="V136" i="26"/>
  <c r="V85" i="26"/>
  <c r="V90" i="26" s="1"/>
  <c r="V95" i="26" s="1"/>
  <c r="N128" i="26"/>
  <c r="N34" i="26"/>
  <c r="N39" i="26" s="1"/>
  <c r="N44" i="26" s="1"/>
  <c r="P35" i="26"/>
  <c r="P40" i="26" s="1"/>
  <c r="P129" i="26"/>
  <c r="L136" i="26"/>
  <c r="L85" i="26"/>
  <c r="L90" i="26" s="1"/>
  <c r="L95" i="26" s="1"/>
  <c r="U133" i="26"/>
  <c r="U61" i="26"/>
  <c r="U66" i="26" s="1"/>
  <c r="U71" i="26" s="1"/>
  <c r="U128" i="26"/>
  <c r="U34" i="26"/>
  <c r="U39" i="26" s="1"/>
  <c r="U44" i="26" s="1"/>
  <c r="I132" i="26"/>
  <c r="I60" i="26"/>
  <c r="I65" i="26" s="1"/>
  <c r="I70" i="26" s="1"/>
  <c r="M132" i="26"/>
  <c r="M60" i="26"/>
  <c r="M65" i="26" s="1"/>
  <c r="M70" i="26" s="1"/>
  <c r="O128" i="26"/>
  <c r="O34" i="26"/>
  <c r="O39" i="26" s="1"/>
  <c r="O44" i="26" s="1"/>
  <c r="H128" i="26"/>
  <c r="H34" i="26"/>
  <c r="H39" i="26" s="1"/>
  <c r="H44" i="26" s="1"/>
  <c r="O132" i="26"/>
  <c r="O60" i="26"/>
  <c r="O65" i="26" s="1"/>
  <c r="O70" i="26" s="1"/>
  <c r="H133" i="26"/>
  <c r="H61" i="26"/>
  <c r="H66" i="26" s="1"/>
  <c r="H71" i="26" s="1"/>
  <c r="T128" i="26"/>
  <c r="T34" i="26"/>
  <c r="T39" i="26" s="1"/>
  <c r="T44" i="26" s="1"/>
  <c r="I133" i="26"/>
  <c r="I61" i="26"/>
  <c r="I66" i="26" s="1"/>
  <c r="I71" i="26" s="1"/>
  <c r="O136" i="26"/>
  <c r="O85" i="26"/>
  <c r="O90" i="26" s="1"/>
  <c r="O95" i="26" s="1"/>
  <c r="J35" i="26"/>
  <c r="J40" i="26" s="1"/>
  <c r="J129" i="26"/>
  <c r="T129" i="26"/>
  <c r="T35" i="26"/>
  <c r="T40" i="26" s="1"/>
  <c r="K86" i="26"/>
  <c r="K91" i="26" s="1"/>
  <c r="K96" i="26" s="1"/>
  <c r="K137" i="26"/>
  <c r="T137" i="26"/>
  <c r="T86" i="26"/>
  <c r="T91" i="26" s="1"/>
  <c r="T96" i="26" s="1"/>
  <c r="J136" i="26"/>
  <c r="J85" i="26"/>
  <c r="J90" i="26" s="1"/>
  <c r="J95" i="26" s="1"/>
  <c r="N133" i="26"/>
  <c r="N61" i="26"/>
  <c r="N66" i="26" s="1"/>
  <c r="N71" i="26" s="1"/>
  <c r="X128" i="26"/>
  <c r="X34" i="26"/>
  <c r="X39" i="26" s="1"/>
  <c r="X44" i="26" s="1"/>
  <c r="N129" i="26"/>
  <c r="N35" i="26"/>
  <c r="N40" i="26" s="1"/>
  <c r="H85" i="26"/>
  <c r="H90" i="26" s="1"/>
  <c r="H95" i="26" s="1"/>
  <c r="H136" i="26"/>
  <c r="S128" i="26"/>
  <c r="S34" i="26"/>
  <c r="S39" i="26" s="1"/>
  <c r="S44" i="26" s="1"/>
  <c r="H129" i="26"/>
  <c r="H35" i="26"/>
  <c r="H40" i="26" s="1"/>
  <c r="M136" i="26"/>
  <c r="M85" i="26"/>
  <c r="M90" i="26" s="1"/>
  <c r="M95" i="26" s="1"/>
  <c r="H137" i="26"/>
  <c r="H86" i="26"/>
  <c r="H91" i="26" s="1"/>
  <c r="H96" i="26" s="1"/>
  <c r="R35" i="26"/>
  <c r="R40" i="26" s="1"/>
  <c r="R129" i="26"/>
  <c r="I137" i="26"/>
  <c r="I86" i="26"/>
  <c r="I91" i="26" s="1"/>
  <c r="I96" i="26" s="1"/>
  <c r="R132" i="26"/>
  <c r="R60" i="26"/>
  <c r="R65" i="26" s="1"/>
  <c r="R70" i="26" s="1"/>
  <c r="W129" i="26"/>
  <c r="W35" i="26"/>
  <c r="W40" i="26" s="1"/>
  <c r="M129" i="26"/>
  <c r="M35" i="26"/>
  <c r="M40" i="26" s="1"/>
  <c r="A70" i="26"/>
  <c r="A71" i="26" s="1"/>
  <c r="A75" i="26" s="1"/>
  <c r="A77" i="26" s="1"/>
  <c r="A78" i="26" s="1"/>
  <c r="A80" i="26" s="1"/>
  <c r="D85" i="26" s="1"/>
  <c r="W137" i="26"/>
  <c r="W86" i="26"/>
  <c r="W91" i="26" s="1"/>
  <c r="W96" i="26" s="1"/>
  <c r="W136" i="26"/>
  <c r="W85" i="26"/>
  <c r="W90" i="26" s="1"/>
  <c r="W95" i="26" s="1"/>
  <c r="L132" i="26"/>
  <c r="L60" i="26"/>
  <c r="L65" i="26" s="1"/>
  <c r="L70" i="26" s="1"/>
  <c r="U132" i="26"/>
  <c r="U60" i="26"/>
  <c r="U65" i="26" s="1"/>
  <c r="U70" i="26" s="1"/>
  <c r="R137" i="26"/>
  <c r="R86" i="26"/>
  <c r="R91" i="26" s="1"/>
  <c r="R96" i="26" s="1"/>
  <c r="W132" i="26"/>
  <c r="W60" i="26"/>
  <c r="W65" i="26" s="1"/>
  <c r="W70" i="26" s="1"/>
  <c r="L128" i="26"/>
  <c r="L34" i="26"/>
  <c r="L39" i="26" s="1"/>
  <c r="L44" i="26" s="1"/>
  <c r="V128" i="26"/>
  <c r="V34" i="26"/>
  <c r="V39" i="26" s="1"/>
  <c r="V44" i="26" s="1"/>
  <c r="J128" i="26"/>
  <c r="J34" i="26"/>
  <c r="J39" i="26" s="1"/>
  <c r="J44" i="26" s="1"/>
  <c r="Q128" i="26"/>
  <c r="Q34" i="26"/>
  <c r="Q39" i="26" s="1"/>
  <c r="Q44" i="26" s="1"/>
  <c r="Q132" i="26"/>
  <c r="Q60" i="26"/>
  <c r="Q65" i="26" s="1"/>
  <c r="Q70" i="26" s="1"/>
  <c r="I128" i="26"/>
  <c r="I34" i="26"/>
  <c r="I39" i="26" s="1"/>
  <c r="I44" i="26" s="1"/>
  <c r="V137" i="26"/>
  <c r="V86" i="26"/>
  <c r="V91" i="26" s="1"/>
  <c r="V96" i="26" s="1"/>
  <c r="X91" i="26"/>
  <c r="X96" i="26" s="1"/>
  <c r="V129" i="26"/>
  <c r="V35" i="26"/>
  <c r="V40" i="26" s="1"/>
  <c r="K136" i="26"/>
  <c r="K85" i="26"/>
  <c r="K90" i="26" s="1"/>
  <c r="K95" i="26" s="1"/>
  <c r="Q133" i="26"/>
  <c r="Q61" i="26"/>
  <c r="Q66" i="26" s="1"/>
  <c r="Q71" i="26" s="1"/>
  <c r="U136" i="26"/>
  <c r="U85" i="26"/>
  <c r="U90" i="26" s="1"/>
  <c r="U95" i="26" s="1"/>
  <c r="W128" i="26"/>
  <c r="W34" i="26"/>
  <c r="W39" i="26" s="1"/>
  <c r="W44" i="26" s="1"/>
  <c r="Y60" i="26"/>
  <c r="Y61" i="26"/>
  <c r="Y86" i="26"/>
  <c r="Y34" i="26"/>
  <c r="Y35" i="26"/>
  <c r="Y85" i="26"/>
  <c r="P137" i="26"/>
  <c r="P86" i="26"/>
  <c r="P91" i="26" s="1"/>
  <c r="P96" i="26" s="1"/>
  <c r="P136" i="26"/>
  <c r="P85" i="26"/>
  <c r="P90" i="26" s="1"/>
  <c r="P95" i="26" s="1"/>
  <c r="U137" i="26"/>
  <c r="U86" i="26"/>
  <c r="U91" i="26" s="1"/>
  <c r="U96" i="26" s="1"/>
  <c r="K132" i="26"/>
  <c r="K60" i="26"/>
  <c r="K65" i="26" s="1"/>
  <c r="K70" i="26" s="1"/>
  <c r="X40" i="26"/>
  <c r="S133" i="26"/>
  <c r="S61" i="26"/>
  <c r="S66" i="26" s="1"/>
  <c r="S71" i="26" s="1"/>
  <c r="P132" i="26"/>
  <c r="P60" i="26"/>
  <c r="P65" i="26" s="1"/>
  <c r="P70" i="26" s="1"/>
  <c r="O133" i="26"/>
  <c r="O61" i="26"/>
  <c r="O66" i="26" s="1"/>
  <c r="O71" i="26" s="1"/>
  <c r="T133" i="26"/>
  <c r="T61" i="26"/>
  <c r="T66" i="26" s="1"/>
  <c r="T71" i="26" s="1"/>
  <c r="J132" i="26"/>
  <c r="J60" i="26"/>
  <c r="J65" i="26" s="1"/>
  <c r="J70" i="26" s="1"/>
  <c r="M133" i="26"/>
  <c r="M61" i="26"/>
  <c r="M66" i="26" s="1"/>
  <c r="M71" i="26" s="1"/>
  <c r="O129" i="26"/>
  <c r="O35" i="26"/>
  <c r="O40" i="26" s="1"/>
  <c r="T132" i="26"/>
  <c r="T60" i="26"/>
  <c r="T65" i="26" s="1"/>
  <c r="T70" i="26" s="1"/>
  <c r="J137" i="26"/>
  <c r="J86" i="26"/>
  <c r="J91" i="26" s="1"/>
  <c r="J96" i="26" s="1"/>
  <c r="T136" i="26"/>
  <c r="T85" i="26"/>
  <c r="T90" i="26" s="1"/>
  <c r="T95" i="26" s="1"/>
  <c r="H132" i="26"/>
  <c r="H60" i="26"/>
  <c r="H65" i="26" s="1"/>
  <c r="H70" i="26" s="1"/>
  <c r="N137" i="26"/>
  <c r="N86" i="26"/>
  <c r="N91" i="26" s="1"/>
  <c r="N96" i="26" s="1"/>
  <c r="N132" i="26"/>
  <c r="N60" i="26"/>
  <c r="N65" i="26" s="1"/>
  <c r="N70" i="26" s="1"/>
  <c r="S136" i="26"/>
  <c r="S85" i="26"/>
  <c r="S90" i="26" s="1"/>
  <c r="S95" i="26" s="1"/>
  <c r="X65" i="26"/>
  <c r="X70" i="26" s="1"/>
  <c r="I129" i="26"/>
  <c r="I35" i="26"/>
  <c r="I40" i="26" s="1"/>
  <c r="S137" i="26"/>
  <c r="S86" i="26"/>
  <c r="S91" i="26" s="1"/>
  <c r="S96" i="26" s="1"/>
  <c r="J61" i="26"/>
  <c r="J66" i="26" s="1"/>
  <c r="J71" i="26" s="1"/>
  <c r="J133" i="26"/>
  <c r="K128" i="26"/>
  <c r="K34" i="26"/>
  <c r="K39" i="26" s="1"/>
  <c r="K44" i="26" s="1"/>
  <c r="N136" i="26"/>
  <c r="N85" i="26"/>
  <c r="N90" i="26" s="1"/>
  <c r="N95" i="26" s="1"/>
  <c r="S35" i="26"/>
  <c r="S40" i="26" s="1"/>
  <c r="S129" i="26"/>
  <c r="K133" i="26"/>
  <c r="K61" i="26"/>
  <c r="K66" i="26" s="1"/>
  <c r="K71" i="26" s="1"/>
  <c r="S132" i="26"/>
  <c r="S60" i="26"/>
  <c r="S65" i="26" s="1"/>
  <c r="S70" i="26" s="1"/>
  <c r="M137" i="26"/>
  <c r="M86" i="26"/>
  <c r="M91" i="26" s="1"/>
  <c r="M96" i="26" s="1"/>
  <c r="P133" i="26"/>
  <c r="P61" i="26"/>
  <c r="P66" i="26" s="1"/>
  <c r="P71" i="26" s="1"/>
  <c r="M128" i="26"/>
  <c r="M34" i="26"/>
  <c r="M39" i="26" s="1"/>
  <c r="M44" i="26" s="1"/>
  <c r="U129" i="26"/>
  <c r="U35" i="26"/>
  <c r="U40" i="26" s="1"/>
  <c r="R136" i="26"/>
  <c r="R85" i="26"/>
  <c r="R90" i="26" s="1"/>
  <c r="R95" i="26" s="1"/>
  <c r="I136" i="26"/>
  <c r="I85" i="26"/>
  <c r="I90" i="26" s="1"/>
  <c r="I95" i="26" s="1"/>
  <c r="X66" i="26"/>
  <c r="X71" i="26" s="1"/>
  <c r="R133" i="26"/>
  <c r="R61" i="26"/>
  <c r="R66" i="26" s="1"/>
  <c r="R71" i="26" s="1"/>
  <c r="K129" i="26"/>
  <c r="K35" i="26"/>
  <c r="K40" i="26" s="1"/>
  <c r="W133" i="26"/>
  <c r="W61" i="26"/>
  <c r="W66" i="26" s="1"/>
  <c r="W71" i="26" s="1"/>
  <c r="L61" i="26"/>
  <c r="L66" i="26" s="1"/>
  <c r="L71" i="26" s="1"/>
  <c r="L133" i="26"/>
  <c r="R128" i="26"/>
  <c r="R34" i="26"/>
  <c r="R39" i="26" s="1"/>
  <c r="R44" i="26" s="1"/>
  <c r="Q136" i="26"/>
  <c r="Q85" i="26"/>
  <c r="Q90" i="26" s="1"/>
  <c r="Q95" i="26" s="1"/>
  <c r="O86" i="26"/>
  <c r="O91" i="26" s="1"/>
  <c r="O96" i="26" s="1"/>
  <c r="O137" i="26"/>
  <c r="V132" i="26"/>
  <c r="V60" i="26"/>
  <c r="V65" i="26" s="1"/>
  <c r="V70" i="26" s="1"/>
  <c r="L129" i="26"/>
  <c r="L35" i="26"/>
  <c r="L40" i="26" s="1"/>
  <c r="V133" i="26"/>
  <c r="V61" i="26"/>
  <c r="V66" i="26" s="1"/>
  <c r="V71" i="26" s="1"/>
  <c r="L137" i="26"/>
  <c r="L86" i="26"/>
  <c r="L91" i="26" s="1"/>
  <c r="L96" i="26" s="1"/>
  <c r="Q129" i="26"/>
  <c r="Q35" i="26"/>
  <c r="Q40" i="26" s="1"/>
  <c r="Q137" i="26"/>
  <c r="Q86" i="26"/>
  <c r="Q91" i="26" s="1"/>
  <c r="Q96" i="26" s="1"/>
  <c r="Y18" i="26"/>
  <c r="X90" i="26"/>
  <c r="X95" i="26" s="1"/>
  <c r="Y115" i="26" l="1"/>
  <c r="Y120" i="26" s="1"/>
  <c r="Y116" i="26"/>
  <c r="Y121" i="26" s="1"/>
  <c r="AA106" i="26"/>
  <c r="AA98" i="26"/>
  <c r="AA105" i="26"/>
  <c r="Z110" i="26"/>
  <c r="Z111" i="26"/>
  <c r="A81" i="26"/>
  <c r="D86" i="26" s="1"/>
  <c r="Y19" i="26"/>
  <c r="Y91" i="26"/>
  <c r="Y96" i="26" s="1"/>
  <c r="Y66" i="26"/>
  <c r="Y71" i="26" s="1"/>
  <c r="Y90" i="26"/>
  <c r="Y95" i="26" s="1"/>
  <c r="Y65" i="26"/>
  <c r="Y70" i="26" s="1"/>
  <c r="Y39" i="26"/>
  <c r="Y44" i="26" s="1"/>
  <c r="Y40" i="26"/>
  <c r="U45" i="26"/>
  <c r="T2" i="25"/>
  <c r="G2" i="25"/>
  <c r="H45" i="26"/>
  <c r="L2" i="25"/>
  <c r="M45" i="26"/>
  <c r="T45" i="26"/>
  <c r="S2" i="25"/>
  <c r="AA22" i="26"/>
  <c r="AA12" i="26"/>
  <c r="AA55" i="26"/>
  <c r="AA132" i="26" s="1"/>
  <c r="AA126" i="26"/>
  <c r="AA48" i="26"/>
  <c r="AA17" i="26"/>
  <c r="AA73" i="26"/>
  <c r="AA29" i="26"/>
  <c r="AA128" i="26" s="1"/>
  <c r="AA14" i="26"/>
  <c r="AA16" i="26"/>
  <c r="AA80" i="26"/>
  <c r="AA136" i="26" s="1"/>
  <c r="AA30" i="26"/>
  <c r="AA129" i="26" s="1"/>
  <c r="AA56" i="26"/>
  <c r="AA133" i="26" s="1"/>
  <c r="AA13" i="26"/>
  <c r="AB7" i="26"/>
  <c r="AA9" i="26"/>
  <c r="AA81" i="26"/>
  <c r="AA137" i="26" s="1"/>
  <c r="AA15" i="26"/>
  <c r="L45" i="26"/>
  <c r="K2" i="25"/>
  <c r="Q45" i="26"/>
  <c r="P2" i="25"/>
  <c r="R45" i="26"/>
  <c r="Q2" i="25"/>
  <c r="V45" i="26"/>
  <c r="U2" i="25"/>
  <c r="W45" i="26"/>
  <c r="V2" i="25"/>
  <c r="Z34" i="26"/>
  <c r="Z86" i="26"/>
  <c r="Z85" i="26"/>
  <c r="Z61" i="26"/>
  <c r="Z60" i="26"/>
  <c r="Z35" i="26"/>
  <c r="Z18" i="26"/>
  <c r="S45" i="26"/>
  <c r="R2" i="25"/>
  <c r="X45" i="26"/>
  <c r="W2" i="25"/>
  <c r="J45" i="26"/>
  <c r="I2" i="25"/>
  <c r="H2" i="25"/>
  <c r="I45" i="26"/>
  <c r="M2" i="25"/>
  <c r="N45" i="26"/>
  <c r="K45" i="26"/>
  <c r="J2" i="25"/>
  <c r="N2" i="25"/>
  <c r="O45" i="26"/>
  <c r="P45" i="26"/>
  <c r="O2" i="25"/>
  <c r="A85" i="26" l="1"/>
  <c r="D90" i="26" s="1"/>
  <c r="Z115" i="26"/>
  <c r="Z120" i="26" s="1"/>
  <c r="Z116" i="26"/>
  <c r="AA110" i="26"/>
  <c r="AA111" i="26"/>
  <c r="AB105" i="26"/>
  <c r="AB98" i="26"/>
  <c r="AB106" i="26"/>
  <c r="AA85" i="26"/>
  <c r="AA34" i="26"/>
  <c r="AA86" i="26"/>
  <c r="AA60" i="26"/>
  <c r="AA35" i="26"/>
  <c r="AA61" i="26"/>
  <c r="Y45" i="26"/>
  <c r="X2" i="25"/>
  <c r="AB22" i="26"/>
  <c r="AB14" i="26"/>
  <c r="AB48" i="26"/>
  <c r="AB9" i="26"/>
  <c r="AB16" i="26"/>
  <c r="AB126" i="26"/>
  <c r="AB29" i="26"/>
  <c r="AB128" i="26" s="1"/>
  <c r="AB73" i="26"/>
  <c r="AB80" i="26"/>
  <c r="AB136" i="26" s="1"/>
  <c r="AB17" i="26"/>
  <c r="AB56" i="26"/>
  <c r="AB133" i="26" s="1"/>
  <c r="AB13" i="26"/>
  <c r="AB55" i="26"/>
  <c r="AB132" i="26" s="1"/>
  <c r="AB15" i="26"/>
  <c r="AB81" i="26"/>
  <c r="AB137" i="26" s="1"/>
  <c r="AC7" i="26"/>
  <c r="AB30" i="26"/>
  <c r="AB129" i="26" s="1"/>
  <c r="AB12" i="26"/>
  <c r="Z19" i="26"/>
  <c r="Z40" i="26"/>
  <c r="Z45" i="26" s="1"/>
  <c r="Z39" i="26"/>
  <c r="Z44" i="26" s="1"/>
  <c r="Z90" i="26"/>
  <c r="Z95" i="26" s="1"/>
  <c r="Z66" i="26"/>
  <c r="Z71" i="26" s="1"/>
  <c r="Z91" i="26"/>
  <c r="Z96" i="26" s="1"/>
  <c r="Z65" i="26"/>
  <c r="Z70" i="26" s="1"/>
  <c r="AA18" i="26"/>
  <c r="A86" i="26" l="1"/>
  <c r="A90" i="26" s="1"/>
  <c r="D95" i="26" s="1"/>
  <c r="AC105" i="26"/>
  <c r="AC106" i="26"/>
  <c r="AC98" i="26"/>
  <c r="Z121" i="26"/>
  <c r="AB110" i="26"/>
  <c r="AB111" i="26"/>
  <c r="AA115" i="26"/>
  <c r="AA116" i="26"/>
  <c r="AA121" i="26" s="1"/>
  <c r="AB18" i="26"/>
  <c r="AB19" i="26" s="1"/>
  <c r="AC55" i="26"/>
  <c r="AC132" i="26" s="1"/>
  <c r="AC12" i="26"/>
  <c r="AC30" i="26"/>
  <c r="AC129" i="26" s="1"/>
  <c r="AD7" i="26"/>
  <c r="AC56" i="26"/>
  <c r="AC133" i="26" s="1"/>
  <c r="AC80" i="26"/>
  <c r="AC136" i="26" s="1"/>
  <c r="AC13" i="26"/>
  <c r="AC17" i="26"/>
  <c r="AC22" i="26"/>
  <c r="AC14" i="26"/>
  <c r="AC126" i="26"/>
  <c r="AC48" i="26"/>
  <c r="AC9" i="26"/>
  <c r="AC81" i="26"/>
  <c r="AC137" i="26" s="1"/>
  <c r="AC29" i="26"/>
  <c r="AC128" i="26" s="1"/>
  <c r="AC16" i="26"/>
  <c r="AC15" i="26"/>
  <c r="AC73" i="26"/>
  <c r="AB90" i="26"/>
  <c r="AB95" i="26" s="1"/>
  <c r="AB60" i="26"/>
  <c r="AB35" i="26"/>
  <c r="AB34" i="26"/>
  <c r="AB61" i="26"/>
  <c r="AB66" i="26" s="1"/>
  <c r="AB71" i="26" s="1"/>
  <c r="AB86" i="26"/>
  <c r="AB91" i="26" s="1"/>
  <c r="AB96" i="26" s="1"/>
  <c r="AB85" i="26"/>
  <c r="AA19" i="26"/>
  <c r="AA66" i="26"/>
  <c r="AA71" i="26" s="1"/>
  <c r="AA91" i="26"/>
  <c r="AA96" i="26" s="1"/>
  <c r="AA39" i="26"/>
  <c r="AA44" i="26" s="1"/>
  <c r="AA65" i="26"/>
  <c r="AA70" i="26" s="1"/>
  <c r="AA40" i="26"/>
  <c r="AA45" i="26" s="1"/>
  <c r="AA90" i="26"/>
  <c r="AA95" i="26" s="1"/>
  <c r="A91" i="26" l="1"/>
  <c r="D96" i="26" s="1"/>
  <c r="D91" i="26"/>
  <c r="AA120" i="26"/>
  <c r="AB39" i="26"/>
  <c r="AB44" i="26" s="1"/>
  <c r="AB40" i="26"/>
  <c r="AB45" i="26" s="1"/>
  <c r="AB115" i="26"/>
  <c r="AB120" i="26" s="1"/>
  <c r="AB116" i="26"/>
  <c r="AC110" i="26"/>
  <c r="AC111" i="26"/>
  <c r="AB65" i="26"/>
  <c r="AB70" i="26" s="1"/>
  <c r="AD105" i="26"/>
  <c r="AD106" i="26"/>
  <c r="AD98" i="26"/>
  <c r="AC35" i="26"/>
  <c r="AC85" i="26"/>
  <c r="AC61" i="26"/>
  <c r="AC86" i="26"/>
  <c r="AC60" i="26"/>
  <c r="AC34" i="26"/>
  <c r="AD22" i="26"/>
  <c r="AE7" i="26"/>
  <c r="AD48" i="26"/>
  <c r="AD9" i="26"/>
  <c r="AD29" i="26"/>
  <c r="AD128" i="26" s="1"/>
  <c r="AD16" i="26"/>
  <c r="AD126" i="26"/>
  <c r="AD73" i="26"/>
  <c r="AD13" i="26"/>
  <c r="AD56" i="26"/>
  <c r="AD133" i="26" s="1"/>
  <c r="AD55" i="26"/>
  <c r="AD132" i="26" s="1"/>
  <c r="AD81" i="26"/>
  <c r="AD137" i="26" s="1"/>
  <c r="AD12" i="26"/>
  <c r="AD80" i="26"/>
  <c r="AD136" i="26" s="1"/>
  <c r="AD17" i="26"/>
  <c r="AD15" i="26"/>
  <c r="AD30" i="26"/>
  <c r="AD129" i="26" s="1"/>
  <c r="AD14" i="26"/>
  <c r="AC18" i="26"/>
  <c r="A95" i="26" l="1"/>
  <c r="A96" i="26" s="1"/>
  <c r="A100" i="26" s="1"/>
  <c r="A102" i="26" s="1"/>
  <c r="A103" i="26" s="1"/>
  <c r="A105" i="26" s="1"/>
  <c r="AC116" i="26"/>
  <c r="AC121" i="26" s="1"/>
  <c r="AC115" i="26"/>
  <c r="AC120" i="26" s="1"/>
  <c r="AE105" i="26"/>
  <c r="AE106" i="26"/>
  <c r="AE98" i="26"/>
  <c r="AB121" i="26"/>
  <c r="AC19" i="26"/>
  <c r="AD110" i="26"/>
  <c r="AD111" i="26"/>
  <c r="AE73" i="26"/>
  <c r="AE12" i="26"/>
  <c r="AE56" i="26"/>
  <c r="AE133" i="26" s="1"/>
  <c r="AE14" i="26"/>
  <c r="AE48" i="26"/>
  <c r="AE9" i="26"/>
  <c r="AE29" i="26"/>
  <c r="AE128" i="26" s="1"/>
  <c r="AE16" i="26"/>
  <c r="AE17" i="26"/>
  <c r="AE22" i="26"/>
  <c r="AE80" i="26"/>
  <c r="AE136" i="26" s="1"/>
  <c r="AE13" i="26"/>
  <c r="AE126" i="26"/>
  <c r="AE55" i="26"/>
  <c r="AE132" i="26" s="1"/>
  <c r="AF7" i="26"/>
  <c r="AE81" i="26"/>
  <c r="AE137" i="26" s="1"/>
  <c r="AE30" i="26"/>
  <c r="AE129" i="26" s="1"/>
  <c r="AE15" i="26"/>
  <c r="AD18" i="26"/>
  <c r="AD60" i="26"/>
  <c r="AD61" i="26"/>
  <c r="AD34" i="26"/>
  <c r="AD85" i="26"/>
  <c r="AD35" i="26"/>
  <c r="AD86" i="26"/>
  <c r="AC90" i="26"/>
  <c r="AC95" i="26" s="1"/>
  <c r="AC91" i="26"/>
  <c r="AC96" i="26" s="1"/>
  <c r="AC65" i="26"/>
  <c r="AC70" i="26" s="1"/>
  <c r="AC66" i="26"/>
  <c r="AC71" i="26" s="1"/>
  <c r="AC39" i="26"/>
  <c r="AC44" i="26" s="1"/>
  <c r="AC40" i="26"/>
  <c r="AC45" i="26" s="1"/>
  <c r="D110" i="26" l="1"/>
  <c r="A106" i="26"/>
  <c r="AF106" i="26"/>
  <c r="AF105" i="26"/>
  <c r="AF98" i="26"/>
  <c r="AE111" i="26"/>
  <c r="AE110" i="26"/>
  <c r="AD66" i="26"/>
  <c r="AD71" i="26" s="1"/>
  <c r="AD116" i="26"/>
  <c r="AD115" i="26"/>
  <c r="AD120" i="26" s="1"/>
  <c r="AD19" i="26"/>
  <c r="AD65" i="26"/>
  <c r="AD70" i="26" s="1"/>
  <c r="AF80" i="26"/>
  <c r="AF136" i="26" s="1"/>
  <c r="AF22" i="26"/>
  <c r="AF56" i="26"/>
  <c r="AF133" i="26" s="1"/>
  <c r="AF13" i="26"/>
  <c r="AF48" i="26"/>
  <c r="AF12" i="26"/>
  <c r="AF55" i="26"/>
  <c r="AF132" i="26" s="1"/>
  <c r="AF30" i="26"/>
  <c r="AF129" i="26" s="1"/>
  <c r="AG7" i="26"/>
  <c r="AF81" i="26"/>
  <c r="AF137" i="26" s="1"/>
  <c r="AF14" i="26"/>
  <c r="AF15" i="26"/>
  <c r="AF126" i="26"/>
  <c r="AF17" i="26"/>
  <c r="AF29" i="26"/>
  <c r="AF128" i="26" s="1"/>
  <c r="AF73" i="26"/>
  <c r="AF9" i="26"/>
  <c r="AF16" i="26"/>
  <c r="AE61" i="26"/>
  <c r="AE34" i="26"/>
  <c r="AE85" i="26"/>
  <c r="AE35" i="26"/>
  <c r="AE86" i="26"/>
  <c r="AE60" i="26"/>
  <c r="AD90" i="26"/>
  <c r="AD95" i="26" s="1"/>
  <c r="AD91" i="26"/>
  <c r="AD96" i="26" s="1"/>
  <c r="AD39" i="26"/>
  <c r="AD44" i="26" s="1"/>
  <c r="AD40" i="26"/>
  <c r="AD45" i="26" s="1"/>
  <c r="AE18" i="26"/>
  <c r="AG106" i="26" l="1"/>
  <c r="AG98" i="26"/>
  <c r="AG105" i="26"/>
  <c r="AF111" i="26"/>
  <c r="AF110" i="26"/>
  <c r="AE116" i="26"/>
  <c r="AE121" i="26" s="1"/>
  <c r="AE115" i="26"/>
  <c r="AE120" i="26" s="1"/>
  <c r="AD121" i="26"/>
  <c r="D111" i="26"/>
  <c r="A110" i="26"/>
  <c r="AF18" i="26"/>
  <c r="AE19" i="26"/>
  <c r="AE91" i="26"/>
  <c r="AE96" i="26" s="1"/>
  <c r="AE65" i="26"/>
  <c r="AE70" i="26" s="1"/>
  <c r="AE90" i="26"/>
  <c r="AE95" i="26" s="1"/>
  <c r="AE66" i="26"/>
  <c r="AE71" i="26" s="1"/>
  <c r="AE39" i="26"/>
  <c r="AE44" i="26" s="1"/>
  <c r="AE40" i="26"/>
  <c r="AE45" i="26" s="1"/>
  <c r="AF85" i="26"/>
  <c r="AF86" i="26"/>
  <c r="AF61" i="26"/>
  <c r="AF34" i="26"/>
  <c r="AF35" i="26"/>
  <c r="AF60" i="26"/>
  <c r="AG80" i="26"/>
  <c r="AG136" i="26" s="1"/>
  <c r="AG30" i="26"/>
  <c r="AG129" i="26" s="1"/>
  <c r="AG12" i="26"/>
  <c r="AG56" i="26"/>
  <c r="AG133" i="26" s="1"/>
  <c r="AG14" i="26"/>
  <c r="AG22" i="26"/>
  <c r="AG17" i="26"/>
  <c r="AG48" i="26"/>
  <c r="AG9" i="26"/>
  <c r="AG29" i="26"/>
  <c r="AG128" i="26" s="1"/>
  <c r="AG16" i="26"/>
  <c r="AG81" i="26"/>
  <c r="AG137" i="26" s="1"/>
  <c r="AG13" i="26"/>
  <c r="AG73" i="26"/>
  <c r="AH7" i="26"/>
  <c r="AG126" i="26"/>
  <c r="AG55" i="26"/>
  <c r="AG132" i="26" s="1"/>
  <c r="AG15" i="26"/>
  <c r="AG111" i="26" l="1"/>
  <c r="AG110" i="26"/>
  <c r="AF115" i="26"/>
  <c r="AF120" i="26" s="1"/>
  <c r="AF116" i="26"/>
  <c r="AF121" i="26" s="1"/>
  <c r="AH106" i="26"/>
  <c r="AH105" i="26"/>
  <c r="AH98" i="26"/>
  <c r="D115" i="26"/>
  <c r="A111" i="26"/>
  <c r="AG61" i="26"/>
  <c r="AG86" i="26"/>
  <c r="AG34" i="26"/>
  <c r="AG35" i="26"/>
  <c r="AG19" i="26"/>
  <c r="AG60" i="26"/>
  <c r="AG85" i="26"/>
  <c r="AH55" i="26"/>
  <c r="AH132" i="26" s="1"/>
  <c r="AI7" i="26"/>
  <c r="AH80" i="26"/>
  <c r="AH136" i="26" s="1"/>
  <c r="AH9" i="26"/>
  <c r="AH81" i="26"/>
  <c r="AH137" i="26" s="1"/>
  <c r="AH13" i="26"/>
  <c r="AH48" i="26"/>
  <c r="AH56" i="26"/>
  <c r="AH133" i="26" s="1"/>
  <c r="AH29" i="26"/>
  <c r="AH128" i="26" s="1"/>
  <c r="AH22" i="26"/>
  <c r="AH30" i="26"/>
  <c r="AH129" i="26" s="1"/>
  <c r="AH15" i="26"/>
  <c r="AH126" i="26"/>
  <c r="AH17" i="26"/>
  <c r="AH12" i="26"/>
  <c r="AH73" i="26"/>
  <c r="AH16" i="26"/>
  <c r="AH14" i="26"/>
  <c r="AG18" i="26"/>
  <c r="AF19" i="26"/>
  <c r="AF91" i="26"/>
  <c r="AF96" i="26" s="1"/>
  <c r="AF65" i="26"/>
  <c r="AF70" i="26" s="1"/>
  <c r="AF90" i="26"/>
  <c r="AF95" i="26" s="1"/>
  <c r="AF66" i="26"/>
  <c r="AF71" i="26" s="1"/>
  <c r="AF40" i="26"/>
  <c r="AF45" i="26" s="1"/>
  <c r="AF39" i="26"/>
  <c r="AF44" i="26" s="1"/>
  <c r="AH110" i="26" l="1"/>
  <c r="AH111" i="26"/>
  <c r="AG115" i="26"/>
  <c r="AG120" i="26" s="1"/>
  <c r="AG116" i="26"/>
  <c r="AG121" i="26" s="1"/>
  <c r="D116" i="26"/>
  <c r="A115" i="26"/>
  <c r="AI106" i="26"/>
  <c r="AI98" i="26"/>
  <c r="AI105" i="26"/>
  <c r="AH18" i="26"/>
  <c r="AH60" i="26"/>
  <c r="AH65" i="26" s="1"/>
  <c r="AH70" i="26" s="1"/>
  <c r="AH85" i="26"/>
  <c r="AH90" i="26" s="1"/>
  <c r="AH95" i="26" s="1"/>
  <c r="AH61" i="26"/>
  <c r="AH66" i="26" s="1"/>
  <c r="AH71" i="26" s="1"/>
  <c r="AH86" i="26"/>
  <c r="AH91" i="26" s="1"/>
  <c r="AH96" i="26" s="1"/>
  <c r="AH35" i="26"/>
  <c r="AH34" i="26"/>
  <c r="AG91" i="26"/>
  <c r="AG96" i="26" s="1"/>
  <c r="AG90" i="26"/>
  <c r="AG95" i="26" s="1"/>
  <c r="AG40" i="26"/>
  <c r="AG45" i="26" s="1"/>
  <c r="AG65" i="26"/>
  <c r="AG70" i="26" s="1"/>
  <c r="AG66" i="26"/>
  <c r="AG71" i="26" s="1"/>
  <c r="AG39" i="26"/>
  <c r="AG44" i="26" s="1"/>
  <c r="AI80" i="26"/>
  <c r="AI136" i="26" s="1"/>
  <c r="AJ7" i="26"/>
  <c r="AI56" i="26"/>
  <c r="AI133" i="26" s="1"/>
  <c r="AI9" i="26"/>
  <c r="AI81" i="26"/>
  <c r="AI137" i="26" s="1"/>
  <c r="AI15" i="26"/>
  <c r="AI30" i="26"/>
  <c r="AI129" i="26" s="1"/>
  <c r="AI12" i="26"/>
  <c r="AI14" i="26"/>
  <c r="AI55" i="26"/>
  <c r="AI132" i="26" s="1"/>
  <c r="AI22" i="26"/>
  <c r="AI29" i="26"/>
  <c r="AI128" i="26" s="1"/>
  <c r="AI126" i="26"/>
  <c r="AI16" i="26"/>
  <c r="AI48" i="26"/>
  <c r="AI73" i="26"/>
  <c r="AI13" i="26"/>
  <c r="AI17" i="26"/>
  <c r="D120" i="26" l="1"/>
  <c r="A116" i="26"/>
  <c r="AI110" i="26"/>
  <c r="AI111" i="26"/>
  <c r="AH19" i="26"/>
  <c r="AH115" i="26"/>
  <c r="AH120" i="26" s="1"/>
  <c r="AH116" i="26"/>
  <c r="AH121" i="26" s="1"/>
  <c r="AJ98" i="26"/>
  <c r="AJ105" i="26"/>
  <c r="AJ106" i="26"/>
  <c r="AH39" i="26"/>
  <c r="AH44" i="26" s="1"/>
  <c r="AH40" i="26"/>
  <c r="AH45" i="26" s="1"/>
  <c r="AI18" i="26"/>
  <c r="AI34" i="26"/>
  <c r="AI39" i="26" s="1"/>
  <c r="AI44" i="26" s="1"/>
  <c r="AI86" i="26"/>
  <c r="AI85" i="26"/>
  <c r="AI61" i="26"/>
  <c r="AI35" i="26"/>
  <c r="AI60" i="26"/>
  <c r="AJ22" i="26"/>
  <c r="AJ14" i="26"/>
  <c r="AJ13" i="26"/>
  <c r="AJ126" i="26"/>
  <c r="AJ48" i="26"/>
  <c r="AJ9" i="26"/>
  <c r="AJ80" i="26"/>
  <c r="AJ136" i="26" s="1"/>
  <c r="AJ29" i="26"/>
  <c r="AJ128" i="26" s="1"/>
  <c r="AJ16" i="26"/>
  <c r="AJ56" i="26"/>
  <c r="AJ133" i="26" s="1"/>
  <c r="AJ17" i="26"/>
  <c r="AJ81" i="26"/>
  <c r="AJ137" i="26" s="1"/>
  <c r="AJ30" i="26"/>
  <c r="AJ129" i="26" s="1"/>
  <c r="AK7" i="26"/>
  <c r="AJ55" i="26"/>
  <c r="AJ132" i="26" s="1"/>
  <c r="AJ15" i="26"/>
  <c r="AJ73" i="26"/>
  <c r="AJ12" i="26"/>
  <c r="AI19" i="26" l="1"/>
  <c r="AI115" i="26"/>
  <c r="AI120" i="26" s="1"/>
  <c r="AI116" i="26"/>
  <c r="AI121" i="26" s="1"/>
  <c r="AJ110" i="26"/>
  <c r="AJ111" i="26"/>
  <c r="AK105" i="26"/>
  <c r="AK106" i="26"/>
  <c r="AK98" i="26"/>
  <c r="AI90" i="26"/>
  <c r="AI95" i="26" s="1"/>
  <c r="D121" i="26"/>
  <c r="A120" i="26"/>
  <c r="A121" i="26" s="1"/>
  <c r="AI65" i="26"/>
  <c r="AI70" i="26" s="1"/>
  <c r="AI40" i="26"/>
  <c r="AI45" i="26" s="1"/>
  <c r="AI66" i="26"/>
  <c r="AI71" i="26" s="1"/>
  <c r="AI91" i="26"/>
  <c r="AI96" i="26" s="1"/>
  <c r="AJ18" i="26"/>
  <c r="AK126" i="26"/>
  <c r="AK29" i="26"/>
  <c r="AK128" i="26" s="1"/>
  <c r="AK16" i="26"/>
  <c r="AK81" i="26"/>
  <c r="AK137" i="26" s="1"/>
  <c r="AK56" i="26"/>
  <c r="AK133" i="26" s="1"/>
  <c r="AL7" i="26"/>
  <c r="AK73" i="26"/>
  <c r="AK15" i="26"/>
  <c r="AK55" i="26"/>
  <c r="AK132" i="26" s="1"/>
  <c r="AK12" i="26"/>
  <c r="AK30" i="26"/>
  <c r="AK129" i="26" s="1"/>
  <c r="AK14" i="26"/>
  <c r="AK80" i="26"/>
  <c r="AK136" i="26" s="1"/>
  <c r="AK13" i="26"/>
  <c r="AK22" i="26"/>
  <c r="AK9" i="26"/>
  <c r="AK48" i="26"/>
  <c r="AK17" i="26"/>
  <c r="AJ85" i="26"/>
  <c r="AJ90" i="26" s="1"/>
  <c r="AJ95" i="26" s="1"/>
  <c r="AJ61" i="26"/>
  <c r="AJ66" i="26" s="1"/>
  <c r="AJ71" i="26" s="1"/>
  <c r="AJ86" i="26"/>
  <c r="AJ91" i="26" s="1"/>
  <c r="AJ96" i="26" s="1"/>
  <c r="AJ60" i="26"/>
  <c r="AJ65" i="26" s="1"/>
  <c r="AJ70" i="26" s="1"/>
  <c r="AJ35" i="26"/>
  <c r="AJ34" i="26"/>
  <c r="AJ39" i="26" s="1"/>
  <c r="AJ44" i="26" s="1"/>
  <c r="AL105" i="26" l="1"/>
  <c r="AL106" i="26"/>
  <c r="AL98" i="26"/>
  <c r="AK110" i="26"/>
  <c r="AK111" i="26"/>
  <c r="AJ19" i="26"/>
  <c r="AJ115" i="26"/>
  <c r="AJ120" i="26" s="1"/>
  <c r="AJ116" i="26"/>
  <c r="AJ121" i="26" s="1"/>
  <c r="AJ40" i="26"/>
  <c r="AJ45" i="26" s="1"/>
  <c r="AK18" i="26"/>
  <c r="AK86" i="26"/>
  <c r="AK34" i="26"/>
  <c r="AK60" i="26"/>
  <c r="AK19" i="26"/>
  <c r="AK35" i="26"/>
  <c r="AK85" i="26"/>
  <c r="AK61" i="26"/>
  <c r="AL81" i="26"/>
  <c r="AL137" i="26" s="1"/>
  <c r="AL15" i="26"/>
  <c r="AL80" i="26"/>
  <c r="AL136" i="26" s="1"/>
  <c r="AL12" i="26"/>
  <c r="AL30" i="26"/>
  <c r="AL129" i="26" s="1"/>
  <c r="AL14" i="26"/>
  <c r="AL55" i="26"/>
  <c r="AL132" i="26" s="1"/>
  <c r="AL9" i="26"/>
  <c r="AL73" i="26"/>
  <c r="AL17" i="26"/>
  <c r="AL22" i="26"/>
  <c r="AL16" i="26"/>
  <c r="AL126" i="26"/>
  <c r="AL48" i="26"/>
  <c r="AL13" i="26"/>
  <c r="AL56" i="26"/>
  <c r="AL133" i="26" s="1"/>
  <c r="AL29" i="26"/>
  <c r="AL128" i="26" s="1"/>
  <c r="AM7" i="26"/>
  <c r="AL110" i="26" l="1"/>
  <c r="AL111" i="26"/>
  <c r="AK116" i="26"/>
  <c r="AK121" i="26" s="1"/>
  <c r="AK115" i="26"/>
  <c r="AK120" i="26" s="1"/>
  <c r="AM105" i="26"/>
  <c r="AM106" i="26"/>
  <c r="AM98" i="26"/>
  <c r="AL86" i="26"/>
  <c r="AL60" i="26"/>
  <c r="AL85" i="26"/>
  <c r="AL34" i="26"/>
  <c r="AL35" i="26"/>
  <c r="AL61" i="26"/>
  <c r="AL18" i="26"/>
  <c r="AM81" i="26"/>
  <c r="AM137" i="26" s="1"/>
  <c r="AM12" i="26"/>
  <c r="AM126" i="26"/>
  <c r="AM73" i="26"/>
  <c r="AM22" i="26"/>
  <c r="AM55" i="26"/>
  <c r="AM132" i="26" s="1"/>
  <c r="AM14" i="26"/>
  <c r="E14" i="26" s="1"/>
  <c r="AM56" i="26"/>
  <c r="AM133" i="26" s="1"/>
  <c r="AM80" i="26"/>
  <c r="AM136" i="26" s="1"/>
  <c r="AM9" i="26"/>
  <c r="AM48" i="26"/>
  <c r="AM16" i="26"/>
  <c r="E16" i="26" s="1"/>
  <c r="AM30" i="26"/>
  <c r="AM129" i="26" s="1"/>
  <c r="AM29" i="26"/>
  <c r="AM128" i="26" s="1"/>
  <c r="AM15" i="26"/>
  <c r="E15" i="26" s="1"/>
  <c r="AM17" i="26"/>
  <c r="E17" i="26" s="1"/>
  <c r="AM13" i="26"/>
  <c r="E13" i="26" s="1"/>
  <c r="AK91" i="26"/>
  <c r="AK96" i="26" s="1"/>
  <c r="AK66" i="26"/>
  <c r="AK71" i="26" s="1"/>
  <c r="AK39" i="26"/>
  <c r="AK44" i="26" s="1"/>
  <c r="AK40" i="26"/>
  <c r="AK45" i="26" s="1"/>
  <c r="AK65" i="26"/>
  <c r="AK70" i="26" s="1"/>
  <c r="AK90" i="26"/>
  <c r="AK95" i="26" s="1"/>
  <c r="AL19" i="26" l="1"/>
  <c r="AL116" i="26"/>
  <c r="AL121" i="26" s="1"/>
  <c r="AL115" i="26"/>
  <c r="AL120" i="26" s="1"/>
  <c r="AM121" i="26"/>
  <c r="AM111" i="26"/>
  <c r="E111" i="26" s="1"/>
  <c r="E106" i="26" s="1"/>
  <c r="AM120" i="26"/>
  <c r="AM110" i="26"/>
  <c r="E110" i="26" s="1"/>
  <c r="E105" i="26" s="1"/>
  <c r="AL90" i="26"/>
  <c r="AL95" i="26" s="1"/>
  <c r="AL91" i="26"/>
  <c r="AL96" i="26" s="1"/>
  <c r="AL65" i="26"/>
  <c r="AL70" i="26" s="1"/>
  <c r="AL39" i="26"/>
  <c r="AL44" i="26" s="1"/>
  <c r="AL66" i="26"/>
  <c r="AL71" i="26" s="1"/>
  <c r="AL40" i="26"/>
  <c r="AL45" i="26" s="1"/>
  <c r="AM71" i="26"/>
  <c r="AM61" i="26"/>
  <c r="E61" i="26" s="1"/>
  <c r="AM70" i="26"/>
  <c r="AM44" i="26"/>
  <c r="AM86" i="26"/>
  <c r="E86" i="26" s="1"/>
  <c r="AM34" i="26"/>
  <c r="E34" i="26" s="1"/>
  <c r="AM60" i="26"/>
  <c r="E60" i="26" s="1"/>
  <c r="E55" i="26" s="1"/>
  <c r="AM19" i="26"/>
  <c r="AM96" i="26"/>
  <c r="AM45" i="26"/>
  <c r="AM95" i="26"/>
  <c r="AM35" i="26"/>
  <c r="E35" i="26" s="1"/>
  <c r="AM85" i="26"/>
  <c r="E85" i="26" s="1"/>
  <c r="E9" i="26"/>
  <c r="AM18" i="26"/>
  <c r="E12" i="26"/>
  <c r="AM116" i="26" l="1"/>
  <c r="E116" i="26" s="1"/>
  <c r="AM115" i="26"/>
  <c r="E115" i="26" s="1"/>
  <c r="E120" i="26" s="1"/>
  <c r="E56" i="26"/>
  <c r="AM66" i="26"/>
  <c r="E66" i="26" s="1"/>
  <c r="AM39" i="26"/>
  <c r="E39" i="26" s="1"/>
  <c r="E44" i="26" s="1"/>
  <c r="AM40" i="26"/>
  <c r="E40" i="26" s="1"/>
  <c r="C5" i="24" s="1"/>
  <c r="C19" i="24" s="1"/>
  <c r="AM90" i="26"/>
  <c r="E90" i="26" s="1"/>
  <c r="E95" i="26" s="1"/>
  <c r="E18" i="26"/>
  <c r="E19" i="26" s="1"/>
  <c r="AM91" i="26"/>
  <c r="E91" i="26" s="1"/>
  <c r="C4" i="24" s="1"/>
  <c r="C18" i="24" s="1"/>
  <c r="AM65" i="26"/>
  <c r="E65" i="26" s="1"/>
  <c r="E70" i="26" s="1"/>
  <c r="E29" i="26"/>
  <c r="E80" i="26"/>
  <c r="E81" i="26"/>
  <c r="E30" i="26"/>
  <c r="C7" i="24" l="1"/>
  <c r="C21" i="24" s="1"/>
  <c r="E121" i="26"/>
  <c r="D7" i="24" s="1"/>
  <c r="D21" i="24" s="1"/>
  <c r="E45" i="26"/>
  <c r="D5" i="24" s="1"/>
  <c r="D19" i="24" s="1"/>
  <c r="E71" i="26"/>
  <c r="D6" i="24" s="1"/>
  <c r="E96" i="26"/>
  <c r="D4" i="24" s="1"/>
  <c r="D18" i="24" s="1"/>
</calcChain>
</file>

<file path=xl/sharedStrings.xml><?xml version="1.0" encoding="utf-8"?>
<sst xmlns="http://schemas.openxmlformats.org/spreadsheetml/2006/main" count="241" uniqueCount="127">
  <si>
    <t>Nominal Discount Rate</t>
  </si>
  <si>
    <t>Inflation Rate</t>
  </si>
  <si>
    <t>Real Discount Rate</t>
  </si>
  <si>
    <t>PVRR(d)</t>
  </si>
  <si>
    <t>Generation (GWh)</t>
  </si>
  <si>
    <t>Project Size (MW)</t>
  </si>
  <si>
    <t>PVRR</t>
  </si>
  <si>
    <t>Capital Rev. Req.</t>
  </si>
  <si>
    <t>O&amp;M</t>
  </si>
  <si>
    <t>Gen Tax</t>
  </si>
  <si>
    <t>Property Tax</t>
  </si>
  <si>
    <t>PTCs</t>
  </si>
  <si>
    <t>Transmission Upgrades</t>
  </si>
  <si>
    <t>Real Lev. 2032-2040</t>
  </si>
  <si>
    <t>Real Lev. 2038-2040</t>
  </si>
  <si>
    <t>MM  '32-'40 Extrap.</t>
  </si>
  <si>
    <t>MM  '38-'40 Extrap.</t>
  </si>
  <si>
    <t>LN  '32-'40 Extrap.</t>
  </si>
  <si>
    <t>LN  '38-'40 Extrap.</t>
  </si>
  <si>
    <t>Project Summary</t>
  </si>
  <si>
    <t>Project Name</t>
  </si>
  <si>
    <t>Structure</t>
  </si>
  <si>
    <t>Capacity (AC)</t>
  </si>
  <si>
    <t>Start Date</t>
  </si>
  <si>
    <t>End Date</t>
  </si>
  <si>
    <t>Term/Life (years)</t>
  </si>
  <si>
    <t>Curve</t>
  </si>
  <si>
    <t>NDC (unadj)</t>
  </si>
  <si>
    <t>NDC (avg CC)</t>
  </si>
  <si>
    <t>NDC (ann CC)</t>
  </si>
  <si>
    <t>Avg Cap Contrib</t>
  </si>
  <si>
    <t>NB/C (unadj)</t>
  </si>
  <si>
    <t>NB/C (avg CC)</t>
  </si>
  <si>
    <t>NB/C (ann CC)</t>
  </si>
  <si>
    <t>BTA</t>
  </si>
  <si>
    <t>Wyoming East</t>
  </si>
  <si>
    <t/>
  </si>
  <si>
    <t>Generation/Capacity</t>
  </si>
  <si>
    <t>Value of Generation</t>
  </si>
  <si>
    <t>Value of RECs (1)</t>
  </si>
  <si>
    <t>Value of Storage</t>
  </si>
  <si>
    <t>Market Value of PTC (2)</t>
  </si>
  <si>
    <t>Capital Revenue Requirement (3) w/o TV</t>
  </si>
  <si>
    <t>RRCap Revenue Requirement (3)</t>
  </si>
  <si>
    <t>Cost of O&amp;M (Storage)</t>
  </si>
  <si>
    <t>Cost of O&amp;M (Generation)</t>
  </si>
  <si>
    <t>Cost of Property Taxes</t>
  </si>
  <si>
    <t>Cost of 
Generation Tax</t>
  </si>
  <si>
    <t>Cost of Integration</t>
  </si>
  <si>
    <t>Cost of Wheeling (4)</t>
  </si>
  <si>
    <t>Direct Assigned Rev Req w/o TV</t>
  </si>
  <si>
    <t>Network Upgrade Rev Req w/o TV</t>
  </si>
  <si>
    <t>CapEx Terminal Value</t>
  </si>
  <si>
    <t>DA Terminal Value</t>
  </si>
  <si>
    <t>NU Terminal Value</t>
  </si>
  <si>
    <t xml:space="preserve">Net Delivery Cost </t>
  </si>
  <si>
    <t>Net Benefit/(Cost)</t>
  </si>
  <si>
    <t>Embedded Terminal Value</t>
  </si>
  <si>
    <t>PV Generation MWh</t>
  </si>
  <si>
    <t>PV Average MW</t>
  </si>
  <si>
    <t>Capacity Factor</t>
  </si>
  <si>
    <t>PV Capacity MW</t>
  </si>
  <si>
    <t>Nom. Lev ($/MWh)</t>
  </si>
  <si>
    <t>Present Value ($)</t>
  </si>
  <si>
    <t>PV ($/kw-mo)</t>
  </si>
  <si>
    <t>Annual</t>
  </si>
  <si>
    <t>Year</t>
  </si>
  <si>
    <t>Value of 
Storage</t>
  </si>
  <si>
    <t>Total MWh</t>
  </si>
  <si>
    <t>Average MW</t>
  </si>
  <si>
    <t>Average CF</t>
  </si>
  <si>
    <t>Capacity MW</t>
  </si>
  <si>
    <t>Totals</t>
  </si>
  <si>
    <t>(1) No assumed price for the Market Value of RECs.</t>
  </si>
  <si>
    <t>(2) Federal PTC and/or State Renewable Incentive</t>
  </si>
  <si>
    <t>(4) Cost of Transmission includes wheeling (PTP, Sch/Disp) and losses</t>
  </si>
  <si>
    <t>Net (Benefit)/Cost ($ million)</t>
  </si>
  <si>
    <t>Net (Benefit)/Cost ($/MWh)</t>
  </si>
  <si>
    <t>Project Costs</t>
  </si>
  <si>
    <t>Project Cost ($/MWh)</t>
  </si>
  <si>
    <t>System (Benefit)/Cost ($ million)</t>
  </si>
  <si>
    <t>Project Costs ($ million)</t>
  </si>
  <si>
    <t>Line</t>
  </si>
  <si>
    <t>No.</t>
  </si>
  <si>
    <t>System (Benefit)/Cost w/ '32-'40 Extrap.</t>
  </si>
  <si>
    <t>System (Benefit)/Cost w/ '38-'40 Extrap.</t>
  </si>
  <si>
    <t>Formula</t>
  </si>
  <si>
    <t>Foote Creek North Asset Purchase Summary</t>
  </si>
  <si>
    <t>Adjusted by Capacity Contribution</t>
  </si>
  <si>
    <t>ACC Value of Energy and Capacity</t>
  </si>
  <si>
    <t>Value of Storage Energy and Reserves</t>
  </si>
  <si>
    <t>Adj Net Benefit/(Cost)</t>
  </si>
  <si>
    <t>Foote Creek North Asset Purchase Annual Cost Detail</t>
  </si>
  <si>
    <t>Cap Contrib</t>
  </si>
  <si>
    <t>System (Benefit)/Cost (2023-2040)</t>
  </si>
  <si>
    <t>MM '32-'40 Extrap.</t>
  </si>
  <si>
    <t>MM '38-'40 Extrap.</t>
  </si>
  <si>
    <t>LN '32-'40 Extrap.</t>
  </si>
  <si>
    <t>LN '38-'40 Extrap.</t>
  </si>
  <si>
    <t>HH '32-'40 Extrap.</t>
  </si>
  <si>
    <t>HH '38-'40 Extrap.</t>
  </si>
  <si>
    <t>(3) Capital Revenue Requirement includes return on capital (7.460%) and capital depreciation expense.</t>
  </si>
  <si>
    <t>HH  '32-'40 Extrap.</t>
  </si>
  <si>
    <t>HH  '38-'40 Extrap.</t>
  </si>
  <si>
    <t>Nom. Lev. Net Benefit ($/MWh of Incremental Energy)</t>
  </si>
  <si>
    <r>
      <t>Medium Natural Gas, Medium CO</t>
    </r>
    <r>
      <rPr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</si>
  <si>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vertAlign val="subscript"/>
        <sz val="12"/>
        <color theme="1"/>
        <rFont val="Times New Roman"/>
        <family val="1"/>
      </rPr>
      <t>2</t>
    </r>
  </si>
  <si>
    <r>
      <t>High Natural Gas, High CO</t>
    </r>
    <r>
      <rPr>
        <vertAlign val="subscript"/>
        <sz val="12"/>
        <color theme="1"/>
        <rFont val="Times New Roman"/>
        <family val="1"/>
      </rPr>
      <t>2</t>
    </r>
  </si>
  <si>
    <t>PVRR(d) Net (Benefit)/Cost
($million)</t>
  </si>
  <si>
    <t>MM</t>
  </si>
  <si>
    <t>Figure 2</t>
  </si>
  <si>
    <t>Sets 2040 basis the match 2039, removing the outlier</t>
  </si>
  <si>
    <t>Table 1 Foote Creek North 110%PTC</t>
  </si>
  <si>
    <t>Table 1 Foote Creek North 60%PTC</t>
  </si>
  <si>
    <t>Foote Creek North Case 2</t>
  </si>
  <si>
    <t>High Natural Gas, High CO2</t>
  </si>
  <si>
    <t>Medium Natural Gas, Medium CO2</t>
  </si>
  <si>
    <t>Low Natural Gas, No CO2</t>
  </si>
  <si>
    <t>Table 1 Foote Creek North 110% vs 60%PTC</t>
  </si>
  <si>
    <t>$38/MWh</t>
  </si>
  <si>
    <t>$25/MWh</t>
  </si>
  <si>
    <t>($8/MWh)</t>
  </si>
  <si>
    <r>
      <t>Medium Natural Gas, Medium CO</t>
    </r>
    <r>
      <rPr>
        <b/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</si>
  <si>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b/>
        <vertAlign val="subscript"/>
        <sz val="12"/>
        <color theme="1"/>
        <rFont val="Times New Roman"/>
        <family val="1"/>
      </rPr>
      <t>2</t>
    </r>
  </si>
  <si>
    <r>
      <t>High Natural Gas, High CO</t>
    </r>
    <r>
      <rPr>
        <b/>
        <vertAlign val="subscript"/>
        <sz val="12"/>
        <color theme="1"/>
        <rFont val="Times New Roman"/>
        <family val="1"/>
      </rPr>
      <t>2</t>
    </r>
  </si>
  <si>
    <t>Medium Natural Gas, SCGHG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</si>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</sst>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0.0"/>
    <numFmt numFmtId="166" formatCode="0.000%"/>
    <numFmt numFmtId="167" formatCode="_(* #,##0_);_(* \(#,##0\);_(* &quot;-&quot;??_);_(@_)"/>
    <numFmt numFmtId="168" formatCode="&quot;$&quot;#,##0.0_);\(&quot;$&quot;#,##0.0\)"/>
    <numFmt numFmtId="169" formatCode="#,##0.0_);[Red]\(#,##0.0\)"/>
    <numFmt numFmtId="170" formatCode="#,##0.0"/>
    <numFmt numFmtId="171" formatCode="&quot;$&quot;#,##0&quot;/MWh&quot;;\(&quot;$&quot;#,##0&quot;/MWh)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  <font>
      <sz val="11"/>
      <color rgb="FF0070C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vertAlign val="sub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vertAlign val="subscript"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5" fontId="2" fillId="0" borderId="0" xfId="0" applyNumberFormat="1" applyFont="1" applyAlignment="1">
      <alignment horizontal="center"/>
    </xf>
    <xf numFmtId="7" fontId="2" fillId="0" borderId="0" xfId="0" applyNumberFormat="1" applyFont="1"/>
    <xf numFmtId="7" fontId="2" fillId="0" borderId="0" xfId="0" applyNumberFormat="1" applyFont="1" applyAlignment="1">
      <alignment horizontal="center"/>
    </xf>
    <xf numFmtId="10" fontId="2" fillId="0" borderId="1" xfId="1" applyNumberFormat="1" applyFont="1" applyBorder="1"/>
    <xf numFmtId="10" fontId="5" fillId="0" borderId="1" xfId="0" applyNumberFormat="1" applyFont="1" applyBorder="1" applyAlignment="1">
      <alignment horizontal="center"/>
    </xf>
    <xf numFmtId="164" fontId="2" fillId="0" borderId="0" xfId="1" applyNumberFormat="1" applyFont="1"/>
    <xf numFmtId="0" fontId="2" fillId="3" borderId="0" xfId="0" applyFont="1" applyFill="1"/>
    <xf numFmtId="166" fontId="3" fillId="0" borderId="1" xfId="0" applyNumberFormat="1" applyFont="1" applyBorder="1"/>
    <xf numFmtId="168" fontId="2" fillId="0" borderId="0" xfId="0" applyNumberFormat="1" applyFont="1" applyAlignment="1">
      <alignment horizontal="center"/>
    </xf>
    <xf numFmtId="168" fontId="2" fillId="0" borderId="0" xfId="0" applyNumberFormat="1" applyFont="1"/>
    <xf numFmtId="0" fontId="8" fillId="0" borderId="0" xfId="0" applyFont="1"/>
    <xf numFmtId="0" fontId="10" fillId="4" borderId="0" xfId="0" applyFont="1" applyFill="1"/>
    <xf numFmtId="0" fontId="11" fillId="4" borderId="0" xfId="0" applyFont="1" applyFill="1"/>
    <xf numFmtId="0" fontId="10" fillId="0" borderId="0" xfId="0" applyFont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8" fontId="10" fillId="4" borderId="0" xfId="0" applyNumberFormat="1" applyFont="1" applyFill="1"/>
    <xf numFmtId="0" fontId="10" fillId="4" borderId="1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8" fontId="10" fillId="0" borderId="1" xfId="0" applyNumberFormat="1" applyFont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8" fontId="10" fillId="2" borderId="1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7" fontId="10" fillId="4" borderId="0" xfId="0" applyNumberFormat="1" applyFont="1" applyFill="1"/>
    <xf numFmtId="0" fontId="10" fillId="4" borderId="0" xfId="0" applyFont="1" applyFill="1" applyAlignment="1">
      <alignment horizontal="center"/>
    </xf>
    <xf numFmtId="0" fontId="7" fillId="5" borderId="1" xfId="3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4" borderId="1" xfId="3" applyFont="1" applyFill="1" applyBorder="1" applyAlignment="1">
      <alignment horizontal="center" wrapText="1"/>
    </xf>
    <xf numFmtId="0" fontId="7" fillId="0" borderId="1" xfId="3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5" borderId="3" xfId="3" applyFont="1" applyFill="1" applyBorder="1" applyAlignment="1">
      <alignment horizontal="center" wrapText="1"/>
    </xf>
    <xf numFmtId="0" fontId="7" fillId="6" borderId="5" xfId="3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8" fontId="10" fillId="7" borderId="1" xfId="0" applyNumberFormat="1" applyFont="1" applyFill="1" applyBorder="1" applyAlignment="1">
      <alignment horizontal="center" vertical="center" wrapText="1"/>
    </xf>
    <xf numFmtId="8" fontId="10" fillId="0" borderId="1" xfId="0" applyNumberFormat="1" applyFont="1" applyBorder="1" applyAlignment="1">
      <alignment horizontal="center" vertical="center" wrapText="1"/>
    </xf>
    <xf numFmtId="8" fontId="10" fillId="0" borderId="3" xfId="0" applyNumberFormat="1" applyFont="1" applyBorder="1" applyAlignment="1">
      <alignment horizontal="center" vertical="center" wrapText="1"/>
    </xf>
    <xf numFmtId="8" fontId="10" fillId="4" borderId="1" xfId="0" applyNumberFormat="1" applyFont="1" applyFill="1" applyBorder="1" applyAlignment="1">
      <alignment horizontal="center" vertical="center" wrapText="1"/>
    </xf>
    <xf numFmtId="8" fontId="10" fillId="0" borderId="4" xfId="0" applyNumberFormat="1" applyFont="1" applyBorder="1" applyAlignment="1">
      <alignment horizontal="center" vertical="center" wrapText="1"/>
    </xf>
    <xf numFmtId="8" fontId="10" fillId="5" borderId="3" xfId="0" applyNumberFormat="1" applyFont="1" applyFill="1" applyBorder="1" applyAlignment="1">
      <alignment horizontal="center" vertical="center" wrapText="1"/>
    </xf>
    <xf numFmtId="8" fontId="10" fillId="6" borderId="7" xfId="0" applyNumberFormat="1" applyFont="1" applyFill="1" applyBorder="1" applyAlignment="1">
      <alignment horizontal="center" vertical="center" wrapText="1"/>
    </xf>
    <xf numFmtId="8" fontId="10" fillId="0" borderId="6" xfId="0" applyNumberFormat="1" applyFont="1" applyBorder="1" applyAlignment="1">
      <alignment horizontal="center" vertical="center" wrapText="1"/>
    </xf>
    <xf numFmtId="167" fontId="10" fillId="4" borderId="0" xfId="0" applyNumberFormat="1" applyFont="1" applyFill="1"/>
    <xf numFmtId="6" fontId="10" fillId="5" borderId="8" xfId="0" applyNumberFormat="1" applyFont="1" applyFill="1" applyBorder="1" applyAlignment="1">
      <alignment horizontal="center"/>
    </xf>
    <xf numFmtId="6" fontId="10" fillId="0" borderId="8" xfId="0" applyNumberFormat="1" applyFont="1" applyBorder="1" applyAlignment="1">
      <alignment horizontal="center"/>
    </xf>
    <xf numFmtId="6" fontId="10" fillId="0" borderId="9" xfId="0" applyNumberFormat="1" applyFont="1" applyBorder="1" applyAlignment="1">
      <alignment horizontal="center"/>
    </xf>
    <xf numFmtId="6" fontId="10" fillId="4" borderId="8" xfId="0" applyNumberFormat="1" applyFont="1" applyFill="1" applyBorder="1" applyAlignment="1">
      <alignment horizontal="center"/>
    </xf>
    <xf numFmtId="6" fontId="10" fillId="0" borderId="1" xfId="0" applyNumberFormat="1" applyFont="1" applyBorder="1" applyAlignment="1">
      <alignment horizontal="center"/>
    </xf>
    <xf numFmtId="6" fontId="10" fillId="0" borderId="4" xfId="0" applyNumberFormat="1" applyFont="1" applyBorder="1" applyAlignment="1">
      <alignment horizontal="center"/>
    </xf>
    <xf numFmtId="6" fontId="10" fillId="5" borderId="9" xfId="0" applyNumberFormat="1" applyFont="1" applyFill="1" applyBorder="1" applyAlignment="1">
      <alignment horizontal="center"/>
    </xf>
    <xf numFmtId="6" fontId="10" fillId="6" borderId="10" xfId="0" applyNumberFormat="1" applyFont="1" applyFill="1" applyBorder="1" applyAlignment="1">
      <alignment horizontal="center"/>
    </xf>
    <xf numFmtId="6" fontId="10" fillId="0" borderId="6" xfId="0" applyNumberFormat="1" applyFont="1" applyBorder="1" applyAlignment="1">
      <alignment horizontal="center"/>
    </xf>
    <xf numFmtId="38" fontId="10" fillId="0" borderId="1" xfId="0" applyNumberFormat="1" applyFont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 wrapText="1"/>
    </xf>
    <xf numFmtId="9" fontId="10" fillId="0" borderId="1" xfId="4" applyFont="1" applyBorder="1" applyAlignment="1">
      <alignment horizontal="center" vertical="center" wrapText="1"/>
    </xf>
    <xf numFmtId="8" fontId="10" fillId="5" borderId="1" xfId="0" applyNumberFormat="1" applyFont="1" applyFill="1" applyBorder="1" applyAlignment="1">
      <alignment horizontal="center"/>
    </xf>
    <xf numFmtId="8" fontId="10" fillId="0" borderId="1" xfId="0" applyNumberFormat="1" applyFont="1" applyBorder="1" applyAlignment="1">
      <alignment horizontal="center"/>
    </xf>
    <xf numFmtId="8" fontId="10" fillId="4" borderId="1" xfId="0" applyNumberFormat="1" applyFont="1" applyFill="1" applyBorder="1" applyAlignment="1">
      <alignment horizontal="center"/>
    </xf>
    <xf numFmtId="8" fontId="10" fillId="5" borderId="11" xfId="0" applyNumberFormat="1" applyFont="1" applyFill="1" applyBorder="1" applyAlignment="1">
      <alignment horizontal="center"/>
    </xf>
    <xf numFmtId="8" fontId="10" fillId="6" borderId="12" xfId="0" applyNumberFormat="1" applyFont="1" applyFill="1" applyBorder="1" applyAlignment="1">
      <alignment horizontal="center"/>
    </xf>
    <xf numFmtId="38" fontId="10" fillId="0" borderId="0" xfId="0" applyNumberFormat="1" applyFont="1" applyAlignment="1">
      <alignment horizontal="center" vertical="center" wrapText="1"/>
    </xf>
    <xf numFmtId="38" fontId="10" fillId="4" borderId="0" xfId="0" applyNumberFormat="1" applyFont="1" applyFill="1" applyAlignment="1">
      <alignment horizontal="center" vertical="center" wrapText="1"/>
    </xf>
    <xf numFmtId="9" fontId="10" fillId="0" borderId="0" xfId="4" applyFont="1" applyBorder="1" applyAlignment="1">
      <alignment horizontal="center" vertical="center" wrapText="1"/>
    </xf>
    <xf numFmtId="0" fontId="13" fillId="4" borderId="0" xfId="0" applyFont="1" applyFill="1"/>
    <xf numFmtId="5" fontId="14" fillId="4" borderId="0" xfId="0" applyNumberFormat="1" applyFont="1" applyFill="1" applyAlignment="1">
      <alignment horizontal="center"/>
    </xf>
    <xf numFmtId="37" fontId="10" fillId="4" borderId="0" xfId="0" applyNumberFormat="1" applyFont="1" applyFill="1"/>
    <xf numFmtId="0" fontId="10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6" fontId="10" fillId="0" borderId="1" xfId="2" applyNumberFormat="1" applyFont="1" applyFill="1" applyBorder="1" applyAlignment="1">
      <alignment horizontal="center"/>
    </xf>
    <xf numFmtId="6" fontId="10" fillId="0" borderId="3" xfId="2" applyNumberFormat="1" applyFont="1" applyFill="1" applyBorder="1" applyAlignment="1">
      <alignment horizontal="center"/>
    </xf>
    <xf numFmtId="6" fontId="10" fillId="0" borderId="7" xfId="2" applyNumberFormat="1" applyFont="1" applyFill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170" fontId="10" fillId="0" borderId="1" xfId="2" applyNumberFormat="1" applyFont="1" applyBorder="1" applyAlignment="1">
      <alignment horizontal="center"/>
    </xf>
    <xf numFmtId="9" fontId="10" fillId="0" borderId="1" xfId="4" applyFont="1" applyFill="1" applyBorder="1" applyAlignment="1">
      <alignment horizontal="center"/>
    </xf>
    <xf numFmtId="6" fontId="10" fillId="0" borderId="1" xfId="2" applyNumberFormat="1" applyFont="1" applyBorder="1" applyAlignment="1">
      <alignment horizontal="center"/>
    </xf>
    <xf numFmtId="9" fontId="10" fillId="0" borderId="1" xfId="4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6" fontId="10" fillId="0" borderId="13" xfId="2" applyNumberFormat="1" applyFont="1" applyFill="1" applyBorder="1" applyAlignment="1">
      <alignment horizontal="center"/>
    </xf>
    <xf numFmtId="6" fontId="10" fillId="0" borderId="13" xfId="2" applyNumberFormat="1" applyFont="1" applyBorder="1" applyAlignment="1">
      <alignment horizontal="center"/>
    </xf>
    <xf numFmtId="6" fontId="10" fillId="0" borderId="11" xfId="2" applyNumberFormat="1" applyFont="1" applyFill="1" applyBorder="1" applyAlignment="1">
      <alignment horizontal="center"/>
    </xf>
    <xf numFmtId="6" fontId="10" fillId="0" borderId="13" xfId="0" applyNumberFormat="1" applyFont="1" applyBorder="1" applyAlignment="1">
      <alignment horizontal="center"/>
    </xf>
    <xf numFmtId="6" fontId="10" fillId="0" borderId="12" xfId="2" applyNumberFormat="1" applyFont="1" applyFill="1" applyBorder="1" applyAlignment="1">
      <alignment horizontal="center"/>
    </xf>
    <xf numFmtId="3" fontId="10" fillId="0" borderId="13" xfId="2" applyNumberFormat="1" applyFont="1" applyBorder="1" applyAlignment="1">
      <alignment horizontal="center"/>
    </xf>
    <xf numFmtId="170" fontId="10" fillId="0" borderId="13" xfId="2" applyNumberFormat="1" applyFont="1" applyBorder="1" applyAlignment="1">
      <alignment horizontal="center"/>
    </xf>
    <xf numFmtId="9" fontId="10" fillId="0" borderId="13" xfId="4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6" fontId="10" fillId="0" borderId="14" xfId="2" applyNumberFormat="1" applyFont="1" applyBorder="1" applyAlignment="1">
      <alignment horizontal="center"/>
    </xf>
    <xf numFmtId="6" fontId="10" fillId="0" borderId="14" xfId="2" applyNumberFormat="1" applyFont="1" applyFill="1" applyBorder="1" applyAlignment="1">
      <alignment horizontal="center"/>
    </xf>
    <xf numFmtId="6" fontId="10" fillId="0" borderId="15" xfId="2" applyNumberFormat="1" applyFont="1" applyBorder="1" applyAlignment="1">
      <alignment horizontal="center"/>
    </xf>
    <xf numFmtId="6" fontId="10" fillId="0" borderId="14" xfId="0" applyNumberFormat="1" applyFont="1" applyBorder="1" applyAlignment="1">
      <alignment horizontal="center"/>
    </xf>
    <xf numFmtId="6" fontId="10" fillId="0" borderId="15" xfId="2" applyNumberFormat="1" applyFont="1" applyFill="1" applyBorder="1" applyAlignment="1">
      <alignment horizontal="center"/>
    </xf>
    <xf numFmtId="6" fontId="10" fillId="0" borderId="16" xfId="2" applyNumberFormat="1" applyFont="1" applyFill="1" applyBorder="1" applyAlignment="1">
      <alignment horizontal="center"/>
    </xf>
    <xf numFmtId="3" fontId="10" fillId="0" borderId="14" xfId="2" applyNumberFormat="1" applyFont="1" applyBorder="1" applyAlignment="1">
      <alignment horizontal="center"/>
    </xf>
    <xf numFmtId="170" fontId="10" fillId="0" borderId="14" xfId="2" applyNumberFormat="1" applyFont="1" applyBorder="1" applyAlignment="1">
      <alignment horizontal="center"/>
    </xf>
    <xf numFmtId="9" fontId="10" fillId="0" borderId="14" xfId="4" applyFont="1" applyBorder="1" applyAlignment="1">
      <alignment horizontal="center"/>
    </xf>
    <xf numFmtId="6" fontId="10" fillId="0" borderId="3" xfId="2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6" fontId="10" fillId="0" borderId="8" xfId="2" applyNumberFormat="1" applyFont="1" applyBorder="1" applyAlignment="1">
      <alignment horizontal="center"/>
    </xf>
    <xf numFmtId="6" fontId="10" fillId="0" borderId="8" xfId="2" applyNumberFormat="1" applyFont="1" applyFill="1" applyBorder="1" applyAlignment="1">
      <alignment horizontal="center"/>
    </xf>
    <xf numFmtId="6" fontId="10" fillId="0" borderId="9" xfId="2" applyNumberFormat="1" applyFont="1" applyBorder="1" applyAlignment="1">
      <alignment horizontal="center"/>
    </xf>
    <xf numFmtId="6" fontId="10" fillId="0" borderId="9" xfId="2" applyNumberFormat="1" applyFont="1" applyFill="1" applyBorder="1" applyAlignment="1">
      <alignment horizontal="center"/>
    </xf>
    <xf numFmtId="3" fontId="10" fillId="0" borderId="8" xfId="2" applyNumberFormat="1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6" fontId="10" fillId="0" borderId="11" xfId="2" applyNumberFormat="1" applyFont="1" applyBorder="1" applyAlignment="1">
      <alignment horizontal="center"/>
    </xf>
    <xf numFmtId="9" fontId="10" fillId="0" borderId="13" xfId="4" applyFont="1" applyFill="1" applyBorder="1" applyAlignment="1">
      <alignment horizontal="center"/>
    </xf>
    <xf numFmtId="9" fontId="10" fillId="2" borderId="1" xfId="4" applyFont="1" applyFill="1" applyBorder="1" applyAlignment="1">
      <alignment horizontal="center"/>
    </xf>
    <xf numFmtId="6" fontId="10" fillId="0" borderId="15" xfId="0" applyNumberFormat="1" applyFont="1" applyBorder="1" applyAlignment="1">
      <alignment horizontal="center"/>
    </xf>
    <xf numFmtId="6" fontId="10" fillId="0" borderId="17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7" fontId="10" fillId="4" borderId="0" xfId="0" applyNumberFormat="1" applyFont="1" applyFill="1" applyAlignment="1">
      <alignment horizontal="center"/>
    </xf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7" fillId="0" borderId="0" xfId="0" applyFont="1"/>
    <xf numFmtId="0" fontId="16" fillId="0" borderId="18" xfId="0" applyFont="1" applyBorder="1"/>
    <xf numFmtId="0" fontId="17" fillId="0" borderId="3" xfId="0" applyFont="1" applyBorder="1"/>
    <xf numFmtId="0" fontId="17" fillId="0" borderId="18" xfId="0" applyFont="1" applyBorder="1"/>
    <xf numFmtId="37" fontId="2" fillId="0" borderId="0" xfId="0" applyNumberFormat="1" applyFont="1" applyAlignment="1">
      <alignment horizontal="center" wrapText="1"/>
    </xf>
    <xf numFmtId="0" fontId="10" fillId="4" borderId="0" xfId="3" applyFont="1" applyFill="1" applyAlignment="1">
      <alignment horizontal="center" wrapText="1"/>
    </xf>
    <xf numFmtId="7" fontId="14" fillId="4" borderId="0" xfId="0" applyNumberFormat="1" applyFont="1" applyFill="1" applyAlignment="1">
      <alignment horizontal="center"/>
    </xf>
    <xf numFmtId="10" fontId="10" fillId="4" borderId="1" xfId="1" applyNumberFormat="1" applyFont="1" applyFill="1" applyBorder="1" applyAlignment="1">
      <alignment horizontal="center"/>
    </xf>
    <xf numFmtId="10" fontId="10" fillId="4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8" fillId="0" borderId="1" xfId="0" applyFont="1" applyBorder="1"/>
    <xf numFmtId="3" fontId="8" fillId="0" borderId="0" xfId="0" applyNumberFormat="1" applyFont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2" xfId="0" applyNumberFormat="1" applyFont="1" applyBorder="1" applyAlignment="1">
      <alignment horizontal="center"/>
    </xf>
    <xf numFmtId="7" fontId="8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7" fillId="0" borderId="21" xfId="0" applyFont="1" applyBorder="1" applyAlignment="1">
      <alignment horizontal="center" vertical="center" wrapText="1"/>
    </xf>
    <xf numFmtId="0" fontId="0" fillId="0" borderId="0" xfId="0" applyAlignment="1"/>
    <xf numFmtId="0" fontId="19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7" fontId="22" fillId="0" borderId="24" xfId="0" applyNumberFormat="1" applyFont="1" applyBorder="1" applyAlignment="1">
      <alignment horizontal="center" vertical="center"/>
    </xf>
    <xf numFmtId="7" fontId="22" fillId="0" borderId="22" xfId="0" applyNumberFormat="1" applyFont="1" applyBorder="1" applyAlignment="1">
      <alignment horizontal="center" vertical="center"/>
    </xf>
    <xf numFmtId="8" fontId="0" fillId="0" borderId="0" xfId="0" applyNumberFormat="1"/>
    <xf numFmtId="0" fontId="23" fillId="0" borderId="0" xfId="0" applyFont="1"/>
    <xf numFmtId="5" fontId="0" fillId="0" borderId="0" xfId="0" applyNumberFormat="1"/>
    <xf numFmtId="0" fontId="24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5" fillId="0" borderId="0" xfId="0" applyFont="1"/>
    <xf numFmtId="0" fontId="2" fillId="0" borderId="3" xfId="0" applyFont="1" applyBorder="1"/>
    <xf numFmtId="10" fontId="5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8" fontId="6" fillId="0" borderId="2" xfId="0" applyNumberFormat="1" applyFont="1" applyBorder="1" applyAlignment="1">
      <alignment horizontal="center"/>
    </xf>
    <xf numFmtId="0" fontId="9" fillId="0" borderId="0" xfId="0" applyFont="1"/>
    <xf numFmtId="0" fontId="2" fillId="2" borderId="0" xfId="0" applyFont="1" applyFill="1"/>
    <xf numFmtId="8" fontId="10" fillId="0" borderId="0" xfId="0" applyNumberFormat="1" applyFont="1"/>
    <xf numFmtId="171" fontId="19" fillId="0" borderId="25" xfId="0" applyNumberFormat="1" applyFont="1" applyBorder="1" applyAlignment="1">
      <alignment horizontal="center"/>
    </xf>
    <xf numFmtId="7" fontId="2" fillId="0" borderId="0" xfId="0" applyNumberFormat="1" applyFont="1" applyFill="1" applyAlignment="1">
      <alignment horizontal="center"/>
    </xf>
    <xf numFmtId="7" fontId="2" fillId="2" borderId="0" xfId="0" applyNumberFormat="1" applyFont="1" applyFill="1" applyAlignment="1">
      <alignment horizontal="center"/>
    </xf>
  </cellXfs>
  <cellStyles count="5">
    <cellStyle name="Comma 2" xfId="2" xr:uid="{00000000-0005-0000-0000-000000000000}"/>
    <cellStyle name="Normal" xfId="0" builtinId="0"/>
    <cellStyle name="Normal_Stacey_RFP08 All Source_ Intermediates Summary_ FINAL_UpdtFmts" xfId="3" xr:uid="{00000000-0005-0000-0000-000002000000}"/>
    <cellStyle name="Percent" xfId="1" builtinId="5"/>
    <cellStyle name="Percent 2" xfId="4" xr:uid="{00000000-0005-0000-0000-000004000000}"/>
  </cellStyles>
  <dxfs count="3"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 xr9:uid="{00000000-0011-0000-FFFF-FFFF00000000}">
      <tableStyleElement type="headerRow" dxfId="2"/>
      <tableStyleElement type="first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Annual Nominal System Costs - MM Price-Policy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5"/>
          <c:order val="0"/>
          <c:tx>
            <c:strRef>
              <c:f>'Change in System Costs'!$B$2:$D$2</c:f>
              <c:strCache>
                <c:ptCount val="3"/>
                <c:pt idx="0">
                  <c:v>MM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23"/>
            <c:spPr>
              <a:solidFill>
                <a:schemeClr val="tx1"/>
              </a:solidFill>
              <a:ln>
                <a:solidFill>
                  <a:schemeClr val="tx1">
                    <a:alpha val="95000"/>
                  </a:schemeClr>
                </a:solidFill>
              </a:ln>
              <a:effectLst>
                <a:glow rad="101600">
                  <a:schemeClr val="tx1">
                    <a:alpha val="40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'Change in System Costs'!$E$1:$X$1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'Change in System Costs'!$E$2:$X$2</c:f>
              <c:numCache>
                <c:formatCode>"$"#,##0_);\("$"#,##0\)</c:formatCode>
                <c:ptCount val="20"/>
                <c:pt idx="2">
                  <c:v>-0.7436060988642399</c:v>
                </c:pt>
                <c:pt idx="3">
                  <c:v>-1.6755929951612334</c:v>
                </c:pt>
                <c:pt idx="4">
                  <c:v>-2.265232500480113</c:v>
                </c:pt>
                <c:pt idx="5">
                  <c:v>-3.4965497043210143</c:v>
                </c:pt>
                <c:pt idx="6">
                  <c:v>-3.8344390065267184</c:v>
                </c:pt>
                <c:pt idx="7">
                  <c:v>-4.7219752344222989</c:v>
                </c:pt>
                <c:pt idx="8">
                  <c:v>-6.9960631839789329</c:v>
                </c:pt>
                <c:pt idx="9">
                  <c:v>-7.5544501793003338</c:v>
                </c:pt>
                <c:pt idx="10">
                  <c:v>-8.0600928629393032</c:v>
                </c:pt>
                <c:pt idx="11">
                  <c:v>-9.0151244923198703</c:v>
                </c:pt>
                <c:pt idx="12">
                  <c:v>-7.4280147343456475</c:v>
                </c:pt>
                <c:pt idx="13">
                  <c:v>-1.6570073227259634</c:v>
                </c:pt>
                <c:pt idx="14">
                  <c:v>-1.9139861554324593</c:v>
                </c:pt>
                <c:pt idx="15">
                  <c:v>-4.8831080870119887</c:v>
                </c:pt>
                <c:pt idx="16">
                  <c:v>-2.9364021663482154</c:v>
                </c:pt>
                <c:pt idx="17">
                  <c:v>-6.0880057369036908</c:v>
                </c:pt>
                <c:pt idx="18">
                  <c:v>-5.0898571920055531</c:v>
                </c:pt>
                <c:pt idx="19">
                  <c:v>-21.338502190817209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8E-4B00-87CD-0B7E59E078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1197744"/>
        <c:axId val="361198528"/>
        <c:extLst/>
      </c:lineChart>
      <c:catAx>
        <c:axId val="36119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8528"/>
        <c:crosses val="autoZero"/>
        <c:auto val="1"/>
        <c:lblAlgn val="ctr"/>
        <c:lblOffset val="100"/>
        <c:noMultiLvlLbl val="0"/>
      </c:catAx>
      <c:valAx>
        <c:axId val="361198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7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1502835</xdr:colOff>
      <xdr:row>6</xdr:row>
      <xdr:rowOff>171449</xdr:rowOff>
    </xdr:from>
    <xdr:to>
      <xdr:col>15</xdr:col>
      <xdr:colOff>201085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C15140-9B6E-4D7A-8947-A78D1E34A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Data1\Tools\Annual%20Report%20Generator\Annual%20Results%20Report%20Generator%20A+R%20(2019%20IRP,%204.28.202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(FSLW%20020918)+rb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Bid%20Evaluation\2017R\Assumptions\Tax%2021%25%20Fed%20Final\PTC\105P_WY_PAC_TB%20Flats%20I_250%20MW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CPCN%20(2019%20IRP,%208.06.2020)%20thru%20205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1</v>
          </cell>
          <cell r="N10">
            <v>1</v>
          </cell>
        </row>
        <row r="11">
          <cell r="I11" t="b">
            <v>0</v>
          </cell>
          <cell r="N11">
            <v>0</v>
          </cell>
        </row>
        <row r="12">
          <cell r="I12" t="b">
            <v>1</v>
          </cell>
        </row>
        <row r="13">
          <cell r="I13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Repower Costs"/>
      <sheetName val="Wind Costs"/>
      <sheetName val="Solar Costs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0</v>
          </cell>
          <cell r="N10">
            <v>1</v>
          </cell>
        </row>
        <row r="11">
          <cell r="I11" t="b">
            <v>1</v>
          </cell>
          <cell r="N11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7">
          <cell r="E7">
            <v>-0.67919489107989672</v>
          </cell>
        </row>
      </sheetData>
      <sheetData sheetId="5">
        <row r="9">
          <cell r="F9">
            <v>28.444699985600003</v>
          </cell>
        </row>
      </sheetData>
      <sheetData sheetId="6">
        <row r="13">
          <cell r="F13">
            <v>0.97748965596505888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"/>
      <sheetName val="Diagram"/>
      <sheetName val="Revenue Requirement"/>
      <sheetName val="ResultsSummary"/>
      <sheetName val="Unhide All"/>
      <sheetName val="Results Overview"/>
      <sheetName val="IRP Data v3"/>
      <sheetName val="IRP Calc v3"/>
      <sheetName val="Generic (Purchase) (Init)"/>
      <sheetName val="Generic (Purchase) (RR)"/>
      <sheetName val="Revenue Requirement (GW)"/>
      <sheetName val="Network Upgrade Cash Flow"/>
      <sheetName val="Repower Extend"/>
      <sheetName val="Simple Summary"/>
      <sheetName val="Log"/>
      <sheetName val="12 x 24"/>
      <sheetName val="CapitalCosts"/>
      <sheetName val="O&amp;MCostSummary"/>
      <sheetName val="Wind Farm Annual (esc)"/>
      <sheetName val="Wind Farm Annual"/>
      <sheetName val="Detail"/>
      <sheetName val="Invenergy-Leases"/>
      <sheetName val="TransmissionCostInformation"/>
      <sheetName val="Bid Summary"/>
      <sheetName val="8760 Energy Production"/>
      <sheetName val="PPA Pricing"/>
      <sheetName val="Purchase Option"/>
      <sheetName val="BTA Pricing"/>
      <sheetName val="CashFlows"/>
      <sheetName val="OMAG, Land &amp; CapEx"/>
      <sheetName val="IRP vs. Bench BTA RFP"/>
      <sheetName val="Form 1 Inputs PPA"/>
      <sheetName val="Form 1 Inputs BTA"/>
      <sheetName val="Wind &amp; Solar Costs"/>
      <sheetName val="Gross Margin Chart"/>
      <sheetName val="Net Econ Chart"/>
      <sheetName val="Cap Factor Chart"/>
      <sheetName val="Chart Data"/>
      <sheetName val="Curve Chart"/>
      <sheetName val="Integration Costs"/>
      <sheetName val="Tracking"/>
      <sheetName val="Additional Comments"/>
      <sheetName val="Main"/>
      <sheetName val="Wholesale Valuation"/>
      <sheetName val="Generic (Lease)"/>
      <sheetName val="Generic (Purchase)"/>
      <sheetName val="Initial Capital + AFUDC (Lease)"/>
      <sheetName val="Initial Capital + AFUDC"/>
      <sheetName val="On-Going Capital"/>
      <sheetName val="Production Costs"/>
      <sheetName val="Multipliers Input"/>
      <sheetName val="Extended Forecast"/>
      <sheetName val="Wind_Input"/>
      <sheetName val="Terminal Value Calculation"/>
      <sheetName val="Schedule 37"/>
      <sheetName val="IRP Avoided Prices"/>
      <sheetName val="System Benefit Curves"/>
      <sheetName val="Emissions Input"/>
      <sheetName val="Curves"/>
      <sheetName val="Discount Factors"/>
      <sheetName val="Lookups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Y4">
            <v>0.245866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214">
          <cell r="C214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7A4D8-B5E8-44E4-AEE6-96F096473F94}">
  <sheetPr>
    <tabColor theme="4" tint="0.39997558519241921"/>
  </sheetPr>
  <dimension ref="B2:D21"/>
  <sheetViews>
    <sheetView showGridLines="0" tabSelected="1" zoomScale="90" zoomScaleNormal="90" workbookViewId="0">
      <selection activeCell="B2" sqref="B2"/>
    </sheetView>
  </sheetViews>
  <sheetFormatPr defaultRowHeight="15" x14ac:dyDescent="0.25"/>
  <cols>
    <col min="2" max="2" width="32.85546875" style="149" bestFit="1" customWidth="1"/>
    <col min="3" max="4" width="15.85546875" style="149" customWidth="1"/>
  </cols>
  <sheetData>
    <row r="2" spans="2:4" ht="15.75" thickBot="1" x14ac:dyDescent="0.3">
      <c r="B2" s="149" t="s">
        <v>112</v>
      </c>
    </row>
    <row r="3" spans="2:4" ht="93.75" customHeight="1" thickBot="1" x14ac:dyDescent="0.3">
      <c r="B3" s="151"/>
      <c r="C3" s="148" t="s">
        <v>108</v>
      </c>
      <c r="D3" s="152" t="s">
        <v>104</v>
      </c>
    </row>
    <row r="4" spans="2:4" ht="19.5" thickBot="1" x14ac:dyDescent="0.3">
      <c r="B4" s="153" t="s">
        <v>107</v>
      </c>
      <c r="C4" s="154">
        <f>'FC North Economics'!$E$91</f>
        <v>-104.22516479410393</v>
      </c>
      <c r="D4" s="171">
        <f>-'FC North Economics'!$E$96</f>
        <v>48.650823523551729</v>
      </c>
    </row>
    <row r="5" spans="2:4" ht="19.5" thickBot="1" x14ac:dyDescent="0.3">
      <c r="B5" s="153" t="s">
        <v>105</v>
      </c>
      <c r="C5" s="154">
        <f>'FC North Economics'!$E$40</f>
        <v>-76.486793424154044</v>
      </c>
      <c r="D5" s="171">
        <f>-'FC North Economics'!$E$45</f>
        <v>35.702946559134467</v>
      </c>
    </row>
    <row r="6" spans="2:4" ht="19.5" thickBot="1" x14ac:dyDescent="0.3">
      <c r="B6" s="150" t="s">
        <v>106</v>
      </c>
      <c r="C6" s="155">
        <f>'FC North Economics'!$E$66</f>
        <v>-6.3284098748039082</v>
      </c>
      <c r="D6" s="171">
        <f>-'FC North Economics'!$E$71</f>
        <v>2.9540116593915338</v>
      </c>
    </row>
    <row r="7" spans="2:4" ht="19.5" thickBot="1" x14ac:dyDescent="0.3">
      <c r="B7" s="153" t="s">
        <v>125</v>
      </c>
      <c r="C7" s="155">
        <f>'FC North Economics'!$E$116</f>
        <v>-166.18668758078121</v>
      </c>
      <c r="D7" s="171">
        <f>-'FC North Economics'!$E$121</f>
        <v>77.573580482490073</v>
      </c>
    </row>
    <row r="9" spans="2:4" ht="15.75" thickBot="1" x14ac:dyDescent="0.3">
      <c r="B9" t="s">
        <v>113</v>
      </c>
      <c r="C9"/>
      <c r="D9"/>
    </row>
    <row r="10" spans="2:4" ht="79.5" thickBot="1" x14ac:dyDescent="0.3">
      <c r="B10" s="151"/>
      <c r="C10" s="148" t="s">
        <v>108</v>
      </c>
      <c r="D10" s="152" t="s">
        <v>104</v>
      </c>
    </row>
    <row r="11" spans="2:4" ht="16.5" thickBot="1" x14ac:dyDescent="0.3">
      <c r="B11" s="153" t="s">
        <v>115</v>
      </c>
      <c r="C11" s="154">
        <v>-80.804704578303756</v>
      </c>
      <c r="D11" s="171">
        <v>37.71848603048867</v>
      </c>
    </row>
    <row r="12" spans="2:4" ht="16.5" thickBot="1" x14ac:dyDescent="0.3">
      <c r="B12" s="153" t="s">
        <v>116</v>
      </c>
      <c r="C12" s="154">
        <v>-53.066333208353882</v>
      </c>
      <c r="D12" s="171">
        <v>24.770609066071408</v>
      </c>
    </row>
    <row r="13" spans="2:4" ht="16.5" thickBot="1" x14ac:dyDescent="0.3">
      <c r="B13" s="150" t="s">
        <v>117</v>
      </c>
      <c r="C13" s="155">
        <v>17.092050340996256</v>
      </c>
      <c r="D13" s="171">
        <v>-7.9783258336715219</v>
      </c>
    </row>
    <row r="14" spans="2:4" ht="16.5" thickBot="1" x14ac:dyDescent="0.3">
      <c r="B14" s="153" t="s">
        <v>125</v>
      </c>
      <c r="C14" s="155">
        <v>-142.76622736498101</v>
      </c>
      <c r="D14" s="171">
        <v>66.641242989426999</v>
      </c>
    </row>
    <row r="16" spans="2:4" ht="15.75" thickBot="1" x14ac:dyDescent="0.3">
      <c r="B16" t="s">
        <v>118</v>
      </c>
      <c r="C16"/>
      <c r="D16"/>
    </row>
    <row r="17" spans="2:4" ht="79.5" thickBot="1" x14ac:dyDescent="0.3">
      <c r="B17" s="151"/>
      <c r="C17" s="148" t="s">
        <v>108</v>
      </c>
      <c r="D17" s="152" t="s">
        <v>104</v>
      </c>
    </row>
    <row r="18" spans="2:4" ht="16.5" thickBot="1" x14ac:dyDescent="0.3">
      <c r="B18" s="153" t="s">
        <v>115</v>
      </c>
      <c r="C18" s="154">
        <f t="shared" ref="C18:D21" si="0">C4-C11</f>
        <v>-23.420460215800176</v>
      </c>
      <c r="D18" s="171">
        <f t="shared" si="0"/>
        <v>10.932337493063059</v>
      </c>
    </row>
    <row r="19" spans="2:4" ht="16.5" thickBot="1" x14ac:dyDescent="0.3">
      <c r="B19" s="153" t="s">
        <v>116</v>
      </c>
      <c r="C19" s="154">
        <f t="shared" si="0"/>
        <v>-23.420460215800162</v>
      </c>
      <c r="D19" s="171">
        <f t="shared" si="0"/>
        <v>10.932337493063059</v>
      </c>
    </row>
    <row r="20" spans="2:4" ht="16.5" thickBot="1" x14ac:dyDescent="0.3">
      <c r="B20" s="150" t="s">
        <v>117</v>
      </c>
      <c r="C20" s="154">
        <f t="shared" si="0"/>
        <v>-23.420460215800162</v>
      </c>
      <c r="D20" s="171">
        <f t="shared" si="0"/>
        <v>10.932337493063056</v>
      </c>
    </row>
    <row r="21" spans="2:4" ht="16.5" thickBot="1" x14ac:dyDescent="0.3">
      <c r="B21" s="153" t="s">
        <v>125</v>
      </c>
      <c r="C21" s="154">
        <f t="shared" si="0"/>
        <v>-23.420460215800205</v>
      </c>
      <c r="D21" s="171">
        <f t="shared" si="0"/>
        <v>10.932337493063073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B595C-BB11-4755-9ECC-596AE1F082E0}">
  <sheetPr>
    <tabColor theme="4" tint="-0.249977111117893"/>
  </sheetPr>
  <dimension ref="A2:AM139"/>
  <sheetViews>
    <sheetView view="pageLayout" zoomScale="70" zoomScaleNormal="85" zoomScalePageLayoutView="70" workbookViewId="0"/>
  </sheetViews>
  <sheetFormatPr defaultRowHeight="15" outlineLevelRow="1" outlineLevelCol="1" x14ac:dyDescent="0.25"/>
  <cols>
    <col min="1" max="1" width="4.7109375" style="1" customWidth="1"/>
    <col min="2" max="2" width="1.7109375" style="1" customWidth="1"/>
    <col min="3" max="3" width="30.5703125" style="1" customWidth="1"/>
    <col min="4" max="4" width="9.7109375" style="1" customWidth="1"/>
    <col min="5" max="5" width="11.28515625" style="1" customWidth="1"/>
    <col min="6" max="7" width="11.28515625" style="1" customWidth="1" outlineLevel="1"/>
    <col min="8" max="8" width="9.140625" style="1" customWidth="1"/>
    <col min="9" max="11" width="9.140625" style="1"/>
    <col min="12" max="12" width="9.28515625" style="1" customWidth="1"/>
    <col min="13" max="16" width="9.140625" style="1"/>
    <col min="17" max="17" width="12" style="1" bestFit="1" customWidth="1"/>
    <col min="18" max="24" width="9.140625" style="1"/>
    <col min="25" max="39" width="10.28515625" style="1" bestFit="1" customWidth="1"/>
    <col min="40" max="16384" width="9.140625" style="1"/>
  </cols>
  <sheetData>
    <row r="2" spans="1:39" x14ac:dyDescent="0.25">
      <c r="C2" s="163" t="s">
        <v>0</v>
      </c>
      <c r="D2" s="8">
        <v>6.88E-2</v>
      </c>
      <c r="F2" s="164"/>
      <c r="G2" s="164"/>
      <c r="H2" s="169" t="s">
        <v>111</v>
      </c>
      <c r="I2" s="169"/>
      <c r="J2" s="169"/>
      <c r="K2" s="169"/>
      <c r="L2" s="169"/>
      <c r="M2" s="169"/>
    </row>
    <row r="3" spans="1:39" x14ac:dyDescent="0.25">
      <c r="C3" s="163" t="s">
        <v>1</v>
      </c>
      <c r="D3" s="11">
        <v>2.155E-2</v>
      </c>
      <c r="F3" s="164"/>
      <c r="G3" s="164"/>
    </row>
    <row r="4" spans="1:39" x14ac:dyDescent="0.25">
      <c r="A4" s="127" t="s">
        <v>82</v>
      </c>
      <c r="B4" s="127"/>
      <c r="C4" s="163" t="s">
        <v>2</v>
      </c>
      <c r="D4" s="7">
        <f>(1+D2)/(1+D3)-1</f>
        <v>4.6253242621506541E-2</v>
      </c>
      <c r="F4" s="164"/>
      <c r="G4" s="164"/>
    </row>
    <row r="5" spans="1:39" x14ac:dyDescent="0.25">
      <c r="A5" s="130" t="s">
        <v>83</v>
      </c>
      <c r="B5" s="127"/>
      <c r="C5" s="128" t="s">
        <v>5</v>
      </c>
      <c r="D5" s="2">
        <f>'FC North'!$E$4</f>
        <v>46.2</v>
      </c>
      <c r="F5" s="127"/>
      <c r="G5" s="127"/>
      <c r="J5" s="9">
        <f>J9/($D$5*8760)*1000</f>
        <v>0.49067979204965662</v>
      </c>
    </row>
    <row r="6" spans="1:39" ht="6" customHeight="1" x14ac:dyDescent="0.25"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</row>
    <row r="7" spans="1:39" ht="15.75" x14ac:dyDescent="0.25">
      <c r="A7" s="133" t="str">
        <f>'FC North'!$C$4</f>
        <v>Foote Creek North Case 2</v>
      </c>
      <c r="B7" s="134"/>
      <c r="C7" s="129"/>
      <c r="D7" s="141" t="s">
        <v>86</v>
      </c>
      <c r="E7" s="141" t="s">
        <v>3</v>
      </c>
      <c r="F7" s="142">
        <f>G7-1</f>
        <v>2021</v>
      </c>
      <c r="G7" s="142">
        <f>H7-1</f>
        <v>2022</v>
      </c>
      <c r="H7" s="141">
        <v>2023</v>
      </c>
      <c r="I7" s="141">
        <f>H7+1</f>
        <v>2024</v>
      </c>
      <c r="J7" s="141">
        <f t="shared" ref="J7:AM7" si="0">I7+1</f>
        <v>2025</v>
      </c>
      <c r="K7" s="141">
        <f t="shared" si="0"/>
        <v>2026</v>
      </c>
      <c r="L7" s="141">
        <f t="shared" si="0"/>
        <v>2027</v>
      </c>
      <c r="M7" s="141">
        <f t="shared" si="0"/>
        <v>2028</v>
      </c>
      <c r="N7" s="141">
        <f t="shared" si="0"/>
        <v>2029</v>
      </c>
      <c r="O7" s="141">
        <f t="shared" si="0"/>
        <v>2030</v>
      </c>
      <c r="P7" s="141">
        <f t="shared" si="0"/>
        <v>2031</v>
      </c>
      <c r="Q7" s="141">
        <f t="shared" si="0"/>
        <v>2032</v>
      </c>
      <c r="R7" s="141">
        <f t="shared" si="0"/>
        <v>2033</v>
      </c>
      <c r="S7" s="141">
        <f t="shared" si="0"/>
        <v>2034</v>
      </c>
      <c r="T7" s="141">
        <f t="shared" si="0"/>
        <v>2035</v>
      </c>
      <c r="U7" s="141">
        <f t="shared" si="0"/>
        <v>2036</v>
      </c>
      <c r="V7" s="141">
        <f t="shared" si="0"/>
        <v>2037</v>
      </c>
      <c r="W7" s="141">
        <f t="shared" si="0"/>
        <v>2038</v>
      </c>
      <c r="X7" s="141">
        <f t="shared" si="0"/>
        <v>2039</v>
      </c>
      <c r="Y7" s="141">
        <f t="shared" si="0"/>
        <v>2040</v>
      </c>
      <c r="Z7" s="141">
        <f t="shared" si="0"/>
        <v>2041</v>
      </c>
      <c r="AA7" s="141">
        <f t="shared" si="0"/>
        <v>2042</v>
      </c>
      <c r="AB7" s="141">
        <f t="shared" si="0"/>
        <v>2043</v>
      </c>
      <c r="AC7" s="141">
        <f t="shared" si="0"/>
        <v>2044</v>
      </c>
      <c r="AD7" s="141">
        <f t="shared" si="0"/>
        <v>2045</v>
      </c>
      <c r="AE7" s="141">
        <f t="shared" si="0"/>
        <v>2046</v>
      </c>
      <c r="AF7" s="141">
        <f t="shared" si="0"/>
        <v>2047</v>
      </c>
      <c r="AG7" s="141">
        <f t="shared" si="0"/>
        <v>2048</v>
      </c>
      <c r="AH7" s="141">
        <f t="shared" si="0"/>
        <v>2049</v>
      </c>
      <c r="AI7" s="141">
        <f t="shared" si="0"/>
        <v>2050</v>
      </c>
      <c r="AJ7" s="141">
        <f t="shared" si="0"/>
        <v>2051</v>
      </c>
      <c r="AK7" s="141">
        <f t="shared" si="0"/>
        <v>2052</v>
      </c>
      <c r="AL7" s="141">
        <f t="shared" si="0"/>
        <v>2053</v>
      </c>
      <c r="AM7" s="141">
        <f t="shared" si="0"/>
        <v>2054</v>
      </c>
    </row>
    <row r="8" spans="1:39" ht="6" customHeight="1" x14ac:dyDescent="0.25"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</row>
    <row r="9" spans="1:39" x14ac:dyDescent="0.25">
      <c r="A9" s="126">
        <f>MIN(A$1:A7)-1</f>
        <v>-1</v>
      </c>
      <c r="B9" s="126"/>
      <c r="C9" s="14" t="s">
        <v>4</v>
      </c>
      <c r="E9" s="143">
        <f>NPV($D$2,F9:AM9)*(1+$D$2)^0.5</f>
        <v>2142.3103915938609</v>
      </c>
      <c r="F9" s="165">
        <f>IFERROR(INDEX('FC North'!$X$14:$X$54,MATCH(F$7,'FC North'!$B$14:$B$54,0),1),0)/1000</f>
        <v>0</v>
      </c>
      <c r="G9" s="165">
        <f>IFERROR(INDEX('FC North'!$X$14:$X$54,MATCH(G$7,'FC North'!$B$14:$B$54,0),1),0)/1000</f>
        <v>0</v>
      </c>
      <c r="H9" s="165">
        <f>IFERROR(INDEX('FC North'!$X$14:$X$54,MATCH(H$7,'FC North'!$B$14:$B$54,0),1),0)/1000</f>
        <v>46.287262577259241</v>
      </c>
      <c r="I9" s="165">
        <f>IFERROR(INDEX('FC North'!$X$14:$X$54,MATCH(I$7,'FC North'!$B$14:$B$54,0),1),0)/1000</f>
        <v>199.33125103338799</v>
      </c>
      <c r="J9" s="165">
        <f>IFERROR(INDEX('FC North'!$X$14:$X$54,MATCH(J$7,'FC North'!$B$14:$B$54,0),1),0)/1000</f>
        <v>198.5840000000006</v>
      </c>
      <c r="K9" s="165">
        <f>IFERROR(INDEX('FC North'!$X$14:$X$54,MATCH(K$7,'FC North'!$B$14:$B$54,0),1),0)/1000</f>
        <v>198.5840000000006</v>
      </c>
      <c r="L9" s="165">
        <f>IFERROR(INDEX('FC North'!$X$14:$X$54,MATCH(L$7,'FC North'!$B$14:$B$54,0),1),0)/1000</f>
        <v>198.5840000000006</v>
      </c>
      <c r="M9" s="165">
        <f>IFERROR(INDEX('FC North'!$X$14:$X$54,MATCH(M$7,'FC North'!$B$14:$B$54,0),1),0)/1000</f>
        <v>199.33125103338799</v>
      </c>
      <c r="N9" s="165">
        <f>IFERROR(INDEX('FC North'!$X$14:$X$54,MATCH(N$7,'FC North'!$B$14:$B$54,0),1),0)/1000</f>
        <v>198.5840000000006</v>
      </c>
      <c r="O9" s="165">
        <f>IFERROR(INDEX('FC North'!$X$14:$X$54,MATCH(O$7,'FC North'!$B$14:$B$54,0),1),0)/1000</f>
        <v>198.5840000000006</v>
      </c>
      <c r="P9" s="165">
        <f>IFERROR(INDEX('FC North'!$X$14:$X$54,MATCH(P$7,'FC North'!$B$14:$B$54,0),1),0)/1000</f>
        <v>198.5840000000006</v>
      </c>
      <c r="Q9" s="165">
        <f>IFERROR(INDEX('FC North'!$X$14:$X$54,MATCH(Q$7,'FC North'!$B$14:$B$54,0),1),0)/1000</f>
        <v>199.33125103338799</v>
      </c>
      <c r="R9" s="165">
        <f>IFERROR(INDEX('FC North'!$X$14:$X$54,MATCH(R$7,'FC North'!$B$14:$B$54,0),1),0)/1000</f>
        <v>198.5840000000006</v>
      </c>
      <c r="S9" s="165">
        <f>IFERROR(INDEX('FC North'!$X$14:$X$54,MATCH(S$7,'FC North'!$B$14:$B$54,0),1),0)/1000</f>
        <v>198.5840000000006</v>
      </c>
      <c r="T9" s="165">
        <f>IFERROR(INDEX('FC North'!$X$14:$X$54,MATCH(T$7,'FC North'!$B$14:$B$54,0),1),0)/1000</f>
        <v>198.5840000000006</v>
      </c>
      <c r="U9" s="165">
        <f>IFERROR(INDEX('FC North'!$X$14:$X$54,MATCH(U$7,'FC North'!$B$14:$B$54,0),1),0)/1000</f>
        <v>199.33125103338799</v>
      </c>
      <c r="V9" s="165">
        <f>IFERROR(INDEX('FC North'!$X$14:$X$54,MATCH(V$7,'FC North'!$B$14:$B$54,0),1),0)/1000</f>
        <v>198.5840000000006</v>
      </c>
      <c r="W9" s="165">
        <f>IFERROR(INDEX('FC North'!$X$14:$X$54,MATCH(W$7,'FC North'!$B$14:$B$54,0),1),0)/1000</f>
        <v>198.5840000000006</v>
      </c>
      <c r="X9" s="165">
        <f>IFERROR(INDEX('FC North'!$X$14:$X$54,MATCH(X$7,'FC North'!$B$14:$B$54,0),1),0)/1000</f>
        <v>198.5840000000006</v>
      </c>
      <c r="Y9" s="165">
        <f>IFERROR(INDEX('FC North'!$X$14:$X$54,MATCH(Y$7,'FC North'!$B$14:$B$54,0),1),0)/1000</f>
        <v>199.33125103338799</v>
      </c>
      <c r="Z9" s="165">
        <f>IFERROR(INDEX('FC North'!$X$14:$X$54,MATCH(Z$7,'FC North'!$B$14:$B$54,0),1),0)/1000</f>
        <v>198.5840000000006</v>
      </c>
      <c r="AA9" s="165">
        <f>IFERROR(INDEX('FC North'!$X$14:$X$54,MATCH(AA$7,'FC North'!$B$14:$B$54,0),1),0)/1000</f>
        <v>198.5840000000006</v>
      </c>
      <c r="AB9" s="165">
        <f>IFERROR(INDEX('FC North'!$X$14:$X$54,MATCH(AB$7,'FC North'!$B$14:$B$54,0),1),0)/1000</f>
        <v>198.5840000000006</v>
      </c>
      <c r="AC9" s="165">
        <f>IFERROR(INDEX('FC North'!$X$14:$X$54,MATCH(AC$7,'FC North'!$B$14:$B$54,0),1),0)/1000</f>
        <v>199.33125103338799</v>
      </c>
      <c r="AD9" s="165">
        <f>IFERROR(INDEX('FC North'!$X$14:$X$54,MATCH(AD$7,'FC North'!$B$14:$B$54,0),1),0)/1000</f>
        <v>198.5840000000006</v>
      </c>
      <c r="AE9" s="165">
        <f>IFERROR(INDEX('FC North'!$X$14:$X$54,MATCH(AE$7,'FC North'!$B$14:$B$54,0),1),0)/1000</f>
        <v>198.5840000000006</v>
      </c>
      <c r="AF9" s="165">
        <f>IFERROR(INDEX('FC North'!$X$14:$X$54,MATCH(AF$7,'FC North'!$B$14:$B$54,0),1),0)/1000</f>
        <v>198.5840000000006</v>
      </c>
      <c r="AG9" s="165">
        <f>IFERROR(INDEX('FC North'!$X$14:$X$54,MATCH(AG$7,'FC North'!$B$14:$B$54,0),1),0)/1000</f>
        <v>199.33125103338799</v>
      </c>
      <c r="AH9" s="165">
        <f>IFERROR(INDEX('FC North'!$X$14:$X$54,MATCH(AH$7,'FC North'!$B$14:$B$54,0),1),0)/1000</f>
        <v>198.5840000000006</v>
      </c>
      <c r="AI9" s="165">
        <f>IFERROR(INDEX('FC North'!$X$14:$X$54,MATCH(AI$7,'FC North'!$B$14:$B$54,0),1),0)/1000</f>
        <v>198.5840000000006</v>
      </c>
      <c r="AJ9" s="165">
        <f>IFERROR(INDEX('FC North'!$X$14:$X$54,MATCH(AJ$7,'FC North'!$B$14:$B$54,0),1),0)/1000</f>
        <v>198.5840000000006</v>
      </c>
      <c r="AK9" s="165">
        <f>IFERROR(INDEX('FC North'!$X$14:$X$54,MATCH(AK$7,'FC North'!$B$14:$B$54,0),1),0)/1000</f>
        <v>187.75943538907322</v>
      </c>
      <c r="AL9" s="165">
        <f>IFERROR(INDEX('FC North'!$X$14:$X$54,MATCH(AL$7,'FC North'!$B$14:$B$54,0),1),0)/1000</f>
        <v>114.22255306705603</v>
      </c>
      <c r="AM9" s="165">
        <f>IFERROR(INDEX('FC North'!$X$14:$X$54,MATCH(AM$7,'FC North'!$B$14:$B$54,0),1),0)/1000</f>
        <v>0</v>
      </c>
    </row>
    <row r="10" spans="1:39" ht="6" customHeight="1" x14ac:dyDescent="0.25">
      <c r="E10" s="144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</row>
    <row r="11" spans="1:39" hidden="1" outlineLevel="1" x14ac:dyDescent="0.25">
      <c r="A11" s="14" t="s">
        <v>78</v>
      </c>
      <c r="B11" s="14"/>
      <c r="E11" s="14"/>
    </row>
    <row r="12" spans="1:39" hidden="1" outlineLevel="1" x14ac:dyDescent="0.25">
      <c r="C12" s="1" t="s">
        <v>7</v>
      </c>
      <c r="E12" s="144">
        <f t="shared" ref="E12:E18" si="1">NPV($D$2,F12:AM12)*(1+$D$2)^0.5</f>
        <v>79.644262358274844</v>
      </c>
      <c r="F12" s="166">
        <f>-(+IFERROR(INDEX('FC North'!$G$14:$G$54,MATCH(F$7,'FC North'!$B$14:$B$54,0),1),0)+IFERROR(INDEX('FC North'!$H$14:$H$54,MATCH(F$7,'FC North'!$B$14:$B$54,0),1),0)+IFERROR(INDEX('FC North'!$Q$14:$Q$54,MATCH(F$7,'FC North'!$B$14:$B$54,0),1),0))/1000000</f>
        <v>0</v>
      </c>
      <c r="G12" s="166">
        <f>-(+IFERROR(INDEX('FC North'!$G$14:$G$54,MATCH(G$7,'FC North'!$B$14:$B$54,0),1),0)+IFERROR(INDEX('FC North'!$H$14:$H$54,MATCH(G$7,'FC North'!$B$14:$B$54,0),1),0)+IFERROR(INDEX('FC North'!$Q$14:$Q$54,MATCH(G$7,'FC North'!$B$14:$B$54,0),1),0))/1000000</f>
        <v>0</v>
      </c>
      <c r="H12" s="166">
        <f>-(+IFERROR(INDEX('FC North'!$G$14:$G$54,MATCH(H$7,'FC North'!$B$14:$B$54,0),1),0)+IFERROR(INDEX('FC North'!$H$14:$H$54,MATCH(H$7,'FC North'!$B$14:$B$54,0),1),0)+IFERROR(INDEX('FC North'!$Q$14:$Q$54,MATCH(H$7,'FC North'!$B$14:$B$54,0),1),0))/1000000</f>
        <v>1.945753070342876</v>
      </c>
      <c r="I12" s="166">
        <f>-(+IFERROR(INDEX('FC North'!$G$14:$G$54,MATCH(I$7,'FC North'!$B$14:$B$54,0),1),0)+IFERROR(INDEX('FC North'!$H$14:$H$54,MATCH(I$7,'FC North'!$B$14:$B$54,0),1),0)+IFERROR(INDEX('FC North'!$Q$14:$Q$54,MATCH(I$7,'FC North'!$B$14:$B$54,0),1),0))/1000000</f>
        <v>9.7430749846971061</v>
      </c>
      <c r="J12" s="166">
        <f>-(+IFERROR(INDEX('FC North'!$G$14:$G$54,MATCH(J$7,'FC North'!$B$14:$B$54,0),1),0)+IFERROR(INDEX('FC North'!$H$14:$H$54,MATCH(J$7,'FC North'!$B$14:$B$54,0),1),0)+IFERROR(INDEX('FC North'!$Q$14:$Q$54,MATCH(J$7,'FC North'!$B$14:$B$54,0),1),0))/1000000</f>
        <v>9.1526830317828463</v>
      </c>
      <c r="K12" s="166">
        <f>-(+IFERROR(INDEX('FC North'!$G$14:$G$54,MATCH(K$7,'FC North'!$B$14:$B$54,0),1),0)+IFERROR(INDEX('FC North'!$H$14:$H$54,MATCH(K$7,'FC North'!$B$14:$B$54,0),1),0)+IFERROR(INDEX('FC North'!$Q$14:$Q$54,MATCH(K$7,'FC North'!$B$14:$B$54,0),1),0))/1000000</f>
        <v>8.7325126562497228</v>
      </c>
      <c r="L12" s="166">
        <f>-(+IFERROR(INDEX('FC North'!$G$14:$G$54,MATCH(L$7,'FC North'!$B$14:$B$54,0),1),0)+IFERROR(INDEX('FC North'!$H$14:$H$54,MATCH(L$7,'FC North'!$B$14:$B$54,0),1),0)+IFERROR(INDEX('FC North'!$Q$14:$Q$54,MATCH(L$7,'FC North'!$B$14:$B$54,0),1),0))/1000000</f>
        <v>8.3759965636335547</v>
      </c>
      <c r="M12" s="166">
        <f>-(+IFERROR(INDEX('FC North'!$G$14:$G$54,MATCH(M$7,'FC North'!$B$14:$B$54,0),1),0)+IFERROR(INDEX('FC North'!$H$14:$H$54,MATCH(M$7,'FC North'!$B$14:$B$54,0),1),0)+IFERROR(INDEX('FC North'!$Q$14:$Q$54,MATCH(M$7,'FC North'!$B$14:$B$54,0),1),0))/1000000</f>
        <v>8.0673474800928116</v>
      </c>
      <c r="N12" s="166">
        <f>-(+IFERROR(INDEX('FC North'!$G$14:$G$54,MATCH(N$7,'FC North'!$B$14:$B$54,0),1),0)+IFERROR(INDEX('FC North'!$H$14:$H$54,MATCH(N$7,'FC North'!$B$14:$B$54,0),1),0)+IFERROR(INDEX('FC North'!$Q$14:$Q$54,MATCH(N$7,'FC North'!$B$14:$B$54,0),1),0))/1000000</f>
        <v>7.8551770225573438</v>
      </c>
      <c r="O12" s="166">
        <f>-(+IFERROR(INDEX('FC North'!$G$14:$G$54,MATCH(O$7,'FC North'!$B$14:$B$54,0),1),0)+IFERROR(INDEX('FC North'!$H$14:$H$54,MATCH(O$7,'FC North'!$B$14:$B$54,0),1),0)+IFERROR(INDEX('FC North'!$Q$14:$Q$54,MATCH(O$7,'FC North'!$B$14:$B$54,0),1),0))/1000000</f>
        <v>7.6916724938005148</v>
      </c>
      <c r="P12" s="166">
        <f>-(+IFERROR(INDEX('FC North'!$G$14:$G$54,MATCH(P$7,'FC North'!$B$14:$B$54,0),1),0)+IFERROR(INDEX('FC North'!$H$14:$H$54,MATCH(P$7,'FC North'!$B$14:$B$54,0),1),0)+IFERROR(INDEX('FC North'!$Q$14:$Q$54,MATCH(P$7,'FC North'!$B$14:$B$54,0),1),0))/1000000</f>
        <v>7.5287638438333868</v>
      </c>
      <c r="Q12" s="166">
        <f>-(+IFERROR(INDEX('FC North'!$G$14:$G$54,MATCH(Q$7,'FC North'!$B$14:$B$54,0),1),0)+IFERROR(INDEX('FC North'!$H$14:$H$54,MATCH(Q$7,'FC North'!$B$14:$B$54,0),1),0)+IFERROR(INDEX('FC North'!$Q$14:$Q$54,MATCH(Q$7,'FC North'!$B$14:$B$54,0),1),0))/1000000</f>
        <v>7.3665017717511407</v>
      </c>
      <c r="R12" s="166">
        <f>-(+IFERROR(INDEX('FC North'!$G$14:$G$54,MATCH(R$7,'FC North'!$B$14:$B$54,0),1),0)+IFERROR(INDEX('FC North'!$H$14:$H$54,MATCH(R$7,'FC North'!$B$14:$B$54,0),1),0)+IFERROR(INDEX('FC North'!$Q$14:$Q$54,MATCH(R$7,'FC North'!$B$14:$B$54,0),1),0))/1000000</f>
        <v>7.2049160532627212</v>
      </c>
      <c r="S12" s="166">
        <f>-(+IFERROR(INDEX('FC North'!$G$14:$G$54,MATCH(S$7,'FC North'!$B$14:$B$54,0),1),0)+IFERROR(INDEX('FC North'!$H$14:$H$54,MATCH(S$7,'FC North'!$B$14:$B$54,0),1),0)+IFERROR(INDEX('FC North'!$Q$14:$Q$54,MATCH(S$7,'FC North'!$B$14:$B$54,0),1),0))/1000000</f>
        <v>7.0440772355560837</v>
      </c>
      <c r="T12" s="166">
        <f>-(+IFERROR(INDEX('FC North'!$G$14:$G$54,MATCH(T$7,'FC North'!$B$14:$B$54,0),1),0)+IFERROR(INDEX('FC North'!$H$14:$H$54,MATCH(T$7,'FC North'!$B$14:$B$54,0),1),0)+IFERROR(INDEX('FC North'!$Q$14:$Q$54,MATCH(T$7,'FC North'!$B$14:$B$54,0),1),0))/1000000</f>
        <v>6.8869867627741161</v>
      </c>
      <c r="U12" s="166">
        <f>-(+IFERROR(INDEX('FC North'!$G$14:$G$54,MATCH(U$7,'FC North'!$B$14:$B$54,0),1),0)+IFERROR(INDEX('FC North'!$H$14:$H$54,MATCH(U$7,'FC North'!$B$14:$B$54,0),1),0)+IFERROR(INDEX('FC North'!$Q$14:$Q$54,MATCH(U$7,'FC North'!$B$14:$B$54,0),1),0))/1000000</f>
        <v>6.7670236889257556</v>
      </c>
      <c r="V12" s="166">
        <f>-(+IFERROR(INDEX('FC North'!$G$14:$G$54,MATCH(V$7,'FC North'!$B$14:$B$54,0),1),0)+IFERROR(INDEX('FC North'!$H$14:$H$54,MATCH(V$7,'FC North'!$B$14:$B$54,0),1),0)+IFERROR(INDEX('FC North'!$Q$14:$Q$54,MATCH(V$7,'FC North'!$B$14:$B$54,0),1),0))/1000000</f>
        <v>6.6824525694399233</v>
      </c>
      <c r="W12" s="166">
        <f>-(+IFERROR(INDEX('FC North'!$G$14:$G$54,MATCH(W$7,'FC North'!$B$14:$B$54,0),1),0)+IFERROR(INDEX('FC North'!$H$14:$H$54,MATCH(W$7,'FC North'!$B$14:$B$54,0),1),0)+IFERROR(INDEX('FC North'!$Q$14:$Q$54,MATCH(W$7,'FC North'!$B$14:$B$54,0),1),0))/1000000</f>
        <v>6.5977366465036589</v>
      </c>
      <c r="X12" s="166">
        <f>-(+IFERROR(INDEX('FC North'!$G$14:$G$54,MATCH(X$7,'FC North'!$B$14:$B$54,0),1),0)+IFERROR(INDEX('FC North'!$H$14:$H$54,MATCH(X$7,'FC North'!$B$14:$B$54,0),1),0)+IFERROR(INDEX('FC North'!$Q$14:$Q$54,MATCH(X$7,'FC North'!$B$14:$B$54,0),1),0))/1000000</f>
        <v>6.5143766517215935</v>
      </c>
      <c r="Y12" s="166">
        <f>-(+IFERROR(INDEX('FC North'!$G$14:$G$54,MATCH(Y$7,'FC North'!$B$14:$B$54,0),1),0)+IFERROR(INDEX('FC North'!$H$14:$H$54,MATCH(Y$7,'FC North'!$B$14:$B$54,0),1),0)+IFERROR(INDEX('FC North'!$Q$14:$Q$54,MATCH(Y$7,'FC North'!$B$14:$B$54,0),1),0))/1000000</f>
        <v>6.433320044629621</v>
      </c>
      <c r="Z12" s="166">
        <f>-(+IFERROR(INDEX('FC North'!$G$14:$G$54,MATCH(Z$7,'FC North'!$B$14:$B$54,0),1),0)+IFERROR(INDEX('FC North'!$H$14:$H$54,MATCH(Z$7,'FC North'!$B$14:$B$54,0),1),0)+IFERROR(INDEX('FC North'!$Q$14:$Q$54,MATCH(Z$7,'FC North'!$B$14:$B$54,0),1),0))/1000000</f>
        <v>6.3556102198569722</v>
      </c>
      <c r="AA12" s="166">
        <f>-(+IFERROR(INDEX('FC North'!$G$14:$G$54,MATCH(AA$7,'FC North'!$B$14:$B$54,0),1),0)+IFERROR(INDEX('FC North'!$H$14:$H$54,MATCH(AA$7,'FC North'!$B$14:$B$54,0),1),0)+IFERROR(INDEX('FC North'!$Q$14:$Q$54,MATCH(AA$7,'FC North'!$B$14:$B$54,0),1),0))/1000000</f>
        <v>6.2828059511973606</v>
      </c>
      <c r="AB12" s="166">
        <f>-(+IFERROR(INDEX('FC North'!$G$14:$G$54,MATCH(AB$7,'FC North'!$B$14:$B$54,0),1),0)+IFERROR(INDEX('FC North'!$H$14:$H$54,MATCH(AB$7,'FC North'!$B$14:$B$54,0),1),0)+IFERROR(INDEX('FC North'!$Q$14:$Q$54,MATCH(AB$7,'FC North'!$B$14:$B$54,0),1),0))/1000000</f>
        <v>6.2164664950155757</v>
      </c>
      <c r="AC12" s="166">
        <f>-(+IFERROR(INDEX('FC North'!$G$14:$G$54,MATCH(AC$7,'FC North'!$B$14:$B$54,0),1),0)+IFERROR(INDEX('FC North'!$H$14:$H$54,MATCH(AC$7,'FC North'!$B$14:$B$54,0),1),0)+IFERROR(INDEX('FC North'!$Q$14:$Q$54,MATCH(AC$7,'FC North'!$B$14:$B$54,0),1),0))/1000000</f>
        <v>6.1583240639224268</v>
      </c>
      <c r="AD12" s="166">
        <f>-(+IFERROR(INDEX('FC North'!$G$14:$G$54,MATCH(AD$7,'FC North'!$B$14:$B$54,0),1),0)+IFERROR(INDEX('FC North'!$H$14:$H$54,MATCH(AD$7,'FC North'!$B$14:$B$54,0),1),0)+IFERROR(INDEX('FC North'!$Q$14:$Q$54,MATCH(AD$7,'FC North'!$B$14:$B$54,0),1),0))/1000000</f>
        <v>6.1108344666730954</v>
      </c>
      <c r="AE12" s="166">
        <f>-(+IFERROR(INDEX('FC North'!$G$14:$G$54,MATCH(AE$7,'FC North'!$B$14:$B$54,0),1),0)+IFERROR(INDEX('FC North'!$H$14:$H$54,MATCH(AE$7,'FC North'!$B$14:$B$54,0),1),0)+IFERROR(INDEX('FC North'!$Q$14:$Q$54,MATCH(AE$7,'FC North'!$B$14:$B$54,0),1),0))/1000000</f>
        <v>6.0776032528852175</v>
      </c>
      <c r="AF12" s="166">
        <f>-(+IFERROR(INDEX('FC North'!$G$14:$G$54,MATCH(AF$7,'FC North'!$B$14:$B$54,0),1),0)+IFERROR(INDEX('FC North'!$H$14:$H$54,MATCH(AF$7,'FC North'!$B$14:$B$54,0),1),0)+IFERROR(INDEX('FC North'!$Q$14:$Q$54,MATCH(AF$7,'FC North'!$B$14:$B$54,0),1),0))/1000000</f>
        <v>6.0641644180867136</v>
      </c>
      <c r="AG12" s="166">
        <f>-(+IFERROR(INDEX('FC North'!$G$14:$G$54,MATCH(AG$7,'FC North'!$B$14:$B$54,0),1),0)+IFERROR(INDEX('FC North'!$H$14:$H$54,MATCH(AG$7,'FC North'!$B$14:$B$54,0),1),0)+IFERROR(INDEX('FC North'!$Q$14:$Q$54,MATCH(AG$7,'FC North'!$B$14:$B$54,0),1),0))/1000000</f>
        <v>6.0795240494774285</v>
      </c>
      <c r="AH12" s="166">
        <f>-(+IFERROR(INDEX('FC North'!$G$14:$G$54,MATCH(AH$7,'FC North'!$B$14:$B$54,0),1),0)+IFERROR(INDEX('FC North'!$H$14:$H$54,MATCH(AH$7,'FC North'!$B$14:$B$54,0),1),0)+IFERROR(INDEX('FC North'!$Q$14:$Q$54,MATCH(AH$7,'FC North'!$B$14:$B$54,0),1),0))/1000000</f>
        <v>6.1395748940610373</v>
      </c>
      <c r="AI12" s="166">
        <f>-(+IFERROR(INDEX('FC North'!$G$14:$G$54,MATCH(AI$7,'FC North'!$B$14:$B$54,0),1),0)+IFERROR(INDEX('FC North'!$H$14:$H$54,MATCH(AI$7,'FC North'!$B$14:$B$54,0),1),0)+IFERROR(INDEX('FC North'!$Q$14:$Q$54,MATCH(AI$7,'FC North'!$B$14:$B$54,0),1),0))/1000000</f>
        <v>6.2245982958403268</v>
      </c>
      <c r="AJ12" s="166">
        <f>-(+IFERROR(INDEX('FC North'!$G$14:$G$54,MATCH(AJ$7,'FC North'!$B$14:$B$54,0),1),0)+IFERROR(INDEX('FC North'!$H$14:$H$54,MATCH(AJ$7,'FC North'!$B$14:$B$54,0),1),0)+IFERROR(INDEX('FC North'!$Q$14:$Q$54,MATCH(AJ$7,'FC North'!$B$14:$B$54,0),1),0))/1000000</f>
        <v>6.3105058151661515</v>
      </c>
      <c r="AK12" s="166">
        <f>-(+IFERROR(INDEX('FC North'!$G$14:$G$54,MATCH(AK$7,'FC North'!$B$14:$B$54,0),1),0)+IFERROR(INDEX('FC North'!$H$14:$H$54,MATCH(AK$7,'FC North'!$B$14:$B$54,0),1),0)+IFERROR(INDEX('FC North'!$Q$14:$Q$54,MATCH(AK$7,'FC North'!$B$14:$B$54,0),1),0))/1000000</f>
        <v>6.3725945054239057</v>
      </c>
      <c r="AL12" s="166">
        <f>-(+IFERROR(INDEX('FC North'!$G$14:$G$54,MATCH(AL$7,'FC North'!$B$14:$B$54,0),1),0)+IFERROR(INDEX('FC North'!$H$14:$H$54,MATCH(AL$7,'FC North'!$B$14:$B$54,0),1),0)+IFERROR(INDEX('FC North'!$Q$14:$Q$54,MATCH(AL$7,'FC North'!$B$14:$B$54,0),1),0))/1000000</f>
        <v>-10.008923474828068</v>
      </c>
      <c r="AM12" s="166">
        <f>-(+IFERROR(INDEX('FC North'!$G$14:$G$54,MATCH(AM$7,'FC North'!$B$14:$B$54,0),1),0)+IFERROR(INDEX('FC North'!$H$14:$H$54,MATCH(AM$7,'FC North'!$B$14:$B$54,0),1),0)+IFERROR(INDEX('FC North'!$Q$14:$Q$54,MATCH(AM$7,'FC North'!$B$14:$B$54,0),1),0))/1000000</f>
        <v>0</v>
      </c>
    </row>
    <row r="13" spans="1:39" hidden="1" outlineLevel="1" x14ac:dyDescent="0.25">
      <c r="C13" s="1" t="s">
        <v>11</v>
      </c>
      <c r="E13" s="144">
        <f t="shared" si="1"/>
        <v>-51.52509979579861</v>
      </c>
      <c r="F13" s="166">
        <f>-IFERROR(INDEX('FC North'!$F$14:$F$54,MATCH(F$7,'FC North'!$B$14:$B$54,0),1),0)/1000000</f>
        <v>0</v>
      </c>
      <c r="G13" s="166">
        <f>-IFERROR(INDEX('FC North'!$F$14:$F$54,MATCH(G$7,'FC North'!$B$14:$B$54,0),1),0)/1000000</f>
        <v>0</v>
      </c>
      <c r="H13" s="166">
        <f>-IFERROR(INDEX('FC North'!$F$14:$F$54,MATCH(H$7,'FC North'!$B$14:$B$54,0),1),0)/1000000</f>
        <v>-1.7799629969481792</v>
      </c>
      <c r="I13" s="166">
        <f>-IFERROR(INDEX('FC North'!$F$14:$F$54,MATCH(I$7,'FC North'!$B$14:$B$54,0),1),0)/1000000</f>
        <v>-7.92954240360684</v>
      </c>
      <c r="J13" s="166">
        <f>-IFERROR(INDEX('FC North'!$F$14:$F$54,MATCH(J$7,'FC North'!$B$14:$B$54,0),1),0)/1000000</f>
        <v>-7.899816213033783</v>
      </c>
      <c r="K13" s="166">
        <f>-IFERROR(INDEX('FC North'!$F$14:$F$54,MATCH(K$7,'FC North'!$B$14:$B$54,0),1),0)/1000000</f>
        <v>-8.163143420134908</v>
      </c>
      <c r="L13" s="166">
        <f>-IFERROR(INDEX('FC North'!$F$14:$F$54,MATCH(L$7,'FC North'!$B$14:$B$54,0),1),0)/1000000</f>
        <v>-8.4264706272360339</v>
      </c>
      <c r="M13" s="166">
        <f>-IFERROR(INDEX('FC North'!$F$14:$F$54,MATCH(M$7,'FC North'!$B$14:$B$54,0),1),0)/1000000</f>
        <v>-8.4581785638472962</v>
      </c>
      <c r="N13" s="166">
        <f>-IFERROR(INDEX('FC North'!$F$14:$F$54,MATCH(N$7,'FC North'!$B$14:$B$54,0),1),0)/1000000</f>
        <v>-8.6897978343371616</v>
      </c>
      <c r="O13" s="166">
        <f>-IFERROR(INDEX('FC North'!$F$14:$F$54,MATCH(O$7,'FC North'!$B$14:$B$54,0),1),0)/1000000</f>
        <v>-8.9531250414382892</v>
      </c>
      <c r="P13" s="166">
        <f>-IFERROR(INDEX('FC North'!$F$14:$F$54,MATCH(P$7,'FC North'!$B$14:$B$54,0),1),0)/1000000</f>
        <v>-8.9531250414382892</v>
      </c>
      <c r="Q13" s="166">
        <f>-IFERROR(INDEX('FC North'!$F$14:$F$54,MATCH(Q$7,'FC North'!$B$14:$B$54,0),1),0)/1000000</f>
        <v>-9.2511328042079803</v>
      </c>
      <c r="R13" s="166">
        <f>-IFERROR(INDEX('FC North'!$F$14:$F$54,MATCH(R$7,'FC North'!$B$14:$B$54,0),1),0)/1000000</f>
        <v>-7.2701702180496968</v>
      </c>
      <c r="S13" s="166">
        <f>-IFERROR(INDEX('FC North'!$F$14:$F$54,MATCH(S$7,'FC North'!$B$14:$B$54,0),1),0)/1000000</f>
        <v>0</v>
      </c>
      <c r="T13" s="166">
        <f>-IFERROR(INDEX('FC North'!$F$14:$F$54,MATCH(T$7,'FC North'!$B$14:$B$54,0),1),0)/1000000</f>
        <v>0</v>
      </c>
      <c r="U13" s="166">
        <f>-IFERROR(INDEX('FC North'!$F$14:$F$54,MATCH(U$7,'FC North'!$B$14:$B$54,0),1),0)/1000000</f>
        <v>0</v>
      </c>
      <c r="V13" s="166">
        <f>-IFERROR(INDEX('FC North'!$F$14:$F$54,MATCH(V$7,'FC North'!$B$14:$B$54,0),1),0)/1000000</f>
        <v>0</v>
      </c>
      <c r="W13" s="166">
        <f>-IFERROR(INDEX('FC North'!$F$14:$F$54,MATCH(W$7,'FC North'!$B$14:$B$54,0),1),0)/1000000</f>
        <v>0</v>
      </c>
      <c r="X13" s="166">
        <f>-IFERROR(INDEX('FC North'!$F$14:$F$54,MATCH(X$7,'FC North'!$B$14:$B$54,0),1),0)/1000000</f>
        <v>0</v>
      </c>
      <c r="Y13" s="166">
        <f>-IFERROR(INDEX('FC North'!$F$14:$F$54,MATCH(Y$7,'FC North'!$B$14:$B$54,0),1),0)/1000000</f>
        <v>0</v>
      </c>
      <c r="Z13" s="166">
        <f>-IFERROR(INDEX('FC North'!$F$14:$F$54,MATCH(Z$7,'FC North'!$B$14:$B$54,0),1),0)/1000000</f>
        <v>0</v>
      </c>
      <c r="AA13" s="166">
        <f>-IFERROR(INDEX('FC North'!$F$14:$F$54,MATCH(AA$7,'FC North'!$B$14:$B$54,0),1),0)/1000000</f>
        <v>0</v>
      </c>
      <c r="AB13" s="166">
        <f>-IFERROR(INDEX('FC North'!$F$14:$F$54,MATCH(AB$7,'FC North'!$B$14:$B$54,0),1),0)/1000000</f>
        <v>0</v>
      </c>
      <c r="AC13" s="166">
        <f>-IFERROR(INDEX('FC North'!$F$14:$F$54,MATCH(AC$7,'FC North'!$B$14:$B$54,0),1),0)/1000000</f>
        <v>0</v>
      </c>
      <c r="AD13" s="166">
        <f>-IFERROR(INDEX('FC North'!$F$14:$F$54,MATCH(AD$7,'FC North'!$B$14:$B$54,0),1),0)/1000000</f>
        <v>0</v>
      </c>
      <c r="AE13" s="166">
        <f>-IFERROR(INDEX('FC North'!$F$14:$F$54,MATCH(AE$7,'FC North'!$B$14:$B$54,0),1),0)/1000000</f>
        <v>0</v>
      </c>
      <c r="AF13" s="166">
        <f>-IFERROR(INDEX('FC North'!$F$14:$F$54,MATCH(AF$7,'FC North'!$B$14:$B$54,0),1),0)/1000000</f>
        <v>0</v>
      </c>
      <c r="AG13" s="166">
        <f>-IFERROR(INDEX('FC North'!$F$14:$F$54,MATCH(AG$7,'FC North'!$B$14:$B$54,0),1),0)/1000000</f>
        <v>0</v>
      </c>
      <c r="AH13" s="166">
        <f>-IFERROR(INDEX('FC North'!$F$14:$F$54,MATCH(AH$7,'FC North'!$B$14:$B$54,0),1),0)/1000000</f>
        <v>0</v>
      </c>
      <c r="AI13" s="166">
        <f>-IFERROR(INDEX('FC North'!$F$14:$F$54,MATCH(AI$7,'FC North'!$B$14:$B$54,0),1),0)/1000000</f>
        <v>0</v>
      </c>
      <c r="AJ13" s="166">
        <f>-IFERROR(INDEX('FC North'!$F$14:$F$54,MATCH(AJ$7,'FC North'!$B$14:$B$54,0),1),0)/1000000</f>
        <v>0</v>
      </c>
      <c r="AK13" s="166">
        <f>-IFERROR(INDEX('FC North'!$F$14:$F$54,MATCH(AK$7,'FC North'!$B$14:$B$54,0),1),0)/1000000</f>
        <v>0</v>
      </c>
      <c r="AL13" s="166">
        <f>-IFERROR(INDEX('FC North'!$F$14:$F$54,MATCH(AL$7,'FC North'!$B$14:$B$54,0),1),0)/1000000</f>
        <v>0</v>
      </c>
      <c r="AM13" s="166">
        <f>-IFERROR(INDEX('FC North'!$F$14:$F$54,MATCH(AM$7,'FC North'!$B$14:$B$54,0),1),0)/1000000</f>
        <v>0</v>
      </c>
    </row>
    <row r="14" spans="1:39" hidden="1" outlineLevel="1" x14ac:dyDescent="0.25">
      <c r="C14" s="1" t="s">
        <v>8</v>
      </c>
      <c r="E14" s="144">
        <f t="shared" si="1"/>
        <v>10.079816255321671</v>
      </c>
      <c r="F14" s="166">
        <f>-(+IFERROR(INDEX('FC North'!$J$14:$J$54,MATCH(F$7,'FC North'!$B$14:$B$54,0),1),0)+IFERROR(INDEX('FC North'!$M$14:$M$54,MATCH(F$7,'FC North'!$B$14:$B$54,0),1),0)+IFERROR(INDEX('FC North'!$N$14:$N$54,MATCH(F$7,'FC North'!$B$14:$B$54,0),1),0))/1000000</f>
        <v>0</v>
      </c>
      <c r="G14" s="166">
        <f>-(+IFERROR(INDEX('FC North'!$J$14:$J$54,MATCH(G$7,'FC North'!$B$14:$B$54,0),1),0)+IFERROR(INDEX('FC North'!$M$14:$M$54,MATCH(G$7,'FC North'!$B$14:$B$54,0),1),0)+IFERROR(INDEX('FC North'!$N$14:$N$54,MATCH(G$7,'FC North'!$B$14:$B$54,0),1),0))/1000000</f>
        <v>0</v>
      </c>
      <c r="H14" s="166">
        <f>-(+IFERROR(INDEX('FC North'!$J$14:$J$54,MATCH(H$7,'FC North'!$B$14:$B$54,0),1),0)+IFERROR(INDEX('FC North'!$M$14:$M$54,MATCH(H$7,'FC North'!$B$14:$B$54,0),1),0)+IFERROR(INDEX('FC North'!$N$14:$N$54,MATCH(H$7,'FC North'!$B$14:$B$54,0),1),0))/1000000</f>
        <v>0.24049649220924807</v>
      </c>
      <c r="I14" s="166">
        <f>-(+IFERROR(INDEX('FC North'!$J$14:$J$54,MATCH(I$7,'FC North'!$B$14:$B$54,0),1),0)+IFERROR(INDEX('FC North'!$M$14:$M$54,MATCH(I$7,'FC North'!$B$14:$B$54,0),1),0)+IFERROR(INDEX('FC North'!$N$14:$N$54,MATCH(I$7,'FC North'!$B$14:$B$54,0),1),0))/1000000</f>
        <v>0.90240258794288319</v>
      </c>
      <c r="J14" s="166">
        <f>-(+IFERROR(INDEX('FC North'!$J$14:$J$54,MATCH(J$7,'FC North'!$B$14:$B$54,0),1),0)+IFERROR(INDEX('FC North'!$M$14:$M$54,MATCH(J$7,'FC North'!$B$14:$B$54,0),1),0)+IFERROR(INDEX('FC North'!$N$14:$N$54,MATCH(J$7,'FC North'!$B$14:$B$54,0),1),0))/1000000</f>
        <v>1.0486945192533181</v>
      </c>
      <c r="K14" s="166">
        <f>-(+IFERROR(INDEX('FC North'!$J$14:$J$54,MATCH(K$7,'FC North'!$B$14:$B$54,0),1),0)+IFERROR(INDEX('FC North'!$M$14:$M$54,MATCH(K$7,'FC North'!$B$14:$B$54,0),1),0)+IFERROR(INDEX('FC North'!$N$14:$N$54,MATCH(K$7,'FC North'!$B$14:$B$54,0),1),0))/1000000</f>
        <v>1.091863612303509</v>
      </c>
      <c r="L14" s="166">
        <f>-(+IFERROR(INDEX('FC North'!$J$14:$J$54,MATCH(L$7,'FC North'!$B$14:$B$54,0),1),0)+IFERROR(INDEX('FC North'!$M$14:$M$54,MATCH(L$7,'FC North'!$B$14:$B$54,0),1),0)+IFERROR(INDEX('FC North'!$N$14:$N$54,MATCH(L$7,'FC North'!$B$14:$B$54,0),1),0))/1000000</f>
        <v>1.1826151413989872</v>
      </c>
      <c r="M14" s="166">
        <f>-(+IFERROR(INDEX('FC North'!$J$14:$J$54,MATCH(M$7,'FC North'!$B$14:$B$54,0),1),0)+IFERROR(INDEX('FC North'!$M$14:$M$54,MATCH(M$7,'FC North'!$B$14:$B$54,0),1),0)+IFERROR(INDEX('FC North'!$N$14:$N$54,MATCH(M$7,'FC North'!$B$14:$B$54,0),1),0))/1000000</f>
        <v>1.2285977179295251</v>
      </c>
      <c r="N14" s="166">
        <f>-(+IFERROR(INDEX('FC North'!$J$14:$J$54,MATCH(N$7,'FC North'!$B$14:$B$54,0),1),0)+IFERROR(INDEX('FC North'!$M$14:$M$54,MATCH(N$7,'FC North'!$B$14:$B$54,0),1),0)+IFERROR(INDEX('FC North'!$N$14:$N$54,MATCH(N$7,'FC North'!$B$14:$B$54,0),1),0))/1000000</f>
        <v>0.91203705855494155</v>
      </c>
      <c r="O14" s="166">
        <f>-(+IFERROR(INDEX('FC North'!$J$14:$J$54,MATCH(O$7,'FC North'!$B$14:$B$54,0),1),0)+IFERROR(INDEX('FC North'!$M$14:$M$54,MATCH(O$7,'FC North'!$B$14:$B$54,0),1),0)+IFERROR(INDEX('FC North'!$N$14:$N$54,MATCH(O$7,'FC North'!$B$14:$B$54,0),1),0))/1000000</f>
        <v>0.89466245248254295</v>
      </c>
      <c r="P14" s="166">
        <f>-(+IFERROR(INDEX('FC North'!$J$14:$J$54,MATCH(P$7,'FC North'!$B$14:$B$54,0),1),0)+IFERROR(INDEX('FC North'!$M$14:$M$54,MATCH(P$7,'FC North'!$B$14:$B$54,0),1),0)+IFERROR(INDEX('FC North'!$N$14:$N$54,MATCH(P$7,'FC North'!$B$14:$B$54,0),1),0))/1000000</f>
        <v>0.67826893669845112</v>
      </c>
      <c r="Q14" s="166">
        <f>-(+IFERROR(INDEX('FC North'!$J$14:$J$54,MATCH(Q$7,'FC North'!$B$14:$B$54,0),1),0)+IFERROR(INDEX('FC North'!$M$14:$M$54,MATCH(Q$7,'FC North'!$B$14:$B$54,0),1),0)+IFERROR(INDEX('FC North'!$N$14:$N$54,MATCH(Q$7,'FC North'!$B$14:$B$54,0),1),0))/1000000</f>
        <v>0.7226250375909834</v>
      </c>
      <c r="R14" s="166">
        <f>-(+IFERROR(INDEX('FC North'!$J$14:$J$54,MATCH(R$7,'FC North'!$B$14:$B$54,0),1),0)+IFERROR(INDEX('FC North'!$M$14:$M$54,MATCH(R$7,'FC North'!$B$14:$B$54,0),1),0)+IFERROR(INDEX('FC North'!$N$14:$N$54,MATCH(R$7,'FC North'!$B$14:$B$54,0),1),0))/1000000</f>
        <v>0.63975669921539047</v>
      </c>
      <c r="S14" s="166">
        <f>-(+IFERROR(INDEX('FC North'!$J$14:$J$54,MATCH(S$7,'FC North'!$B$14:$B$54,0),1),0)+IFERROR(INDEX('FC North'!$M$14:$M$54,MATCH(S$7,'FC North'!$B$14:$B$54,0),1),0)+IFERROR(INDEX('FC North'!$N$14:$N$54,MATCH(S$7,'FC North'!$B$14:$B$54,0),1),0))/1000000</f>
        <v>0.64373836187226852</v>
      </c>
      <c r="T14" s="166">
        <f>-(+IFERROR(INDEX('FC North'!$J$14:$J$54,MATCH(T$7,'FC North'!$B$14:$B$54,0),1),0)+IFERROR(INDEX('FC North'!$M$14:$M$54,MATCH(T$7,'FC North'!$B$14:$B$54,0),1),0)+IFERROR(INDEX('FC North'!$N$14:$N$54,MATCH(T$7,'FC North'!$B$14:$B$54,0),1),0))/1000000</f>
        <v>0.6785105344559359</v>
      </c>
      <c r="U14" s="166">
        <f>-(+IFERROR(INDEX('FC North'!$J$14:$J$54,MATCH(U$7,'FC North'!$B$14:$B$54,0),1),0)+IFERROR(INDEX('FC North'!$M$14:$M$54,MATCH(U$7,'FC North'!$B$14:$B$54,0),1),0)+IFERROR(INDEX('FC North'!$N$14:$N$54,MATCH(U$7,'FC North'!$B$14:$B$54,0),1),0))/1000000</f>
        <v>0.82831630786532162</v>
      </c>
      <c r="V14" s="166">
        <f>-(+IFERROR(INDEX('FC North'!$J$14:$J$54,MATCH(V$7,'FC North'!$B$14:$B$54,0),1),0)+IFERROR(INDEX('FC North'!$M$14:$M$54,MATCH(V$7,'FC North'!$B$14:$B$54,0),1),0)+IFERROR(INDEX('FC North'!$N$14:$N$54,MATCH(V$7,'FC North'!$B$14:$B$54,0),1),0))/1000000</f>
        <v>0.82283469320380265</v>
      </c>
      <c r="W14" s="166">
        <f>-(+IFERROR(INDEX('FC North'!$J$14:$J$54,MATCH(W$7,'FC North'!$B$14:$B$54,0),1),0)+IFERROR(INDEX('FC North'!$M$14:$M$54,MATCH(W$7,'FC North'!$B$14:$B$54,0),1),0)+IFERROR(INDEX('FC North'!$N$14:$N$54,MATCH(W$7,'FC North'!$B$14:$B$54,0),1),0))/1000000</f>
        <v>0.84039803575828576</v>
      </c>
      <c r="X14" s="166">
        <f>-(+IFERROR(INDEX('FC North'!$J$14:$J$54,MATCH(X$7,'FC North'!$B$14:$B$54,0),1),0)+IFERROR(INDEX('FC North'!$M$14:$M$54,MATCH(X$7,'FC North'!$B$14:$B$54,0),1),0)+IFERROR(INDEX('FC North'!$N$14:$N$54,MATCH(X$7,'FC North'!$B$14:$B$54,0),1),0))/1000000</f>
        <v>0.85919154516794349</v>
      </c>
      <c r="Y14" s="166">
        <f>-(+IFERROR(INDEX('FC North'!$J$14:$J$54,MATCH(Y$7,'FC North'!$B$14:$B$54,0),1),0)+IFERROR(INDEX('FC North'!$M$14:$M$54,MATCH(Y$7,'FC North'!$B$14:$B$54,0),1),0)+IFERROR(INDEX('FC North'!$N$14:$N$54,MATCH(Y$7,'FC North'!$B$14:$B$54,0),1),0))/1000000</f>
        <v>0.89962897347787485</v>
      </c>
      <c r="Z14" s="166">
        <f>-(+IFERROR(INDEX('FC North'!$J$14:$J$54,MATCH(Z$7,'FC North'!$B$14:$B$54,0),1),0)+IFERROR(INDEX('FC North'!$M$14:$M$54,MATCH(Z$7,'FC North'!$B$14:$B$54,0),1),0)+IFERROR(INDEX('FC North'!$N$14:$N$54,MATCH(Z$7,'FC North'!$B$14:$B$54,0),1),0))/1000000</f>
        <v>0.92011320305602762</v>
      </c>
      <c r="AA14" s="166">
        <f>-(+IFERROR(INDEX('FC North'!$J$14:$J$54,MATCH(AA$7,'FC North'!$B$14:$B$54,0),1),0)+IFERROR(INDEX('FC North'!$M$14:$M$54,MATCH(AA$7,'FC North'!$B$14:$B$54,0),1),0)+IFERROR(INDEX('FC North'!$N$14:$N$54,MATCH(AA$7,'FC North'!$B$14:$B$54,0),1),0))/1000000</f>
        <v>0.94117519056472487</v>
      </c>
      <c r="AB14" s="166">
        <f>-(+IFERROR(INDEX('FC North'!$J$14:$J$54,MATCH(AB$7,'FC North'!$B$14:$B$54,0),1),0)+IFERROR(INDEX('FC North'!$M$14:$M$54,MATCH(AB$7,'FC North'!$B$14:$B$54,0),1),0)+IFERROR(INDEX('FC North'!$N$14:$N$54,MATCH(AB$7,'FC North'!$B$14:$B$54,0),1),0))/1000000</f>
        <v>0.96271964177097058</v>
      </c>
      <c r="AC14" s="166">
        <f>-(+IFERROR(INDEX('FC North'!$J$14:$J$54,MATCH(AC$7,'FC North'!$B$14:$B$54,0),1),0)+IFERROR(INDEX('FC North'!$M$14:$M$54,MATCH(AC$7,'FC North'!$B$14:$B$54,0),1),0)+IFERROR(INDEX('FC North'!$N$14:$N$54,MATCH(AC$7,'FC North'!$B$14:$B$54,0),1),0))/1000000</f>
        <v>0.98487224121879835</v>
      </c>
      <c r="AD14" s="166">
        <f>-(+IFERROR(INDEX('FC North'!$J$14:$J$54,MATCH(AD$7,'FC North'!$B$14:$B$54,0),1),0)+IFERROR(INDEX('FC North'!$M$14:$M$54,MATCH(AD$7,'FC North'!$B$14:$B$54,0),1),0)+IFERROR(INDEX('FC North'!$N$14:$N$54,MATCH(AD$7,'FC North'!$B$14:$B$54,0),1),0))/1000000</f>
        <v>1.0073004224963786</v>
      </c>
      <c r="AE14" s="166">
        <f>-(+IFERROR(INDEX('FC North'!$J$14:$J$54,MATCH(AE$7,'FC North'!$B$14:$B$54,0),1),0)+IFERROR(INDEX('FC North'!$M$14:$M$54,MATCH(AE$7,'FC North'!$B$14:$B$54,0),1),0)+IFERROR(INDEX('FC North'!$N$14:$N$54,MATCH(AE$7,'FC North'!$B$14:$B$54,0),1),0))/1000000</f>
        <v>1.0303596354370541</v>
      </c>
      <c r="AF14" s="166">
        <f>-(+IFERROR(INDEX('FC North'!$J$14:$J$54,MATCH(AF$7,'FC North'!$B$14:$B$54,0),1),0)+IFERROR(INDEX('FC North'!$M$14:$M$54,MATCH(AF$7,'FC North'!$B$14:$B$54,0),1),0)+IFERROR(INDEX('FC North'!$N$14:$N$54,MATCH(AF$7,'FC North'!$B$14:$B$54,0),1),0))/1000000</f>
        <v>1.0519496950538514</v>
      </c>
      <c r="AG14" s="166">
        <f>-(+IFERROR(INDEX('FC North'!$J$14:$J$54,MATCH(AG$7,'FC North'!$B$14:$B$54,0),1),0)+IFERROR(INDEX('FC North'!$M$14:$M$54,MATCH(AG$7,'FC North'!$B$14:$B$54,0),1),0)+IFERROR(INDEX('FC North'!$N$14:$N$54,MATCH(AG$7,'FC North'!$B$14:$B$54,0),1),0))/1000000</f>
        <v>1.0741160517273503</v>
      </c>
      <c r="AH14" s="166">
        <f>-(+IFERROR(INDEX('FC North'!$J$14:$J$54,MATCH(AH$7,'FC North'!$B$14:$B$54,0),1),0)+IFERROR(INDEX('FC North'!$M$14:$M$54,MATCH(AH$7,'FC North'!$B$14:$B$54,0),1),0)+IFERROR(INDEX('FC North'!$N$14:$N$54,MATCH(AH$7,'FC North'!$B$14:$B$54,0),1),0))/1000000</f>
        <v>1.0964966934276621</v>
      </c>
      <c r="AI14" s="166">
        <f>-(+IFERROR(INDEX('FC North'!$J$14:$J$54,MATCH(AI$7,'FC North'!$B$14:$B$54,0),1),0)+IFERROR(INDEX('FC North'!$M$14:$M$54,MATCH(AI$7,'FC North'!$B$14:$B$54,0),1),0)+IFERROR(INDEX('FC North'!$N$14:$N$54,MATCH(AI$7,'FC North'!$B$14:$B$54,0),1),0))/1000000</f>
        <v>1.1194727984082293</v>
      </c>
      <c r="AJ14" s="166">
        <f>-(+IFERROR(INDEX('FC North'!$J$14:$J$54,MATCH(AJ$7,'FC North'!$B$14:$B$54,0),1),0)+IFERROR(INDEX('FC North'!$M$14:$M$54,MATCH(AJ$7,'FC North'!$B$14:$B$54,0),1),0)+IFERROR(INDEX('FC North'!$N$14:$N$54,MATCH(AJ$7,'FC North'!$B$14:$B$54,0),1),0))/1000000</f>
        <v>1.1429304202445507</v>
      </c>
      <c r="AK14" s="166">
        <f>-(+IFERROR(INDEX('FC North'!$J$14:$J$54,MATCH(AK$7,'FC North'!$B$14:$B$54,0),1),0)+IFERROR(INDEX('FC North'!$M$14:$M$54,MATCH(AK$7,'FC North'!$B$14:$B$54,0),1),0)+IFERROR(INDEX('FC North'!$N$14:$N$54,MATCH(AK$7,'FC North'!$B$14:$B$54,0),1),0))/1000000</f>
        <v>1.1649417781935796</v>
      </c>
      <c r="AL14" s="166">
        <f>-(+IFERROR(INDEX('FC North'!$J$14:$J$54,MATCH(AL$7,'FC North'!$B$14:$B$54,0),1),0)+IFERROR(INDEX('FC North'!$M$14:$M$54,MATCH(AL$7,'FC North'!$B$14:$B$54,0),1),0)+IFERROR(INDEX('FC North'!$N$14:$N$54,MATCH(AL$7,'FC North'!$B$14:$B$54,0),1),0))/1000000</f>
        <v>0.71314280314108769</v>
      </c>
      <c r="AM14" s="166">
        <f>-(+IFERROR(INDEX('FC North'!$J$14:$J$54,MATCH(AM$7,'FC North'!$B$14:$B$54,0),1),0)+IFERROR(INDEX('FC North'!$M$14:$M$54,MATCH(AM$7,'FC North'!$B$14:$B$54,0),1),0)+IFERROR(INDEX('FC North'!$N$14:$N$54,MATCH(AM$7,'FC North'!$B$14:$B$54,0),1),0))/1000000</f>
        <v>0</v>
      </c>
    </row>
    <row r="15" spans="1:39" hidden="1" outlineLevel="1" x14ac:dyDescent="0.25">
      <c r="C15" s="1" t="s">
        <v>9</v>
      </c>
      <c r="E15" s="144">
        <f t="shared" si="1"/>
        <v>1.6923718360567164</v>
      </c>
      <c r="F15" s="166">
        <f>-IFERROR(INDEX('FC North'!$L$14:$L$54,MATCH(F$7,'FC North'!$B$14:$B$54,0),1),0)/1000000</f>
        <v>0</v>
      </c>
      <c r="G15" s="166">
        <f>-IFERROR(INDEX('FC North'!$L$14:$L$54,MATCH(G$7,'FC North'!$B$14:$B$54,0),1),0)/1000000</f>
        <v>0</v>
      </c>
      <c r="H15" s="166">
        <f>-IFERROR(INDEX('FC North'!$L$14:$L$54,MATCH(H$7,'FC North'!$B$14:$B$54,0),1),0)/1000000</f>
        <v>0</v>
      </c>
      <c r="I15" s="166">
        <f>-IFERROR(INDEX('FC North'!$L$14:$L$54,MATCH(I$7,'FC North'!$B$14:$B$54,0),1),0)/1000000</f>
        <v>0</v>
      </c>
      <c r="J15" s="166">
        <f>-IFERROR(INDEX('FC North'!$L$14:$L$54,MATCH(J$7,'FC North'!$B$14:$B$54,0),1),0)/1000000</f>
        <v>0</v>
      </c>
      <c r="K15" s="166">
        <f>-IFERROR(INDEX('FC North'!$L$14:$L$54,MATCH(K$7,'FC North'!$B$14:$B$54,0),1),0)/1000000</f>
        <v>4.6287262577259243E-2</v>
      </c>
      <c r="L15" s="166">
        <f>-IFERROR(INDEX('FC North'!$L$14:$L$54,MATCH(L$7,'FC North'!$B$14:$B$54,0),1),0)/1000000</f>
        <v>0.19858400000000062</v>
      </c>
      <c r="M15" s="166">
        <f>-IFERROR(INDEX('FC North'!$L$14:$L$54,MATCH(M$7,'FC North'!$B$14:$B$54,0),1),0)/1000000</f>
        <v>0.199331251033388</v>
      </c>
      <c r="N15" s="166">
        <f>-IFERROR(INDEX('FC North'!$L$14:$L$54,MATCH(N$7,'FC North'!$B$14:$B$54,0),1),0)/1000000</f>
        <v>0.19858400000000062</v>
      </c>
      <c r="O15" s="166">
        <f>-IFERROR(INDEX('FC North'!$L$14:$L$54,MATCH(O$7,'FC North'!$B$14:$B$54,0),1),0)/1000000</f>
        <v>0.19858400000000062</v>
      </c>
      <c r="P15" s="166">
        <f>-IFERROR(INDEX('FC North'!$L$14:$L$54,MATCH(P$7,'FC North'!$B$14:$B$54,0),1),0)/1000000</f>
        <v>0.19858400000000062</v>
      </c>
      <c r="Q15" s="166">
        <f>-IFERROR(INDEX('FC North'!$L$14:$L$54,MATCH(Q$7,'FC North'!$B$14:$B$54,0),1),0)/1000000</f>
        <v>0.199331251033388</v>
      </c>
      <c r="R15" s="166">
        <f>-IFERROR(INDEX('FC North'!$L$14:$L$54,MATCH(R$7,'FC North'!$B$14:$B$54,0),1),0)/1000000</f>
        <v>0.19858400000000062</v>
      </c>
      <c r="S15" s="166">
        <f>-IFERROR(INDEX('FC North'!$L$14:$L$54,MATCH(S$7,'FC North'!$B$14:$B$54,0),1),0)/1000000</f>
        <v>0.19858400000000062</v>
      </c>
      <c r="T15" s="166">
        <f>-IFERROR(INDEX('FC North'!$L$14:$L$54,MATCH(T$7,'FC North'!$B$14:$B$54,0),1),0)/1000000</f>
        <v>0.19858400000000062</v>
      </c>
      <c r="U15" s="166">
        <f>-IFERROR(INDEX('FC North'!$L$14:$L$54,MATCH(U$7,'FC North'!$B$14:$B$54,0),1),0)/1000000</f>
        <v>0.199331251033388</v>
      </c>
      <c r="V15" s="166">
        <f>-IFERROR(INDEX('FC North'!$L$14:$L$54,MATCH(V$7,'FC North'!$B$14:$B$54,0),1),0)/1000000</f>
        <v>0.19858400000000062</v>
      </c>
      <c r="W15" s="166">
        <f>-IFERROR(INDEX('FC North'!$L$14:$L$54,MATCH(W$7,'FC North'!$B$14:$B$54,0),1),0)/1000000</f>
        <v>0.19858400000000062</v>
      </c>
      <c r="X15" s="166">
        <f>-IFERROR(INDEX('FC North'!$L$14:$L$54,MATCH(X$7,'FC North'!$B$14:$B$54,0),1),0)/1000000</f>
        <v>0.19858400000000062</v>
      </c>
      <c r="Y15" s="166">
        <f>-IFERROR(INDEX('FC North'!$L$14:$L$54,MATCH(Y$7,'FC North'!$B$14:$B$54,0),1),0)/1000000</f>
        <v>0.199331251033388</v>
      </c>
      <c r="Z15" s="166">
        <f>-IFERROR(INDEX('FC North'!$L$14:$L$54,MATCH(Z$7,'FC North'!$B$14:$B$54,0),1),0)/1000000</f>
        <v>0.19858400000000062</v>
      </c>
      <c r="AA15" s="166">
        <f>-IFERROR(INDEX('FC North'!$L$14:$L$54,MATCH(AA$7,'FC North'!$B$14:$B$54,0),1),0)/1000000</f>
        <v>0.19858400000000062</v>
      </c>
      <c r="AB15" s="166">
        <f>-IFERROR(INDEX('FC North'!$L$14:$L$54,MATCH(AB$7,'FC North'!$B$14:$B$54,0),1),0)/1000000</f>
        <v>0.19858400000000062</v>
      </c>
      <c r="AC15" s="166">
        <f>-IFERROR(INDEX('FC North'!$L$14:$L$54,MATCH(AC$7,'FC North'!$B$14:$B$54,0),1),0)/1000000</f>
        <v>0.199331251033388</v>
      </c>
      <c r="AD15" s="166">
        <f>-IFERROR(INDEX('FC North'!$L$14:$L$54,MATCH(AD$7,'FC North'!$B$14:$B$54,0),1),0)/1000000</f>
        <v>0.19858400000000062</v>
      </c>
      <c r="AE15" s="166">
        <f>-IFERROR(INDEX('FC North'!$L$14:$L$54,MATCH(AE$7,'FC North'!$B$14:$B$54,0),1),0)/1000000</f>
        <v>0.19858400000000062</v>
      </c>
      <c r="AF15" s="166">
        <f>-IFERROR(INDEX('FC North'!$L$14:$L$54,MATCH(AF$7,'FC North'!$B$14:$B$54,0),1),0)/1000000</f>
        <v>0.19858400000000062</v>
      </c>
      <c r="AG15" s="166">
        <f>-IFERROR(INDEX('FC North'!$L$14:$L$54,MATCH(AG$7,'FC North'!$B$14:$B$54,0),1),0)/1000000</f>
        <v>0.199331251033388</v>
      </c>
      <c r="AH15" s="166">
        <f>-IFERROR(INDEX('FC North'!$L$14:$L$54,MATCH(AH$7,'FC North'!$B$14:$B$54,0),1),0)/1000000</f>
        <v>0.19858400000000062</v>
      </c>
      <c r="AI15" s="166">
        <f>-IFERROR(INDEX('FC North'!$L$14:$L$54,MATCH(AI$7,'FC North'!$B$14:$B$54,0),1),0)/1000000</f>
        <v>0.19858400000000062</v>
      </c>
      <c r="AJ15" s="166">
        <f>-IFERROR(INDEX('FC North'!$L$14:$L$54,MATCH(AJ$7,'FC North'!$B$14:$B$54,0),1),0)/1000000</f>
        <v>0.19858400000000062</v>
      </c>
      <c r="AK15" s="166">
        <f>-IFERROR(INDEX('FC North'!$L$14:$L$54,MATCH(AK$7,'FC North'!$B$14:$B$54,0),1),0)/1000000</f>
        <v>0.18775943538907322</v>
      </c>
      <c r="AL15" s="166">
        <f>-IFERROR(INDEX('FC North'!$L$14:$L$54,MATCH(AL$7,'FC North'!$B$14:$B$54,0),1),0)/1000000</f>
        <v>0.11422255306705603</v>
      </c>
      <c r="AM15" s="166">
        <f>-IFERROR(INDEX('FC North'!$L$14:$L$54,MATCH(AM$7,'FC North'!$B$14:$B$54,0),1),0)/1000000</f>
        <v>0</v>
      </c>
    </row>
    <row r="16" spans="1:39" hidden="1" outlineLevel="1" x14ac:dyDescent="0.25">
      <c r="C16" s="1" t="s">
        <v>10</v>
      </c>
      <c r="E16" s="144">
        <f t="shared" si="1"/>
        <v>3.540311122776691</v>
      </c>
      <c r="F16" s="166">
        <f>-IFERROR(INDEX('FC North'!$K$14:$K$54,MATCH(F$7,'FC North'!$B$14:$B$54,0),1),0)/1000000</f>
        <v>0</v>
      </c>
      <c r="G16" s="166">
        <f>-IFERROR(INDEX('FC North'!$K$14:$K$54,MATCH(G$7,'FC North'!$B$14:$B$54,0),1),0)/1000000</f>
        <v>0</v>
      </c>
      <c r="H16" s="166">
        <f>-IFERROR(INDEX('FC North'!$K$14:$K$54,MATCH(H$7,'FC North'!$B$14:$B$54,0),1),0)/1000000</f>
        <v>0</v>
      </c>
      <c r="I16" s="166">
        <f>-IFERROR(INDEX('FC North'!$K$14:$K$54,MATCH(I$7,'FC North'!$B$14:$B$54,0),1),0)/1000000</f>
        <v>0.5603642269354594</v>
      </c>
      <c r="J16" s="166">
        <f>-IFERROR(INDEX('FC North'!$K$14:$K$54,MATCH(J$7,'FC North'!$B$14:$B$54,0),1),0)/1000000</f>
        <v>0.50437897878777482</v>
      </c>
      <c r="K16" s="166">
        <f>-IFERROR(INDEX('FC North'!$K$14:$K$54,MATCH(K$7,'FC North'!$B$14:$B$54,0),1),0)/1000000</f>
        <v>0.46510368928850931</v>
      </c>
      <c r="L16" s="166">
        <f>-IFERROR(INDEX('FC North'!$K$14:$K$54,MATCH(L$7,'FC North'!$B$14:$B$54,0),1),0)/1000000</f>
        <v>0.4358394065692992</v>
      </c>
      <c r="M16" s="166">
        <f>-IFERROR(INDEX('FC North'!$K$14:$K$54,MATCH(M$7,'FC North'!$B$14:$B$54,0),1),0)/1000000</f>
        <v>0.40646649930669415</v>
      </c>
      <c r="N16" s="166">
        <f>-IFERROR(INDEX('FC North'!$K$14:$K$54,MATCH(N$7,'FC North'!$B$14:$B$54,0),1),0)/1000000</f>
        <v>0.38460262777567406</v>
      </c>
      <c r="O16" s="166">
        <f>-IFERROR(INDEX('FC North'!$K$14:$K$54,MATCH(O$7,'FC North'!$B$14:$B$54,0),1),0)/1000000</f>
        <v>0.3702836048163004</v>
      </c>
      <c r="P16" s="166">
        <f>-IFERROR(INDEX('FC North'!$K$14:$K$54,MATCH(P$7,'FC North'!$B$14:$B$54,0),1),0)/1000000</f>
        <v>0.3559164544831161</v>
      </c>
      <c r="Q16" s="166">
        <f>-IFERROR(INDEX('FC North'!$K$14:$K$54,MATCH(Q$7,'FC North'!$B$14:$B$54,0),1),0)/1000000</f>
        <v>0.34149559624607861</v>
      </c>
      <c r="R16" s="166">
        <f>-IFERROR(INDEX('FC North'!$K$14:$K$54,MATCH(R$7,'FC North'!$B$14:$B$54,0),1),0)/1000000</f>
        <v>0.32701472818443617</v>
      </c>
      <c r="S16" s="166">
        <f>-IFERROR(INDEX('FC North'!$K$14:$K$54,MATCH(S$7,'FC North'!$B$14:$B$54,0),1),0)/1000000</f>
        <v>0.31246372920787585</v>
      </c>
      <c r="T16" s="166">
        <f>-IFERROR(INDEX('FC North'!$K$14:$K$54,MATCH(T$7,'FC North'!$B$14:$B$54,0),1),0)/1000000</f>
        <v>0.29783804540265968</v>
      </c>
      <c r="U16" s="166">
        <f>-IFERROR(INDEX('FC North'!$K$14:$K$54,MATCH(U$7,'FC North'!$B$14:$B$54,0),1),0)/1000000</f>
        <v>0.28341339522472947</v>
      </c>
      <c r="V16" s="166">
        <f>-IFERROR(INDEX('FC North'!$K$14:$K$54,MATCH(V$7,'FC North'!$B$14:$B$54,0),1),0)/1000000</f>
        <v>0.27206053198116531</v>
      </c>
      <c r="W16" s="166">
        <f>-IFERROR(INDEX('FC North'!$K$14:$K$54,MATCH(W$7,'FC North'!$B$14:$B$54,0),1),0)/1000000</f>
        <v>0.26022123712513162</v>
      </c>
      <c r="X16" s="166">
        <f>-IFERROR(INDEX('FC North'!$K$14:$K$54,MATCH(X$7,'FC North'!$B$14:$B$54,0),1),0)/1000000</f>
        <v>0.24797644616529524</v>
      </c>
      <c r="Y16" s="166">
        <f>-IFERROR(INDEX('FC North'!$K$14:$K$54,MATCH(Y$7,'FC North'!$B$14:$B$54,0),1),0)/1000000</f>
        <v>0.2353560928100194</v>
      </c>
      <c r="Z16" s="166">
        <f>-IFERROR(INDEX('FC North'!$K$14:$K$54,MATCH(Z$7,'FC North'!$B$14:$B$54,0),1),0)/1000000</f>
        <v>0.22232560994926204</v>
      </c>
      <c r="AA16" s="166">
        <f>-IFERROR(INDEX('FC North'!$K$14:$K$54,MATCH(AA$7,'FC North'!$B$14:$B$54,0),1),0)/1000000</f>
        <v>0.2088927107664888</v>
      </c>
      <c r="AB16" s="166">
        <f>-IFERROR(INDEX('FC North'!$K$14:$K$54,MATCH(AB$7,'FC North'!$B$14:$B$54,0),1),0)/1000000</f>
        <v>0.19505364424173607</v>
      </c>
      <c r="AC16" s="166">
        <f>-IFERROR(INDEX('FC North'!$K$14:$K$54,MATCH(AC$7,'FC North'!$B$14:$B$54,0),1),0)/1000000</f>
        <v>0.1807463124916131</v>
      </c>
      <c r="AD16" s="166">
        <f>-IFERROR(INDEX('FC North'!$K$14:$K$54,MATCH(AD$7,'FC North'!$B$14:$B$54,0),1),0)/1000000</f>
        <v>0.16589455048230092</v>
      </c>
      <c r="AE16" s="166">
        <f>-IFERROR(INDEX('FC North'!$K$14:$K$54,MATCH(AE$7,'FC North'!$B$14:$B$54,0),1),0)/1000000</f>
        <v>0.15040307185466636</v>
      </c>
      <c r="AF16" s="166">
        <f>-IFERROR(INDEX('FC North'!$K$14:$K$54,MATCH(AF$7,'FC North'!$B$14:$B$54,0),1),0)/1000000</f>
        <v>0.13414967009417897</v>
      </c>
      <c r="AG16" s="166">
        <f>-IFERROR(INDEX('FC North'!$K$14:$K$54,MATCH(AG$7,'FC North'!$B$14:$B$54,0),1),0)/1000000</f>
        <v>0.11697250818280344</v>
      </c>
      <c r="AH16" s="166">
        <f>-IFERROR(INDEX('FC North'!$K$14:$K$54,MATCH(AH$7,'FC North'!$B$14:$B$54,0),1),0)/1000000</f>
        <v>9.8647874091252391E-2</v>
      </c>
      <c r="AI16" s="166">
        <f>-IFERROR(INDEX('FC North'!$K$14:$K$54,MATCH(AI$7,'FC North'!$B$14:$B$54,0),1),0)/1000000</f>
        <v>7.8847278879039126E-2</v>
      </c>
      <c r="AJ16" s="166">
        <f>-IFERROR(INDEX('FC North'!$K$14:$K$54,MATCH(AJ$7,'FC North'!$B$14:$B$54,0),1),0)/1000000</f>
        <v>5.5547276405799928E-2</v>
      </c>
      <c r="AK16" s="166">
        <f>-IFERROR(INDEX('FC North'!$K$14:$K$54,MATCH(AK$7,'FC North'!$B$14:$B$54,0),1),0)/1000000</f>
        <v>2.8343626636581083E-2</v>
      </c>
      <c r="AL16" s="166">
        <f>-IFERROR(INDEX('FC North'!$K$14:$K$54,MATCH(AL$7,'FC North'!$B$14:$B$54,0),1),0)/1000000</f>
        <v>-3.9272654958702746E-3</v>
      </c>
      <c r="AM16" s="166">
        <f>-IFERROR(INDEX('FC North'!$K$14:$K$54,MATCH(AM$7,'FC North'!$B$14:$B$54,0),1),0)/1000000</f>
        <v>0</v>
      </c>
    </row>
    <row r="17" spans="1:39" hidden="1" outlineLevel="1" x14ac:dyDescent="0.25">
      <c r="C17" s="3" t="s">
        <v>12</v>
      </c>
      <c r="E17" s="145">
        <f t="shared" si="1"/>
        <v>0</v>
      </c>
      <c r="F17" s="167">
        <f>-(+IFERROR(INDEX('FC North'!$O$14:$O$54,MATCH(F$7,'FC North'!$B$14:$B$54,0),1),0)+IFERROR(INDEX('FC North'!$P$14:$P$54,MATCH(F$7,'FC North'!$B$14:$B$54,0),1),0)+IFERROR(INDEX('FC North'!$R$14:$R$54,MATCH(F$7,'FC North'!$B$14:$B$54,0),1),0)+IFERROR(INDEX('FC North'!$S$14:$S$54,MATCH(F$7,'FC North'!$B$14:$B$54,0),1),0))/1000000</f>
        <v>0</v>
      </c>
      <c r="G17" s="167">
        <f>-(+IFERROR(INDEX('FC North'!$O$14:$O$54,MATCH(G$7,'FC North'!$B$14:$B$54,0),1),0)+IFERROR(INDEX('FC North'!$P$14:$P$54,MATCH(G$7,'FC North'!$B$14:$B$54,0),1),0)+IFERROR(INDEX('FC North'!$R$14:$R$54,MATCH(G$7,'FC North'!$B$14:$B$54,0),1),0)+IFERROR(INDEX('FC North'!$S$14:$S$54,MATCH(G$7,'FC North'!$B$14:$B$54,0),1),0))/1000000</f>
        <v>0</v>
      </c>
      <c r="H17" s="167">
        <f>-(+IFERROR(INDEX('FC North'!$O$14:$O$54,MATCH(H$7,'FC North'!$B$14:$B$54,0),1),0)+IFERROR(INDEX('FC North'!$P$14:$P$54,MATCH(H$7,'FC North'!$B$14:$B$54,0),1),0)+IFERROR(INDEX('FC North'!$R$14:$R$54,MATCH(H$7,'FC North'!$B$14:$B$54,0),1),0)+IFERROR(INDEX('FC North'!$S$14:$S$54,MATCH(H$7,'FC North'!$B$14:$B$54,0),1),0))/1000000</f>
        <v>0</v>
      </c>
      <c r="I17" s="167">
        <f>-(+IFERROR(INDEX('FC North'!$O$14:$O$54,MATCH(I$7,'FC North'!$B$14:$B$54,0),1),0)+IFERROR(INDEX('FC North'!$P$14:$P$54,MATCH(I$7,'FC North'!$B$14:$B$54,0),1),0)+IFERROR(INDEX('FC North'!$R$14:$R$54,MATCH(I$7,'FC North'!$B$14:$B$54,0),1),0)+IFERROR(INDEX('FC North'!$S$14:$S$54,MATCH(I$7,'FC North'!$B$14:$B$54,0),1),0))/1000000</f>
        <v>0</v>
      </c>
      <c r="J17" s="167">
        <f>-(+IFERROR(INDEX('FC North'!$O$14:$O$54,MATCH(J$7,'FC North'!$B$14:$B$54,0),1),0)+IFERROR(INDEX('FC North'!$P$14:$P$54,MATCH(J$7,'FC North'!$B$14:$B$54,0),1),0)+IFERROR(INDEX('FC North'!$R$14:$R$54,MATCH(J$7,'FC North'!$B$14:$B$54,0),1),0)+IFERROR(INDEX('FC North'!$S$14:$S$54,MATCH(J$7,'FC North'!$B$14:$B$54,0),1),0))/1000000</f>
        <v>0</v>
      </c>
      <c r="K17" s="167">
        <f>-(+IFERROR(INDEX('FC North'!$O$14:$O$54,MATCH(K$7,'FC North'!$B$14:$B$54,0),1),0)+IFERROR(INDEX('FC North'!$P$14:$P$54,MATCH(K$7,'FC North'!$B$14:$B$54,0),1),0)+IFERROR(INDEX('FC North'!$R$14:$R$54,MATCH(K$7,'FC North'!$B$14:$B$54,0),1),0)+IFERROR(INDEX('FC North'!$S$14:$S$54,MATCH(K$7,'FC North'!$B$14:$B$54,0),1),0))/1000000</f>
        <v>0</v>
      </c>
      <c r="L17" s="167">
        <f>-(+IFERROR(INDEX('FC North'!$O$14:$O$54,MATCH(L$7,'FC North'!$B$14:$B$54,0),1),0)+IFERROR(INDEX('FC North'!$P$14:$P$54,MATCH(L$7,'FC North'!$B$14:$B$54,0),1),0)+IFERROR(INDEX('FC North'!$R$14:$R$54,MATCH(L$7,'FC North'!$B$14:$B$54,0),1),0)+IFERROR(INDEX('FC North'!$S$14:$S$54,MATCH(L$7,'FC North'!$B$14:$B$54,0),1),0))/1000000</f>
        <v>0</v>
      </c>
      <c r="M17" s="167">
        <f>-(+IFERROR(INDEX('FC North'!$O$14:$O$54,MATCH(M$7,'FC North'!$B$14:$B$54,0),1),0)+IFERROR(INDEX('FC North'!$P$14:$P$54,MATCH(M$7,'FC North'!$B$14:$B$54,0),1),0)+IFERROR(INDEX('FC North'!$R$14:$R$54,MATCH(M$7,'FC North'!$B$14:$B$54,0),1),0)+IFERROR(INDEX('FC North'!$S$14:$S$54,MATCH(M$7,'FC North'!$B$14:$B$54,0),1),0))/1000000</f>
        <v>0</v>
      </c>
      <c r="N17" s="167">
        <f>-(+IFERROR(INDEX('FC North'!$O$14:$O$54,MATCH(N$7,'FC North'!$B$14:$B$54,0),1),0)+IFERROR(INDEX('FC North'!$P$14:$P$54,MATCH(N$7,'FC North'!$B$14:$B$54,0),1),0)+IFERROR(INDEX('FC North'!$R$14:$R$54,MATCH(N$7,'FC North'!$B$14:$B$54,0),1),0)+IFERROR(INDEX('FC North'!$S$14:$S$54,MATCH(N$7,'FC North'!$B$14:$B$54,0),1),0))/1000000</f>
        <v>0</v>
      </c>
      <c r="O17" s="167">
        <f>-(+IFERROR(INDEX('FC North'!$O$14:$O$54,MATCH(O$7,'FC North'!$B$14:$B$54,0),1),0)+IFERROR(INDEX('FC North'!$P$14:$P$54,MATCH(O$7,'FC North'!$B$14:$B$54,0),1),0)+IFERROR(INDEX('FC North'!$R$14:$R$54,MATCH(O$7,'FC North'!$B$14:$B$54,0),1),0)+IFERROR(INDEX('FC North'!$S$14:$S$54,MATCH(O$7,'FC North'!$B$14:$B$54,0),1),0))/1000000</f>
        <v>0</v>
      </c>
      <c r="P17" s="167">
        <f>-(+IFERROR(INDEX('FC North'!$O$14:$O$54,MATCH(P$7,'FC North'!$B$14:$B$54,0),1),0)+IFERROR(INDEX('FC North'!$P$14:$P$54,MATCH(P$7,'FC North'!$B$14:$B$54,0),1),0)+IFERROR(INDEX('FC North'!$R$14:$R$54,MATCH(P$7,'FC North'!$B$14:$B$54,0),1),0)+IFERROR(INDEX('FC North'!$S$14:$S$54,MATCH(P$7,'FC North'!$B$14:$B$54,0),1),0))/1000000</f>
        <v>0</v>
      </c>
      <c r="Q17" s="167">
        <f>-(+IFERROR(INDEX('FC North'!$O$14:$O$54,MATCH(Q$7,'FC North'!$B$14:$B$54,0),1),0)+IFERROR(INDEX('FC North'!$P$14:$P$54,MATCH(Q$7,'FC North'!$B$14:$B$54,0),1),0)+IFERROR(INDEX('FC North'!$R$14:$R$54,MATCH(Q$7,'FC North'!$B$14:$B$54,0),1),0)+IFERROR(INDEX('FC North'!$S$14:$S$54,MATCH(Q$7,'FC North'!$B$14:$B$54,0),1),0))/1000000</f>
        <v>0</v>
      </c>
      <c r="R17" s="167">
        <f>-(+IFERROR(INDEX('FC North'!$O$14:$O$54,MATCH(R$7,'FC North'!$B$14:$B$54,0),1),0)+IFERROR(INDEX('FC North'!$P$14:$P$54,MATCH(R$7,'FC North'!$B$14:$B$54,0),1),0)+IFERROR(INDEX('FC North'!$R$14:$R$54,MATCH(R$7,'FC North'!$B$14:$B$54,0),1),0)+IFERROR(INDEX('FC North'!$S$14:$S$54,MATCH(R$7,'FC North'!$B$14:$B$54,0),1),0))/1000000</f>
        <v>0</v>
      </c>
      <c r="S17" s="167">
        <f>-(+IFERROR(INDEX('FC North'!$O$14:$O$54,MATCH(S$7,'FC North'!$B$14:$B$54,0),1),0)+IFERROR(INDEX('FC North'!$P$14:$P$54,MATCH(S$7,'FC North'!$B$14:$B$54,0),1),0)+IFERROR(INDEX('FC North'!$R$14:$R$54,MATCH(S$7,'FC North'!$B$14:$B$54,0),1),0)+IFERROR(INDEX('FC North'!$S$14:$S$54,MATCH(S$7,'FC North'!$B$14:$B$54,0),1),0))/1000000</f>
        <v>0</v>
      </c>
      <c r="T17" s="167">
        <f>-(+IFERROR(INDEX('FC North'!$O$14:$O$54,MATCH(T$7,'FC North'!$B$14:$B$54,0),1),0)+IFERROR(INDEX('FC North'!$P$14:$P$54,MATCH(T$7,'FC North'!$B$14:$B$54,0),1),0)+IFERROR(INDEX('FC North'!$R$14:$R$54,MATCH(T$7,'FC North'!$B$14:$B$54,0),1),0)+IFERROR(INDEX('FC North'!$S$14:$S$54,MATCH(T$7,'FC North'!$B$14:$B$54,0),1),0))/1000000</f>
        <v>0</v>
      </c>
      <c r="U17" s="167">
        <f>-(+IFERROR(INDEX('FC North'!$O$14:$O$54,MATCH(U$7,'FC North'!$B$14:$B$54,0),1),0)+IFERROR(INDEX('FC North'!$P$14:$P$54,MATCH(U$7,'FC North'!$B$14:$B$54,0),1),0)+IFERROR(INDEX('FC North'!$R$14:$R$54,MATCH(U$7,'FC North'!$B$14:$B$54,0),1),0)+IFERROR(INDEX('FC North'!$S$14:$S$54,MATCH(U$7,'FC North'!$B$14:$B$54,0),1),0))/1000000</f>
        <v>0</v>
      </c>
      <c r="V17" s="167">
        <f>-(+IFERROR(INDEX('FC North'!$O$14:$O$54,MATCH(V$7,'FC North'!$B$14:$B$54,0),1),0)+IFERROR(INDEX('FC North'!$P$14:$P$54,MATCH(V$7,'FC North'!$B$14:$B$54,0),1),0)+IFERROR(INDEX('FC North'!$R$14:$R$54,MATCH(V$7,'FC North'!$B$14:$B$54,0),1),0)+IFERROR(INDEX('FC North'!$S$14:$S$54,MATCH(V$7,'FC North'!$B$14:$B$54,0),1),0))/1000000</f>
        <v>0</v>
      </c>
      <c r="W17" s="167">
        <f>-(+IFERROR(INDEX('FC North'!$O$14:$O$54,MATCH(W$7,'FC North'!$B$14:$B$54,0),1),0)+IFERROR(INDEX('FC North'!$P$14:$P$54,MATCH(W$7,'FC North'!$B$14:$B$54,0),1),0)+IFERROR(INDEX('FC North'!$R$14:$R$54,MATCH(W$7,'FC North'!$B$14:$B$54,0),1),0)+IFERROR(INDEX('FC North'!$S$14:$S$54,MATCH(W$7,'FC North'!$B$14:$B$54,0),1),0))/1000000</f>
        <v>0</v>
      </c>
      <c r="X17" s="167">
        <f>-(+IFERROR(INDEX('FC North'!$O$14:$O$54,MATCH(X$7,'FC North'!$B$14:$B$54,0),1),0)+IFERROR(INDEX('FC North'!$P$14:$P$54,MATCH(X$7,'FC North'!$B$14:$B$54,0),1),0)+IFERROR(INDEX('FC North'!$R$14:$R$54,MATCH(X$7,'FC North'!$B$14:$B$54,0),1),0)+IFERROR(INDEX('FC North'!$S$14:$S$54,MATCH(X$7,'FC North'!$B$14:$B$54,0),1),0))/1000000</f>
        <v>0</v>
      </c>
      <c r="Y17" s="167">
        <f>-(+IFERROR(INDEX('FC North'!$O$14:$O$54,MATCH(Y$7,'FC North'!$B$14:$B$54,0),1),0)+IFERROR(INDEX('FC North'!$P$14:$P$54,MATCH(Y$7,'FC North'!$B$14:$B$54,0),1),0)+IFERROR(INDEX('FC North'!$R$14:$R$54,MATCH(Y$7,'FC North'!$B$14:$B$54,0),1),0)+IFERROR(INDEX('FC North'!$S$14:$S$54,MATCH(Y$7,'FC North'!$B$14:$B$54,0),1),0))/1000000</f>
        <v>0</v>
      </c>
      <c r="Z17" s="167">
        <f>-(+IFERROR(INDEX('FC North'!$O$14:$O$54,MATCH(Z$7,'FC North'!$B$14:$B$54,0),1),0)+IFERROR(INDEX('FC North'!$P$14:$P$54,MATCH(Z$7,'FC North'!$B$14:$B$54,0),1),0)+IFERROR(INDEX('FC North'!$R$14:$R$54,MATCH(Z$7,'FC North'!$B$14:$B$54,0),1),0)+IFERROR(INDEX('FC North'!$S$14:$S$54,MATCH(Z$7,'FC North'!$B$14:$B$54,0),1),0))/1000000</f>
        <v>0</v>
      </c>
      <c r="AA17" s="167">
        <f>-(+IFERROR(INDEX('FC North'!$O$14:$O$54,MATCH(AA$7,'FC North'!$B$14:$B$54,0),1),0)+IFERROR(INDEX('FC North'!$P$14:$P$54,MATCH(AA$7,'FC North'!$B$14:$B$54,0),1),0)+IFERROR(INDEX('FC North'!$R$14:$R$54,MATCH(AA$7,'FC North'!$B$14:$B$54,0),1),0)+IFERROR(INDEX('FC North'!$S$14:$S$54,MATCH(AA$7,'FC North'!$B$14:$B$54,0),1),0))/1000000</f>
        <v>0</v>
      </c>
      <c r="AB17" s="167">
        <f>-(+IFERROR(INDEX('FC North'!$O$14:$O$54,MATCH(AB$7,'FC North'!$B$14:$B$54,0),1),0)+IFERROR(INDEX('FC North'!$P$14:$P$54,MATCH(AB$7,'FC North'!$B$14:$B$54,0),1),0)+IFERROR(INDEX('FC North'!$R$14:$R$54,MATCH(AB$7,'FC North'!$B$14:$B$54,0),1),0)+IFERROR(INDEX('FC North'!$S$14:$S$54,MATCH(AB$7,'FC North'!$B$14:$B$54,0),1),0))/1000000</f>
        <v>0</v>
      </c>
      <c r="AC17" s="167">
        <f>-(+IFERROR(INDEX('FC North'!$O$14:$O$54,MATCH(AC$7,'FC North'!$B$14:$B$54,0),1),0)+IFERROR(INDEX('FC North'!$P$14:$P$54,MATCH(AC$7,'FC North'!$B$14:$B$54,0),1),0)+IFERROR(INDEX('FC North'!$R$14:$R$54,MATCH(AC$7,'FC North'!$B$14:$B$54,0),1),0)+IFERROR(INDEX('FC North'!$S$14:$S$54,MATCH(AC$7,'FC North'!$B$14:$B$54,0),1),0))/1000000</f>
        <v>0</v>
      </c>
      <c r="AD17" s="167">
        <f>-(+IFERROR(INDEX('FC North'!$O$14:$O$54,MATCH(AD$7,'FC North'!$B$14:$B$54,0),1),0)+IFERROR(INDEX('FC North'!$P$14:$P$54,MATCH(AD$7,'FC North'!$B$14:$B$54,0),1),0)+IFERROR(INDEX('FC North'!$R$14:$R$54,MATCH(AD$7,'FC North'!$B$14:$B$54,0),1),0)+IFERROR(INDEX('FC North'!$S$14:$S$54,MATCH(AD$7,'FC North'!$B$14:$B$54,0),1),0))/1000000</f>
        <v>0</v>
      </c>
      <c r="AE17" s="167">
        <f>-(+IFERROR(INDEX('FC North'!$O$14:$O$54,MATCH(AE$7,'FC North'!$B$14:$B$54,0),1),0)+IFERROR(INDEX('FC North'!$P$14:$P$54,MATCH(AE$7,'FC North'!$B$14:$B$54,0),1),0)+IFERROR(INDEX('FC North'!$R$14:$R$54,MATCH(AE$7,'FC North'!$B$14:$B$54,0),1),0)+IFERROR(INDEX('FC North'!$S$14:$S$54,MATCH(AE$7,'FC North'!$B$14:$B$54,0),1),0))/1000000</f>
        <v>0</v>
      </c>
      <c r="AF17" s="167">
        <f>-(+IFERROR(INDEX('FC North'!$O$14:$O$54,MATCH(AF$7,'FC North'!$B$14:$B$54,0),1),0)+IFERROR(INDEX('FC North'!$P$14:$P$54,MATCH(AF$7,'FC North'!$B$14:$B$54,0),1),0)+IFERROR(INDEX('FC North'!$R$14:$R$54,MATCH(AF$7,'FC North'!$B$14:$B$54,0),1),0)+IFERROR(INDEX('FC North'!$S$14:$S$54,MATCH(AF$7,'FC North'!$B$14:$B$54,0),1),0))/1000000</f>
        <v>0</v>
      </c>
      <c r="AG17" s="167">
        <f>-(+IFERROR(INDEX('FC North'!$O$14:$O$54,MATCH(AG$7,'FC North'!$B$14:$B$54,0),1),0)+IFERROR(INDEX('FC North'!$P$14:$P$54,MATCH(AG$7,'FC North'!$B$14:$B$54,0),1),0)+IFERROR(INDEX('FC North'!$R$14:$R$54,MATCH(AG$7,'FC North'!$B$14:$B$54,0),1),0)+IFERROR(INDEX('FC North'!$S$14:$S$54,MATCH(AG$7,'FC North'!$B$14:$B$54,0),1),0))/1000000</f>
        <v>0</v>
      </c>
      <c r="AH17" s="167">
        <f>-(+IFERROR(INDEX('FC North'!$O$14:$O$54,MATCH(AH$7,'FC North'!$B$14:$B$54,0),1),0)+IFERROR(INDEX('FC North'!$P$14:$P$54,MATCH(AH$7,'FC North'!$B$14:$B$54,0),1),0)+IFERROR(INDEX('FC North'!$R$14:$R$54,MATCH(AH$7,'FC North'!$B$14:$B$54,0),1),0)+IFERROR(INDEX('FC North'!$S$14:$S$54,MATCH(AH$7,'FC North'!$B$14:$B$54,0),1),0))/1000000</f>
        <v>0</v>
      </c>
      <c r="AI17" s="167">
        <f>-(+IFERROR(INDEX('FC North'!$O$14:$O$54,MATCH(AI$7,'FC North'!$B$14:$B$54,0),1),0)+IFERROR(INDEX('FC North'!$P$14:$P$54,MATCH(AI$7,'FC North'!$B$14:$B$54,0),1),0)+IFERROR(INDEX('FC North'!$R$14:$R$54,MATCH(AI$7,'FC North'!$B$14:$B$54,0),1),0)+IFERROR(INDEX('FC North'!$S$14:$S$54,MATCH(AI$7,'FC North'!$B$14:$B$54,0),1),0))/1000000</f>
        <v>0</v>
      </c>
      <c r="AJ17" s="167">
        <f>-(+IFERROR(INDEX('FC North'!$O$14:$O$54,MATCH(AJ$7,'FC North'!$B$14:$B$54,0),1),0)+IFERROR(INDEX('FC North'!$P$14:$P$54,MATCH(AJ$7,'FC North'!$B$14:$B$54,0),1),0)+IFERROR(INDEX('FC North'!$R$14:$R$54,MATCH(AJ$7,'FC North'!$B$14:$B$54,0),1),0)+IFERROR(INDEX('FC North'!$S$14:$S$54,MATCH(AJ$7,'FC North'!$B$14:$B$54,0),1),0))/1000000</f>
        <v>0</v>
      </c>
      <c r="AK17" s="167">
        <f>-(+IFERROR(INDEX('FC North'!$O$14:$O$54,MATCH(AK$7,'FC North'!$B$14:$B$54,0),1),0)+IFERROR(INDEX('FC North'!$P$14:$P$54,MATCH(AK$7,'FC North'!$B$14:$B$54,0),1),0)+IFERROR(INDEX('FC North'!$R$14:$R$54,MATCH(AK$7,'FC North'!$B$14:$B$54,0),1),0)+IFERROR(INDEX('FC North'!$S$14:$S$54,MATCH(AK$7,'FC North'!$B$14:$B$54,0),1),0))/1000000</f>
        <v>0</v>
      </c>
      <c r="AL17" s="167">
        <f>-(+IFERROR(INDEX('FC North'!$O$14:$O$54,MATCH(AL$7,'FC North'!$B$14:$B$54,0),1),0)+IFERROR(INDEX('FC North'!$P$14:$P$54,MATCH(AL$7,'FC North'!$B$14:$B$54,0),1),0)+IFERROR(INDEX('FC North'!$R$14:$R$54,MATCH(AL$7,'FC North'!$B$14:$B$54,0),1),0)+IFERROR(INDEX('FC North'!$S$14:$S$54,MATCH(AL$7,'FC North'!$B$14:$B$54,0),1),0))/1000000</f>
        <v>0</v>
      </c>
      <c r="AM17" s="167">
        <f>-(+IFERROR(INDEX('FC North'!$O$14:$O$54,MATCH(AM$7,'FC North'!$B$14:$B$54,0),1),0)+IFERROR(INDEX('FC North'!$P$14:$P$54,MATCH(AM$7,'FC North'!$B$14:$B$54,0),1),0)+IFERROR(INDEX('FC North'!$R$14:$R$54,MATCH(AM$7,'FC North'!$B$14:$B$54,0),1),0)+IFERROR(INDEX('FC North'!$S$14:$S$54,MATCH(AM$7,'FC North'!$B$14:$B$54,0),1),0))/1000000</f>
        <v>0</v>
      </c>
    </row>
    <row r="18" spans="1:39" collapsed="1" x14ac:dyDescent="0.25">
      <c r="A18" s="126">
        <f>MIN(A$1:A17)-1</f>
        <v>-2</v>
      </c>
      <c r="B18" s="126"/>
      <c r="C18" s="14" t="s">
        <v>81</v>
      </c>
      <c r="E18" s="144">
        <f t="shared" si="1"/>
        <v>43.431661776631316</v>
      </c>
      <c r="F18" s="12">
        <f t="shared" ref="F18:G18" si="2">SUM(F12:F17)</f>
        <v>0</v>
      </c>
      <c r="G18" s="12">
        <f t="shared" si="2"/>
        <v>0</v>
      </c>
      <c r="H18" s="12">
        <f>SUM(H12:H17)</f>
        <v>0.40628656560394494</v>
      </c>
      <c r="I18" s="12">
        <f t="shared" ref="I18:AM18" si="3">SUM(I12:I17)</f>
        <v>3.2762993959686089</v>
      </c>
      <c r="J18" s="12">
        <f t="shared" si="3"/>
        <v>2.805940316790156</v>
      </c>
      <c r="K18" s="12">
        <f t="shared" si="3"/>
        <v>2.1726238002840925</v>
      </c>
      <c r="L18" s="12">
        <f t="shared" si="3"/>
        <v>1.7665644843658077</v>
      </c>
      <c r="M18" s="12">
        <f t="shared" si="3"/>
        <v>1.4435643845151227</v>
      </c>
      <c r="N18" s="12">
        <f t="shared" si="3"/>
        <v>0.66060287455079858</v>
      </c>
      <c r="O18" s="12">
        <f t="shared" si="3"/>
        <v>0.20207750966106949</v>
      </c>
      <c r="P18" s="12">
        <f t="shared" si="3"/>
        <v>-0.19159180642333457</v>
      </c>
      <c r="Q18" s="12">
        <f t="shared" si="3"/>
        <v>-0.62117914758638948</v>
      </c>
      <c r="R18" s="12">
        <f t="shared" si="3"/>
        <v>1.1001012626128517</v>
      </c>
      <c r="S18" s="12">
        <f t="shared" si="3"/>
        <v>8.1988633266362285</v>
      </c>
      <c r="T18" s="12">
        <f t="shared" si="3"/>
        <v>8.0619193426327111</v>
      </c>
      <c r="U18" s="12">
        <f t="shared" si="3"/>
        <v>8.0780846430491948</v>
      </c>
      <c r="V18" s="12">
        <f t="shared" si="3"/>
        <v>7.9759317946248922</v>
      </c>
      <c r="W18" s="12">
        <f t="shared" si="3"/>
        <v>7.8969399193870764</v>
      </c>
      <c r="X18" s="12">
        <f t="shared" si="3"/>
        <v>7.8201286430548329</v>
      </c>
      <c r="Y18" s="12">
        <f t="shared" si="3"/>
        <v>7.7676363619509035</v>
      </c>
      <c r="Z18" s="12">
        <f t="shared" si="3"/>
        <v>7.6966330328622625</v>
      </c>
      <c r="AA18" s="12">
        <f t="shared" si="3"/>
        <v>7.631457852528575</v>
      </c>
      <c r="AB18" s="12">
        <f t="shared" si="3"/>
        <v>7.5728237810282826</v>
      </c>
      <c r="AC18" s="12">
        <f t="shared" si="3"/>
        <v>7.5232738686662257</v>
      </c>
      <c r="AD18" s="12">
        <f t="shared" si="3"/>
        <v>7.4826134396517752</v>
      </c>
      <c r="AE18" s="12">
        <f t="shared" si="3"/>
        <v>7.4569499601769378</v>
      </c>
      <c r="AF18" s="12">
        <f t="shared" si="3"/>
        <v>7.4488477832347444</v>
      </c>
      <c r="AG18" s="12">
        <f t="shared" si="3"/>
        <v>7.4699438604209698</v>
      </c>
      <c r="AH18" s="12">
        <f t="shared" si="3"/>
        <v>7.5333034615799521</v>
      </c>
      <c r="AI18" s="12">
        <f t="shared" si="3"/>
        <v>7.6215023731275959</v>
      </c>
      <c r="AJ18" s="12">
        <f t="shared" si="3"/>
        <v>7.707567511816503</v>
      </c>
      <c r="AK18" s="12">
        <f t="shared" si="3"/>
        <v>7.7536393456431396</v>
      </c>
      <c r="AL18" s="12">
        <f t="shared" si="3"/>
        <v>-9.1854853841157933</v>
      </c>
      <c r="AM18" s="12">
        <f t="shared" si="3"/>
        <v>0</v>
      </c>
    </row>
    <row r="19" spans="1:39" x14ac:dyDescent="0.25">
      <c r="A19" s="126">
        <f>MIN(A$1:A18)-1</f>
        <v>-3</v>
      </c>
      <c r="B19" s="126"/>
      <c r="C19" s="14" t="s">
        <v>79</v>
      </c>
      <c r="D19" s="126" t="str">
        <f>"("&amp;-$A18&amp;") / ("&amp;-$A$9&amp;")"</f>
        <v>(2) / (1)</v>
      </c>
      <c r="E19" s="146">
        <f>IF(E$9=0,0,E18/E$9*1000)</f>
        <v>20.273281568838645</v>
      </c>
      <c r="F19" s="6"/>
      <c r="G19" s="6"/>
      <c r="H19" s="6">
        <f t="shared" ref="H19:AM19" si="4">IF(H$9=0,0,H18/H$9*1000)</f>
        <v>8.7775025564711626</v>
      </c>
      <c r="I19" s="6">
        <f t="shared" si="4"/>
        <v>16.436456295655461</v>
      </c>
      <c r="J19" s="6">
        <f t="shared" si="4"/>
        <v>14.129740144171471</v>
      </c>
      <c r="K19" s="6">
        <f t="shared" si="4"/>
        <v>10.940578295754371</v>
      </c>
      <c r="L19" s="6">
        <f t="shared" si="4"/>
        <v>8.8958047192412391</v>
      </c>
      <c r="M19" s="6">
        <f t="shared" si="4"/>
        <v>7.2420374478727654</v>
      </c>
      <c r="N19" s="6">
        <f t="shared" si="4"/>
        <v>3.3265664633142475</v>
      </c>
      <c r="O19" s="6">
        <f t="shared" si="4"/>
        <v>1.0175921003760064</v>
      </c>
      <c r="P19" s="6">
        <f t="shared" si="4"/>
        <v>-0.96478974350065461</v>
      </c>
      <c r="Q19" s="6">
        <f t="shared" si="4"/>
        <v>-3.1163159031312255</v>
      </c>
      <c r="R19" s="6">
        <f t="shared" si="4"/>
        <v>5.539727584361521</v>
      </c>
      <c r="S19" s="6">
        <f t="shared" si="4"/>
        <v>41.2866259448707</v>
      </c>
      <c r="T19" s="6">
        <f t="shared" si="4"/>
        <v>40.597023640538445</v>
      </c>
      <c r="U19" s="6">
        <f t="shared" si="4"/>
        <v>40.525931589603658</v>
      </c>
      <c r="V19" s="6">
        <f t="shared" si="4"/>
        <v>40.164020236398045</v>
      </c>
      <c r="W19" s="6">
        <f t="shared" si="4"/>
        <v>39.766244608765319</v>
      </c>
      <c r="X19" s="6">
        <f t="shared" si="4"/>
        <v>39.37944971928659</v>
      </c>
      <c r="Y19" s="6">
        <f t="shared" si="4"/>
        <v>38.968482471671358</v>
      </c>
      <c r="Z19" s="6">
        <f t="shared" si="4"/>
        <v>38.75756875106876</v>
      </c>
      <c r="AA19" s="6">
        <f t="shared" si="4"/>
        <v>38.429369196554369</v>
      </c>
      <c r="AB19" s="6">
        <f t="shared" si="4"/>
        <v>38.134108392560627</v>
      </c>
      <c r="AC19" s="6">
        <f t="shared" si="4"/>
        <v>37.74257086966297</v>
      </c>
      <c r="AD19" s="6">
        <f t="shared" si="4"/>
        <v>37.679840468777712</v>
      </c>
      <c r="AE19" s="6">
        <f t="shared" si="4"/>
        <v>37.550608106277011</v>
      </c>
      <c r="AF19" s="6">
        <f t="shared" si="4"/>
        <v>37.509808359357862</v>
      </c>
      <c r="AG19" s="6">
        <f t="shared" si="4"/>
        <v>37.47502622742158</v>
      </c>
      <c r="AH19" s="6">
        <f t="shared" si="4"/>
        <v>37.935097800325956</v>
      </c>
      <c r="AI19" s="6">
        <f t="shared" si="4"/>
        <v>38.379236862625255</v>
      </c>
      <c r="AJ19" s="6">
        <f t="shared" si="4"/>
        <v>38.81263098646658</v>
      </c>
      <c r="AK19" s="6">
        <f t="shared" si="4"/>
        <v>41.295604290544048</v>
      </c>
      <c r="AL19" s="6">
        <f t="shared" si="4"/>
        <v>-80.417440667109929</v>
      </c>
      <c r="AM19" s="6">
        <f t="shared" si="4"/>
        <v>0</v>
      </c>
    </row>
    <row r="20" spans="1:39" ht="6" customHeight="1" x14ac:dyDescent="0.25"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1:39" x14ac:dyDescent="0.25">
      <c r="A21" s="1" t="s">
        <v>126</v>
      </c>
      <c r="E21" s="4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ht="17.25" x14ac:dyDescent="0.3">
      <c r="A22" s="133" t="s">
        <v>122</v>
      </c>
      <c r="B22" s="132"/>
      <c r="C22" s="129"/>
      <c r="E22" s="141" t="s">
        <v>6</v>
      </c>
      <c r="F22" s="141">
        <f t="shared" ref="F22:G22" si="5">F$7</f>
        <v>2021</v>
      </c>
      <c r="G22" s="141">
        <f t="shared" si="5"/>
        <v>2022</v>
      </c>
      <c r="H22" s="141">
        <f>H$7</f>
        <v>2023</v>
      </c>
      <c r="I22" s="141">
        <f t="shared" ref="I22:AM22" si="6">I$7</f>
        <v>2024</v>
      </c>
      <c r="J22" s="141">
        <f t="shared" si="6"/>
        <v>2025</v>
      </c>
      <c r="K22" s="141">
        <f t="shared" si="6"/>
        <v>2026</v>
      </c>
      <c r="L22" s="141">
        <f t="shared" si="6"/>
        <v>2027</v>
      </c>
      <c r="M22" s="141">
        <f t="shared" si="6"/>
        <v>2028</v>
      </c>
      <c r="N22" s="141">
        <f t="shared" si="6"/>
        <v>2029</v>
      </c>
      <c r="O22" s="141">
        <f t="shared" si="6"/>
        <v>2030</v>
      </c>
      <c r="P22" s="141">
        <f t="shared" si="6"/>
        <v>2031</v>
      </c>
      <c r="Q22" s="141">
        <f t="shared" si="6"/>
        <v>2032</v>
      </c>
      <c r="R22" s="141">
        <f t="shared" si="6"/>
        <v>2033</v>
      </c>
      <c r="S22" s="141">
        <f t="shared" si="6"/>
        <v>2034</v>
      </c>
      <c r="T22" s="141">
        <f t="shared" si="6"/>
        <v>2035</v>
      </c>
      <c r="U22" s="141">
        <f t="shared" si="6"/>
        <v>2036</v>
      </c>
      <c r="V22" s="141">
        <f t="shared" si="6"/>
        <v>2037</v>
      </c>
      <c r="W22" s="141">
        <f t="shared" si="6"/>
        <v>2038</v>
      </c>
      <c r="X22" s="141">
        <f t="shared" si="6"/>
        <v>2039</v>
      </c>
      <c r="Y22" s="141">
        <f t="shared" si="6"/>
        <v>2040</v>
      </c>
      <c r="Z22" s="141">
        <f t="shared" si="6"/>
        <v>2041</v>
      </c>
      <c r="AA22" s="141">
        <f t="shared" si="6"/>
        <v>2042</v>
      </c>
      <c r="AB22" s="141">
        <f t="shared" si="6"/>
        <v>2043</v>
      </c>
      <c r="AC22" s="141">
        <f t="shared" si="6"/>
        <v>2044</v>
      </c>
      <c r="AD22" s="141">
        <f t="shared" si="6"/>
        <v>2045</v>
      </c>
      <c r="AE22" s="141">
        <f t="shared" si="6"/>
        <v>2046</v>
      </c>
      <c r="AF22" s="141">
        <f t="shared" si="6"/>
        <v>2047</v>
      </c>
      <c r="AG22" s="141">
        <f t="shared" si="6"/>
        <v>2048</v>
      </c>
      <c r="AH22" s="141">
        <f t="shared" si="6"/>
        <v>2049</v>
      </c>
      <c r="AI22" s="141">
        <f t="shared" si="6"/>
        <v>2050</v>
      </c>
      <c r="AJ22" s="141">
        <f t="shared" si="6"/>
        <v>2051</v>
      </c>
      <c r="AK22" s="141">
        <f t="shared" si="6"/>
        <v>2052</v>
      </c>
      <c r="AL22" s="141">
        <f t="shared" si="6"/>
        <v>2053</v>
      </c>
      <c r="AM22" s="141">
        <f t="shared" si="6"/>
        <v>2054</v>
      </c>
    </row>
    <row r="23" spans="1:39" ht="6" customHeight="1" x14ac:dyDescent="0.25"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x14ac:dyDescent="0.25">
      <c r="A24" s="126">
        <f>MIN(A$1:A23)-1</f>
        <v>-4</v>
      </c>
      <c r="B24" s="126"/>
      <c r="C24" s="1" t="s">
        <v>94</v>
      </c>
      <c r="F24" s="6">
        <v>0</v>
      </c>
      <c r="G24" s="6">
        <v>0</v>
      </c>
      <c r="H24" s="6">
        <v>-24.842529033745944</v>
      </c>
      <c r="I24" s="6">
        <v>-24.842529033745944</v>
      </c>
      <c r="J24" s="6">
        <v>-25.536663665100178</v>
      </c>
      <c r="K24" s="6">
        <v>-28.547987272917705</v>
      </c>
      <c r="L24" s="6">
        <v>-28.204706778454003</v>
      </c>
      <c r="M24" s="6">
        <v>-30.931123880342749</v>
      </c>
      <c r="N24" s="6">
        <v>-38.55630896008595</v>
      </c>
      <c r="O24" s="6">
        <v>-39.059177420947208</v>
      </c>
      <c r="P24" s="6">
        <v>-39.623036380151198</v>
      </c>
      <c r="Q24" s="6">
        <v>-42.110533602819238</v>
      </c>
      <c r="R24" s="6">
        <v>-42.944627950683206</v>
      </c>
      <c r="S24" s="6">
        <v>-49.630738878067525</v>
      </c>
      <c r="T24" s="6">
        <v>-50.235192654318276</v>
      </c>
      <c r="U24" s="6">
        <v>-65.023385258793084</v>
      </c>
      <c r="V24" s="6">
        <v>-54.950720908900394</v>
      </c>
      <c r="W24" s="6">
        <v>-70.423325425465919</v>
      </c>
      <c r="X24" s="6">
        <v>-65.010201401222389</v>
      </c>
      <c r="Y24" s="6">
        <v>-146.01894284952255</v>
      </c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 ht="6" customHeight="1" x14ac:dyDescent="0.25"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 x14ac:dyDescent="0.25">
      <c r="A26" s="126">
        <f>MIN(A$1:A25)-1</f>
        <v>-5</v>
      </c>
      <c r="B26" s="126"/>
      <c r="C26" s="131" t="s">
        <v>13</v>
      </c>
      <c r="J26" s="6"/>
      <c r="P26" s="6"/>
      <c r="Q26" s="6">
        <f>-PMT($D$4,COUNT(Q24:$Y24),NPV($D$2,Q24:$Y24))*(1+$D$3)</f>
        <v>-56.849458579383629</v>
      </c>
      <c r="R26" s="6">
        <f t="shared" ref="R26:AG26" si="7">Q26*(1+$D$3)</f>
        <v>-58.074564411769344</v>
      </c>
      <c r="S26" s="6">
        <f t="shared" si="7"/>
        <v>-59.326071274842974</v>
      </c>
      <c r="T26" s="6">
        <f t="shared" si="7"/>
        <v>-60.604548110815834</v>
      </c>
      <c r="U26" s="6">
        <f t="shared" si="7"/>
        <v>-61.910576122603914</v>
      </c>
      <c r="V26" s="6">
        <f t="shared" si="7"/>
        <v>-63.244749038046024</v>
      </c>
      <c r="W26" s="6">
        <f t="shared" si="7"/>
        <v>-64.607673379815907</v>
      </c>
      <c r="X26" s="6">
        <f t="shared" si="7"/>
        <v>-65.999968741150937</v>
      </c>
      <c r="Y26" s="6">
        <f t="shared" si="7"/>
        <v>-67.422268067522737</v>
      </c>
      <c r="Z26" s="6">
        <f t="shared" si="7"/>
        <v>-68.875217944377852</v>
      </c>
      <c r="AA26" s="6">
        <f t="shared" si="7"/>
        <v>-70.359478891079192</v>
      </c>
      <c r="AB26" s="6">
        <f t="shared" si="7"/>
        <v>-71.875725661181946</v>
      </c>
      <c r="AC26" s="6">
        <f t="shared" si="7"/>
        <v>-73.42464754918042</v>
      </c>
      <c r="AD26" s="6">
        <f t="shared" si="7"/>
        <v>-75.006948703865262</v>
      </c>
      <c r="AE26" s="6">
        <f t="shared" si="7"/>
        <v>-76.623348448433561</v>
      </c>
      <c r="AF26" s="6">
        <f t="shared" si="7"/>
        <v>-78.274581607497296</v>
      </c>
      <c r="AG26" s="6">
        <f t="shared" si="7"/>
        <v>-79.961398841138859</v>
      </c>
      <c r="AH26" s="6">
        <f t="shared" ref="X26:AM27" si="8">AG26*(1+$D$3)</f>
        <v>-81.684566986165393</v>
      </c>
      <c r="AI26" s="6">
        <f t="shared" si="8"/>
        <v>-83.444869404717252</v>
      </c>
      <c r="AJ26" s="6">
        <f t="shared" si="8"/>
        <v>-85.243106340388906</v>
      </c>
      <c r="AK26" s="6">
        <f t="shared" si="8"/>
        <v>-87.080095282024288</v>
      </c>
      <c r="AL26" s="6">
        <f t="shared" si="8"/>
        <v>-88.956671335351913</v>
      </c>
      <c r="AM26" s="6">
        <f t="shared" si="8"/>
        <v>-90.873687602628749</v>
      </c>
    </row>
    <row r="27" spans="1:39" x14ac:dyDescent="0.25">
      <c r="A27" s="126">
        <f>MIN(A$1:A26)-1</f>
        <v>-6</v>
      </c>
      <c r="B27" s="126"/>
      <c r="C27" s="131" t="s">
        <v>14</v>
      </c>
      <c r="W27" s="6">
        <f>-PMT($D$4,COUNT(W24:$Y24),NPV($D$2,W24:$Y24))*(1+$D$3)</f>
        <v>-90.290756752804796</v>
      </c>
      <c r="X27" s="6">
        <f t="shared" si="8"/>
        <v>-92.236522560827737</v>
      </c>
      <c r="Y27" s="6">
        <f t="shared" si="8"/>
        <v>-94.224219622013564</v>
      </c>
      <c r="Z27" s="6">
        <f t="shared" si="8"/>
        <v>-96.254751554867951</v>
      </c>
      <c r="AA27" s="6">
        <f t="shared" si="8"/>
        <v>-98.329041450875351</v>
      </c>
      <c r="AB27" s="6">
        <f t="shared" si="8"/>
        <v>-100.44803229414171</v>
      </c>
      <c r="AC27" s="6">
        <f t="shared" si="8"/>
        <v>-102.61268739008047</v>
      </c>
      <c r="AD27" s="6">
        <f t="shared" si="8"/>
        <v>-104.8239908033367</v>
      </c>
      <c r="AE27" s="6">
        <f t="shared" si="8"/>
        <v>-107.08294780514861</v>
      </c>
      <c r="AF27" s="6">
        <f t="shared" si="8"/>
        <v>-109.39058533034955</v>
      </c>
      <c r="AG27" s="6">
        <f t="shared" si="8"/>
        <v>-111.74795244421858</v>
      </c>
      <c r="AH27" s="6">
        <f t="shared" si="8"/>
        <v>-114.15612081939149</v>
      </c>
      <c r="AI27" s="6">
        <f t="shared" si="8"/>
        <v>-116.61618522304937</v>
      </c>
      <c r="AJ27" s="6">
        <f t="shared" si="8"/>
        <v>-119.12926401460608</v>
      </c>
      <c r="AK27" s="6">
        <f t="shared" si="8"/>
        <v>-121.69649965412084</v>
      </c>
      <c r="AL27" s="6">
        <f t="shared" si="8"/>
        <v>-124.31905922166715</v>
      </c>
      <c r="AM27" s="6">
        <f t="shared" si="8"/>
        <v>-126.99813494789407</v>
      </c>
    </row>
    <row r="28" spans="1:39" ht="6" customHeight="1" x14ac:dyDescent="0.25"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 x14ac:dyDescent="0.25">
      <c r="A29" s="126">
        <f>MIN(A$1:A28)-1</f>
        <v>-7</v>
      </c>
      <c r="B29" s="126"/>
      <c r="C29" s="1" t="s">
        <v>84</v>
      </c>
      <c r="E29" s="6">
        <f>$E34/$E$9*1000</f>
        <v>-49.631279268976868</v>
      </c>
      <c r="F29" s="6">
        <f>IF(F$7&lt;=$Y$7,F24,F26)</f>
        <v>0</v>
      </c>
      <c r="G29" s="6">
        <f t="shared" ref="G29:AM29" si="9">IF(G$7&lt;=$Y$7,G24,G26)</f>
        <v>0</v>
      </c>
      <c r="H29" s="6">
        <f t="shared" si="9"/>
        <v>-24.842529033745944</v>
      </c>
      <c r="I29" s="6">
        <f t="shared" si="9"/>
        <v>-24.842529033745944</v>
      </c>
      <c r="J29" s="6">
        <f t="shared" si="9"/>
        <v>-25.536663665100178</v>
      </c>
      <c r="K29" s="6">
        <f t="shared" si="9"/>
        <v>-28.547987272917705</v>
      </c>
      <c r="L29" s="6">
        <f t="shared" si="9"/>
        <v>-28.204706778454003</v>
      </c>
      <c r="M29" s="6">
        <f t="shared" si="9"/>
        <v>-30.931123880342749</v>
      </c>
      <c r="N29" s="6">
        <f t="shared" si="9"/>
        <v>-38.55630896008595</v>
      </c>
      <c r="O29" s="6">
        <f t="shared" si="9"/>
        <v>-39.059177420947208</v>
      </c>
      <c r="P29" s="6">
        <f t="shared" si="9"/>
        <v>-39.623036380151198</v>
      </c>
      <c r="Q29" s="6">
        <f t="shared" si="9"/>
        <v>-42.110533602819238</v>
      </c>
      <c r="R29" s="6">
        <f t="shared" si="9"/>
        <v>-42.944627950683206</v>
      </c>
      <c r="S29" s="6">
        <f t="shared" si="9"/>
        <v>-49.630738878067525</v>
      </c>
      <c r="T29" s="6">
        <f t="shared" si="9"/>
        <v>-50.235192654318276</v>
      </c>
      <c r="U29" s="6">
        <f t="shared" si="9"/>
        <v>-65.023385258793084</v>
      </c>
      <c r="V29" s="6">
        <f t="shared" si="9"/>
        <v>-54.950720908900394</v>
      </c>
      <c r="W29" s="6">
        <f t="shared" si="9"/>
        <v>-70.423325425465919</v>
      </c>
      <c r="X29" s="6">
        <f t="shared" si="9"/>
        <v>-65.010201401222389</v>
      </c>
      <c r="Y29" s="6">
        <f t="shared" si="9"/>
        <v>-146.01894284952255</v>
      </c>
      <c r="Z29" s="6">
        <f t="shared" si="9"/>
        <v>-68.875217944377852</v>
      </c>
      <c r="AA29" s="6">
        <f t="shared" si="9"/>
        <v>-70.359478891079192</v>
      </c>
      <c r="AB29" s="6">
        <f t="shared" si="9"/>
        <v>-71.875725661181946</v>
      </c>
      <c r="AC29" s="6">
        <f t="shared" si="9"/>
        <v>-73.42464754918042</v>
      </c>
      <c r="AD29" s="6">
        <f t="shared" si="9"/>
        <v>-75.006948703865262</v>
      </c>
      <c r="AE29" s="6">
        <f t="shared" si="9"/>
        <v>-76.623348448433561</v>
      </c>
      <c r="AF29" s="6">
        <f t="shared" si="9"/>
        <v>-78.274581607497296</v>
      </c>
      <c r="AG29" s="6">
        <f t="shared" si="9"/>
        <v>-79.961398841138859</v>
      </c>
      <c r="AH29" s="6">
        <f t="shared" si="9"/>
        <v>-81.684566986165393</v>
      </c>
      <c r="AI29" s="6">
        <f t="shared" si="9"/>
        <v>-83.444869404717252</v>
      </c>
      <c r="AJ29" s="6">
        <f t="shared" si="9"/>
        <v>-85.243106340388906</v>
      </c>
      <c r="AK29" s="6">
        <f t="shared" si="9"/>
        <v>-87.080095282024288</v>
      </c>
      <c r="AL29" s="6">
        <f t="shared" si="9"/>
        <v>-88.956671335351913</v>
      </c>
      <c r="AM29" s="6">
        <f t="shared" si="9"/>
        <v>-90.873687602628749</v>
      </c>
    </row>
    <row r="30" spans="1:39" x14ac:dyDescent="0.25">
      <c r="A30" s="126">
        <f>MIN(A$1:A29)-1</f>
        <v>-8</v>
      </c>
      <c r="B30" s="126"/>
      <c r="C30" s="1" t="s">
        <v>85</v>
      </c>
      <c r="E30" s="6">
        <f>$E35/$E$9*1000</f>
        <v>-55.976228127973108</v>
      </c>
      <c r="F30" s="6">
        <f>IF(F$7&lt;=$Y$7,F24,F27)</f>
        <v>0</v>
      </c>
      <c r="G30" s="6">
        <f t="shared" ref="G30:AM30" si="10">IF(G$7&lt;=$Y$7,G24,G27)</f>
        <v>0</v>
      </c>
      <c r="H30" s="6">
        <f t="shared" si="10"/>
        <v>-24.842529033745944</v>
      </c>
      <c r="I30" s="6">
        <f t="shared" si="10"/>
        <v>-24.842529033745944</v>
      </c>
      <c r="J30" s="6">
        <f t="shared" si="10"/>
        <v>-25.536663665100178</v>
      </c>
      <c r="K30" s="6">
        <f t="shared" si="10"/>
        <v>-28.547987272917705</v>
      </c>
      <c r="L30" s="6">
        <f t="shared" si="10"/>
        <v>-28.204706778454003</v>
      </c>
      <c r="M30" s="6">
        <f t="shared" si="10"/>
        <v>-30.931123880342749</v>
      </c>
      <c r="N30" s="6">
        <f t="shared" si="10"/>
        <v>-38.55630896008595</v>
      </c>
      <c r="O30" s="6">
        <f t="shared" si="10"/>
        <v>-39.059177420947208</v>
      </c>
      <c r="P30" s="6">
        <f t="shared" si="10"/>
        <v>-39.623036380151198</v>
      </c>
      <c r="Q30" s="6">
        <f t="shared" si="10"/>
        <v>-42.110533602819238</v>
      </c>
      <c r="R30" s="6">
        <f t="shared" si="10"/>
        <v>-42.944627950683206</v>
      </c>
      <c r="S30" s="6">
        <f t="shared" si="10"/>
        <v>-49.630738878067525</v>
      </c>
      <c r="T30" s="6">
        <f t="shared" si="10"/>
        <v>-50.235192654318276</v>
      </c>
      <c r="U30" s="6">
        <f t="shared" si="10"/>
        <v>-65.023385258793084</v>
      </c>
      <c r="V30" s="6">
        <f t="shared" si="10"/>
        <v>-54.950720908900394</v>
      </c>
      <c r="W30" s="6">
        <f t="shared" si="10"/>
        <v>-70.423325425465919</v>
      </c>
      <c r="X30" s="6">
        <f t="shared" si="10"/>
        <v>-65.010201401222389</v>
      </c>
      <c r="Y30" s="6">
        <f t="shared" si="10"/>
        <v>-146.01894284952255</v>
      </c>
      <c r="Z30" s="6">
        <f t="shared" si="10"/>
        <v>-96.254751554867951</v>
      </c>
      <c r="AA30" s="6">
        <f t="shared" si="10"/>
        <v>-98.329041450875351</v>
      </c>
      <c r="AB30" s="6">
        <f t="shared" si="10"/>
        <v>-100.44803229414171</v>
      </c>
      <c r="AC30" s="6">
        <f t="shared" si="10"/>
        <v>-102.61268739008047</v>
      </c>
      <c r="AD30" s="6">
        <f t="shared" si="10"/>
        <v>-104.8239908033367</v>
      </c>
      <c r="AE30" s="6">
        <f t="shared" si="10"/>
        <v>-107.08294780514861</v>
      </c>
      <c r="AF30" s="6">
        <f t="shared" si="10"/>
        <v>-109.39058533034955</v>
      </c>
      <c r="AG30" s="6">
        <f t="shared" si="10"/>
        <v>-111.74795244421858</v>
      </c>
      <c r="AH30" s="6">
        <f t="shared" si="10"/>
        <v>-114.15612081939149</v>
      </c>
      <c r="AI30" s="6">
        <f t="shared" si="10"/>
        <v>-116.61618522304937</v>
      </c>
      <c r="AJ30" s="6">
        <f t="shared" si="10"/>
        <v>-119.12926401460608</v>
      </c>
      <c r="AK30" s="6">
        <f t="shared" si="10"/>
        <v>-121.69649965412084</v>
      </c>
      <c r="AL30" s="6">
        <f t="shared" si="10"/>
        <v>-124.31905922166715</v>
      </c>
      <c r="AM30" s="6">
        <f t="shared" si="10"/>
        <v>-126.99813494789407</v>
      </c>
    </row>
    <row r="31" spans="1:39" x14ac:dyDescent="0.25">
      <c r="E31" s="4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x14ac:dyDescent="0.25">
      <c r="A32" s="14" t="s">
        <v>80</v>
      </c>
      <c r="B32" s="14"/>
      <c r="E32" s="4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39" ht="6" customHeight="1" x14ac:dyDescent="0.25"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1:39" x14ac:dyDescent="0.25">
      <c r="A34" s="126">
        <f>MIN(A$1:A32)-1</f>
        <v>-9</v>
      </c>
      <c r="B34" s="126"/>
      <c r="C34" s="1" t="s">
        <v>15</v>
      </c>
      <c r="D34" s="126" t="str">
        <f>"("&amp;-$A$9&amp;") X ("&amp;-$A29&amp;")"</f>
        <v>(1) X (7)</v>
      </c>
      <c r="E34" s="12">
        <f>NPV($D$2,F34:AM34)*(1+$D$2)^0.5</f>
        <v>-106.32560532602611</v>
      </c>
      <c r="F34" s="12">
        <f t="shared" ref="F34:AM35" si="11">F$9*F29/1000</f>
        <v>0</v>
      </c>
      <c r="G34" s="12">
        <f t="shared" si="11"/>
        <v>0</v>
      </c>
      <c r="H34" s="12">
        <f t="shared" si="11"/>
        <v>-1.1498926644681848</v>
      </c>
      <c r="I34" s="12">
        <f t="shared" si="11"/>
        <v>-4.9518923911298423</v>
      </c>
      <c r="J34" s="12">
        <f t="shared" si="11"/>
        <v>-5.071172817270269</v>
      </c>
      <c r="K34" s="12">
        <f t="shared" si="11"/>
        <v>-5.6691735046051068</v>
      </c>
      <c r="L34" s="12">
        <f t="shared" si="11"/>
        <v>-5.6010034908925261</v>
      </c>
      <c r="M34" s="12">
        <f t="shared" si="11"/>
        <v>-6.1655396189374221</v>
      </c>
      <c r="N34" s="12">
        <f t="shared" si="11"/>
        <v>-7.6566660585297317</v>
      </c>
      <c r="O34" s="12">
        <f t="shared" si="11"/>
        <v>-7.7565276889614037</v>
      </c>
      <c r="P34" s="12">
        <f t="shared" si="11"/>
        <v>-7.868501056515969</v>
      </c>
      <c r="Q34" s="12">
        <f t="shared" si="11"/>
        <v>-8.3939453447334813</v>
      </c>
      <c r="R34" s="12">
        <f t="shared" si="11"/>
        <v>-8.5281159969584994</v>
      </c>
      <c r="S34" s="12">
        <f t="shared" si="11"/>
        <v>-9.8558706493621919</v>
      </c>
      <c r="T34" s="12">
        <f t="shared" si="11"/>
        <v>-9.9759054980651705</v>
      </c>
      <c r="U34" s="12">
        <f t="shared" si="11"/>
        <v>-12.961192730061184</v>
      </c>
      <c r="V34" s="12">
        <f t="shared" si="11"/>
        <v>-10.912333960973108</v>
      </c>
      <c r="W34" s="12">
        <f t="shared" si="11"/>
        <v>-13.984945656290767</v>
      </c>
      <c r="X34" s="12">
        <f t="shared" si="11"/>
        <v>-12.909985835060386</v>
      </c>
      <c r="Y34" s="12">
        <f t="shared" si="11"/>
        <v>-29.106138552768112</v>
      </c>
      <c r="Z34" s="12">
        <f t="shared" si="11"/>
        <v>-13.677516280266373</v>
      </c>
      <c r="AA34" s="12">
        <f t="shared" si="11"/>
        <v>-13.972266756106112</v>
      </c>
      <c r="AB34" s="12">
        <f t="shared" si="11"/>
        <v>-14.273369104700199</v>
      </c>
      <c r="AC34" s="12">
        <f t="shared" si="11"/>
        <v>-14.635826852663719</v>
      </c>
      <c r="AD34" s="12">
        <f t="shared" si="11"/>
        <v>-14.895179901408424</v>
      </c>
      <c r="AE34" s="12">
        <f t="shared" si="11"/>
        <v>-15.216171028283776</v>
      </c>
      <c r="AF34" s="12">
        <f t="shared" si="11"/>
        <v>-15.54407951394329</v>
      </c>
      <c r="AG34" s="12">
        <f t="shared" si="11"/>
        <v>-15.938805665383908</v>
      </c>
      <c r="AH34" s="12">
        <f t="shared" si="11"/>
        <v>-16.221248050380719</v>
      </c>
      <c r="AI34" s="12">
        <f t="shared" si="11"/>
        <v>-16.570815945866421</v>
      </c>
      <c r="AJ34" s="12">
        <f t="shared" si="11"/>
        <v>-16.927917029499842</v>
      </c>
      <c r="AK34" s="12">
        <f t="shared" si="11"/>
        <v>-16.350109523779579</v>
      </c>
      <c r="AL34" s="12">
        <f t="shared" si="11"/>
        <v>-10.160858112270894</v>
      </c>
      <c r="AM34" s="12">
        <f t="shared" si="11"/>
        <v>0</v>
      </c>
    </row>
    <row r="35" spans="1:39" x14ac:dyDescent="0.25">
      <c r="A35" s="126">
        <f>MIN(A$1:A34)-1</f>
        <v>-10</v>
      </c>
      <c r="B35" s="126"/>
      <c r="C35" s="1" t="s">
        <v>16</v>
      </c>
      <c r="D35" s="126" t="str">
        <f>"("&amp;-$A$9&amp;") X ("&amp;-$A30&amp;")"</f>
        <v>(1) X (8)</v>
      </c>
      <c r="E35" s="12">
        <f>NPV($D$2,F35:AM35)*(1+$D$2)^0.5</f>
        <v>-119.91845520078536</v>
      </c>
      <c r="F35" s="12">
        <f t="shared" si="11"/>
        <v>0</v>
      </c>
      <c r="G35" s="12">
        <f t="shared" si="11"/>
        <v>0</v>
      </c>
      <c r="H35" s="12">
        <f t="shared" si="11"/>
        <v>-1.1498926644681848</v>
      </c>
      <c r="I35" s="12">
        <f t="shared" si="11"/>
        <v>-4.9518923911298423</v>
      </c>
      <c r="J35" s="12">
        <f t="shared" si="11"/>
        <v>-5.071172817270269</v>
      </c>
      <c r="K35" s="12">
        <f t="shared" si="11"/>
        <v>-5.6691735046051068</v>
      </c>
      <c r="L35" s="12">
        <f t="shared" si="11"/>
        <v>-5.6010034908925261</v>
      </c>
      <c r="M35" s="12">
        <f t="shared" si="11"/>
        <v>-6.1655396189374221</v>
      </c>
      <c r="N35" s="12">
        <f t="shared" si="11"/>
        <v>-7.6566660585297317</v>
      </c>
      <c r="O35" s="12">
        <f t="shared" si="11"/>
        <v>-7.7565276889614037</v>
      </c>
      <c r="P35" s="12">
        <f t="shared" si="11"/>
        <v>-7.868501056515969</v>
      </c>
      <c r="Q35" s="12">
        <f t="shared" si="11"/>
        <v>-8.3939453447334813</v>
      </c>
      <c r="R35" s="12">
        <f t="shared" si="11"/>
        <v>-8.5281159969584994</v>
      </c>
      <c r="S35" s="12">
        <f t="shared" si="11"/>
        <v>-9.8558706493621919</v>
      </c>
      <c r="T35" s="12">
        <f t="shared" si="11"/>
        <v>-9.9759054980651705</v>
      </c>
      <c r="U35" s="12">
        <f t="shared" si="11"/>
        <v>-12.961192730061184</v>
      </c>
      <c r="V35" s="12">
        <f t="shared" si="11"/>
        <v>-10.912333960973108</v>
      </c>
      <c r="W35" s="12">
        <f t="shared" si="11"/>
        <v>-13.984945656290767</v>
      </c>
      <c r="X35" s="12">
        <f t="shared" si="11"/>
        <v>-12.909985835060386</v>
      </c>
      <c r="Y35" s="12">
        <f t="shared" si="11"/>
        <v>-29.106138552768112</v>
      </c>
      <c r="Z35" s="12">
        <f t="shared" si="11"/>
        <v>-19.114653582771957</v>
      </c>
      <c r="AA35" s="12">
        <f t="shared" si="11"/>
        <v>-19.526574367480691</v>
      </c>
      <c r="AB35" s="12">
        <f t="shared" si="11"/>
        <v>-19.9473720450999</v>
      </c>
      <c r="AC35" s="12">
        <f t="shared" si="11"/>
        <v>-20.453915349362696</v>
      </c>
      <c r="AD35" s="12">
        <f t="shared" si="11"/>
        <v>-20.816367389689876</v>
      </c>
      <c r="AE35" s="12">
        <f t="shared" si="11"/>
        <v>-21.264960106937696</v>
      </c>
      <c r="AF35" s="12">
        <f t="shared" si="11"/>
        <v>-21.723219997242204</v>
      </c>
      <c r="AG35" s="12">
        <f t="shared" si="11"/>
        <v>-22.274859161125637</v>
      </c>
      <c r="AH35" s="12">
        <f t="shared" si="11"/>
        <v>-22.66957909679811</v>
      </c>
      <c r="AI35" s="12">
        <f t="shared" si="11"/>
        <v>-23.158108526334104</v>
      </c>
      <c r="AJ35" s="12">
        <f t="shared" si="11"/>
        <v>-23.657165765076606</v>
      </c>
      <c r="AK35" s="12">
        <f t="shared" si="11"/>
        <v>-22.849666063884275</v>
      </c>
      <c r="AL35" s="12">
        <f t="shared" si="11"/>
        <v>-14.200040339193356</v>
      </c>
      <c r="AM35" s="12">
        <f t="shared" si="11"/>
        <v>0</v>
      </c>
    </row>
    <row r="36" spans="1:39" ht="6" customHeight="1" x14ac:dyDescent="0.25"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</row>
    <row r="37" spans="1:39" x14ac:dyDescent="0.25">
      <c r="A37" s="168" t="s">
        <v>76</v>
      </c>
      <c r="B37" s="168"/>
    </row>
    <row r="38" spans="1:39" ht="6" customHeight="1" x14ac:dyDescent="0.25"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</row>
    <row r="39" spans="1:39" x14ac:dyDescent="0.25">
      <c r="A39" s="126">
        <f>MIN(A$1:A38)-1</f>
        <v>-11</v>
      </c>
      <c r="B39" s="126"/>
      <c r="C39" s="1" t="s">
        <v>15</v>
      </c>
      <c r="D39" s="126" t="str">
        <f>"("&amp;-$A$18&amp;") + ("&amp;-$A34&amp;")"</f>
        <v>(2) + (9)</v>
      </c>
      <c r="E39" s="144">
        <f>NPV($D$2,F39:AM39)*(1+$D$2)^0.5</f>
        <v>-62.893943549394784</v>
      </c>
      <c r="F39" s="12">
        <f t="shared" ref="F39:AM40" si="12">F$18+F34</f>
        <v>0</v>
      </c>
      <c r="G39" s="12">
        <f t="shared" si="12"/>
        <v>0</v>
      </c>
      <c r="H39" s="12">
        <f t="shared" si="12"/>
        <v>-0.7436060988642399</v>
      </c>
      <c r="I39" s="12">
        <f t="shared" si="12"/>
        <v>-1.6755929951612334</v>
      </c>
      <c r="J39" s="12">
        <f t="shared" si="12"/>
        <v>-2.265232500480113</v>
      </c>
      <c r="K39" s="12">
        <f t="shared" si="12"/>
        <v>-3.4965497043210143</v>
      </c>
      <c r="L39" s="12">
        <f t="shared" si="12"/>
        <v>-3.8344390065267184</v>
      </c>
      <c r="M39" s="12">
        <f t="shared" si="12"/>
        <v>-4.7219752344222989</v>
      </c>
      <c r="N39" s="12">
        <f t="shared" si="12"/>
        <v>-6.9960631839789329</v>
      </c>
      <c r="O39" s="12">
        <f t="shared" si="12"/>
        <v>-7.5544501793003338</v>
      </c>
      <c r="P39" s="12">
        <f t="shared" si="12"/>
        <v>-8.0600928629393032</v>
      </c>
      <c r="Q39" s="12">
        <f t="shared" si="12"/>
        <v>-9.0151244923198703</v>
      </c>
      <c r="R39" s="12">
        <f t="shared" si="12"/>
        <v>-7.4280147343456475</v>
      </c>
      <c r="S39" s="12">
        <f t="shared" si="12"/>
        <v>-1.6570073227259634</v>
      </c>
      <c r="T39" s="12">
        <f t="shared" si="12"/>
        <v>-1.9139861554324593</v>
      </c>
      <c r="U39" s="12">
        <f t="shared" si="12"/>
        <v>-4.8831080870119887</v>
      </c>
      <c r="V39" s="12">
        <f t="shared" si="12"/>
        <v>-2.9364021663482154</v>
      </c>
      <c r="W39" s="12">
        <f t="shared" si="12"/>
        <v>-6.0880057369036908</v>
      </c>
      <c r="X39" s="12">
        <f t="shared" si="12"/>
        <v>-5.0898571920055531</v>
      </c>
      <c r="Y39" s="12">
        <f t="shared" si="12"/>
        <v>-21.338502190817209</v>
      </c>
      <c r="Z39" s="12">
        <f t="shared" si="12"/>
        <v>-5.98088324740411</v>
      </c>
      <c r="AA39" s="12">
        <f t="shared" si="12"/>
        <v>-6.3408089035775372</v>
      </c>
      <c r="AB39" s="12">
        <f t="shared" si="12"/>
        <v>-6.7005453236719168</v>
      </c>
      <c r="AC39" s="12">
        <f t="shared" si="12"/>
        <v>-7.1125529839974933</v>
      </c>
      <c r="AD39" s="12">
        <f t="shared" si="12"/>
        <v>-7.4125664617566489</v>
      </c>
      <c r="AE39" s="12">
        <f t="shared" si="12"/>
        <v>-7.7592210681068385</v>
      </c>
      <c r="AF39" s="12">
        <f t="shared" si="12"/>
        <v>-8.0952317307085444</v>
      </c>
      <c r="AG39" s="12">
        <f t="shared" si="12"/>
        <v>-8.4688618049629376</v>
      </c>
      <c r="AH39" s="12">
        <f t="shared" si="12"/>
        <v>-8.687944588800768</v>
      </c>
      <c r="AI39" s="12">
        <f t="shared" si="12"/>
        <v>-8.9493135727388253</v>
      </c>
      <c r="AJ39" s="12">
        <f t="shared" si="12"/>
        <v>-9.2203495176833385</v>
      </c>
      <c r="AK39" s="12">
        <f t="shared" si="12"/>
        <v>-8.596470178136439</v>
      </c>
      <c r="AL39" s="12">
        <f t="shared" si="12"/>
        <v>-19.346343496386687</v>
      </c>
      <c r="AM39" s="12">
        <f t="shared" si="12"/>
        <v>0</v>
      </c>
    </row>
    <row r="40" spans="1:39" x14ac:dyDescent="0.25">
      <c r="A40" s="126">
        <f>MIN(A$1:A39)-1</f>
        <v>-12</v>
      </c>
      <c r="B40" s="126"/>
      <c r="C40" s="1" t="s">
        <v>16</v>
      </c>
      <c r="D40" s="126" t="str">
        <f>"("&amp;-$A$18&amp;") + ("&amp;-$A35&amp;")"</f>
        <v>(2) + (10)</v>
      </c>
      <c r="E40" s="144">
        <f>NPV($D$2,F40:AM40)*(1+$D$2)^0.5</f>
        <v>-76.486793424154044</v>
      </c>
      <c r="F40" s="12">
        <f t="shared" si="12"/>
        <v>0</v>
      </c>
      <c r="G40" s="12">
        <f t="shared" si="12"/>
        <v>0</v>
      </c>
      <c r="H40" s="12">
        <f t="shared" si="12"/>
        <v>-0.7436060988642399</v>
      </c>
      <c r="I40" s="12">
        <f t="shared" si="12"/>
        <v>-1.6755929951612334</v>
      </c>
      <c r="J40" s="12">
        <f t="shared" si="12"/>
        <v>-2.265232500480113</v>
      </c>
      <c r="K40" s="12">
        <f t="shared" si="12"/>
        <v>-3.4965497043210143</v>
      </c>
      <c r="L40" s="12">
        <f t="shared" si="12"/>
        <v>-3.8344390065267184</v>
      </c>
      <c r="M40" s="12">
        <f t="shared" si="12"/>
        <v>-4.7219752344222989</v>
      </c>
      <c r="N40" s="12">
        <f t="shared" si="12"/>
        <v>-6.9960631839789329</v>
      </c>
      <c r="O40" s="12">
        <f t="shared" si="12"/>
        <v>-7.5544501793003338</v>
      </c>
      <c r="P40" s="12">
        <f t="shared" si="12"/>
        <v>-8.0600928629393032</v>
      </c>
      <c r="Q40" s="12">
        <f t="shared" si="12"/>
        <v>-9.0151244923198703</v>
      </c>
      <c r="R40" s="12">
        <f t="shared" si="12"/>
        <v>-7.4280147343456475</v>
      </c>
      <c r="S40" s="12">
        <f t="shared" si="12"/>
        <v>-1.6570073227259634</v>
      </c>
      <c r="T40" s="12">
        <f t="shared" si="12"/>
        <v>-1.9139861554324593</v>
      </c>
      <c r="U40" s="12">
        <f t="shared" si="12"/>
        <v>-4.8831080870119887</v>
      </c>
      <c r="V40" s="12">
        <f t="shared" si="12"/>
        <v>-2.9364021663482154</v>
      </c>
      <c r="W40" s="12">
        <f t="shared" si="12"/>
        <v>-6.0880057369036908</v>
      </c>
      <c r="X40" s="12">
        <f t="shared" si="12"/>
        <v>-5.0898571920055531</v>
      </c>
      <c r="Y40" s="12">
        <f t="shared" si="12"/>
        <v>-21.338502190817209</v>
      </c>
      <c r="Z40" s="12">
        <f t="shared" si="12"/>
        <v>-11.418020549909695</v>
      </c>
      <c r="AA40" s="12">
        <f t="shared" si="12"/>
        <v>-11.895116514952116</v>
      </c>
      <c r="AB40" s="12">
        <f t="shared" si="12"/>
        <v>-12.374548264071617</v>
      </c>
      <c r="AC40" s="12">
        <f t="shared" si="12"/>
        <v>-12.930641480696469</v>
      </c>
      <c r="AD40" s="12">
        <f t="shared" si="12"/>
        <v>-13.333753950038101</v>
      </c>
      <c r="AE40" s="12">
        <f t="shared" si="12"/>
        <v>-13.808010146760758</v>
      </c>
      <c r="AF40" s="12">
        <f t="shared" si="12"/>
        <v>-14.27437221400746</v>
      </c>
      <c r="AG40" s="12">
        <f t="shared" si="12"/>
        <v>-14.804915300704668</v>
      </c>
      <c r="AH40" s="12">
        <f t="shared" si="12"/>
        <v>-15.136275635218158</v>
      </c>
      <c r="AI40" s="12">
        <f t="shared" si="12"/>
        <v>-15.536606153206508</v>
      </c>
      <c r="AJ40" s="12">
        <f t="shared" si="12"/>
        <v>-15.949598253260103</v>
      </c>
      <c r="AK40" s="12">
        <f t="shared" si="12"/>
        <v>-15.096026718241134</v>
      </c>
      <c r="AL40" s="12">
        <f t="shared" si="12"/>
        <v>-23.385525723309151</v>
      </c>
      <c r="AM40" s="12">
        <f t="shared" si="12"/>
        <v>0</v>
      </c>
    </row>
    <row r="41" spans="1:39" ht="6" customHeight="1" x14ac:dyDescent="0.25">
      <c r="E41" s="144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spans="1:39" x14ac:dyDescent="0.25">
      <c r="A42" s="168" t="s">
        <v>77</v>
      </c>
      <c r="B42" s="168"/>
      <c r="E42" s="14"/>
    </row>
    <row r="43" spans="1:39" ht="6" customHeight="1" x14ac:dyDescent="0.25">
      <c r="E43" s="144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spans="1:39" x14ac:dyDescent="0.25">
      <c r="A44" s="126">
        <f>MIN(A$1:A43)-1</f>
        <v>-13</v>
      </c>
      <c r="B44" s="126"/>
      <c r="C44" s="1" t="s">
        <v>15</v>
      </c>
      <c r="D44" s="126" t="str">
        <f>"("&amp;-$A39&amp;") / ("&amp;-$A$9&amp;")"</f>
        <v>(11) / (1)</v>
      </c>
      <c r="E44" s="146">
        <f>IF(E$9=0,0,E39/E$9*1000)</f>
        <v>-29.35799770013822</v>
      </c>
      <c r="F44" s="6"/>
      <c r="G44" s="6"/>
      <c r="H44" s="6">
        <f t="shared" ref="H44:AM45" si="13">IF(H$9=0,0,H39/H$9*1000)</f>
        <v>-16.065026477274781</v>
      </c>
      <c r="I44" s="6">
        <f t="shared" si="13"/>
        <v>-8.4060727380904829</v>
      </c>
      <c r="J44" s="6">
        <f t="shared" si="13"/>
        <v>-11.406923520928705</v>
      </c>
      <c r="K44" s="6">
        <f t="shared" si="13"/>
        <v>-17.607408977163335</v>
      </c>
      <c r="L44" s="6">
        <f t="shared" si="13"/>
        <v>-19.308902059212759</v>
      </c>
      <c r="M44" s="6">
        <f t="shared" si="13"/>
        <v>-23.689086432469978</v>
      </c>
      <c r="N44" s="6">
        <f t="shared" si="13"/>
        <v>-35.229742496771699</v>
      </c>
      <c r="O44" s="6">
        <f t="shared" si="13"/>
        <v>-38.041585320571194</v>
      </c>
      <c r="P44" s="6">
        <f t="shared" si="13"/>
        <v>-40.587826123651844</v>
      </c>
      <c r="Q44" s="6">
        <f t="shared" si="13"/>
        <v>-45.226849505950462</v>
      </c>
      <c r="R44" s="6">
        <f t="shared" si="13"/>
        <v>-37.404900366321684</v>
      </c>
      <c r="S44" s="6">
        <f t="shared" si="13"/>
        <v>-8.3441129331968256</v>
      </c>
      <c r="T44" s="6">
        <f t="shared" si="13"/>
        <v>-9.6381690137798284</v>
      </c>
      <c r="U44" s="6">
        <f t="shared" si="13"/>
        <v>-24.497453669189426</v>
      </c>
      <c r="V44" s="6">
        <f t="shared" si="13"/>
        <v>-14.786700672502349</v>
      </c>
      <c r="W44" s="6">
        <f t="shared" si="13"/>
        <v>-30.657080816700603</v>
      </c>
      <c r="X44" s="6">
        <f t="shared" si="13"/>
        <v>-25.630751681935791</v>
      </c>
      <c r="Y44" s="6">
        <f t="shared" si="13"/>
        <v>-107.05046037785119</v>
      </c>
      <c r="Z44" s="6">
        <f t="shared" si="13"/>
        <v>-30.117649193309088</v>
      </c>
      <c r="AA44" s="6">
        <f t="shared" si="13"/>
        <v>-31.930109694524823</v>
      </c>
      <c r="AB44" s="6">
        <f t="shared" si="13"/>
        <v>-33.741617268621319</v>
      </c>
      <c r="AC44" s="6">
        <f t="shared" si="13"/>
        <v>-35.682076679517458</v>
      </c>
      <c r="AD44" s="6">
        <f t="shared" si="13"/>
        <v>-37.32710823508755</v>
      </c>
      <c r="AE44" s="6">
        <f t="shared" si="13"/>
        <v>-39.072740342156543</v>
      </c>
      <c r="AF44" s="6">
        <f t="shared" si="13"/>
        <v>-40.764773248139427</v>
      </c>
      <c r="AG44" s="6">
        <f t="shared" si="13"/>
        <v>-42.486372613717272</v>
      </c>
      <c r="AH44" s="6">
        <f t="shared" si="13"/>
        <v>-43.749469185839452</v>
      </c>
      <c r="AI44" s="6">
        <f t="shared" si="13"/>
        <v>-45.065632542092004</v>
      </c>
      <c r="AJ44" s="6">
        <f t="shared" si="13"/>
        <v>-46.430475353922319</v>
      </c>
      <c r="AK44" s="6">
        <f t="shared" si="13"/>
        <v>-45.78449099148024</v>
      </c>
      <c r="AL44" s="6">
        <f t="shared" si="13"/>
        <v>-169.37411200246183</v>
      </c>
      <c r="AM44" s="6">
        <f t="shared" si="13"/>
        <v>0</v>
      </c>
    </row>
    <row r="45" spans="1:39" x14ac:dyDescent="0.25">
      <c r="A45" s="126">
        <f>MIN(A$1:A44)-1</f>
        <v>-14</v>
      </c>
      <c r="B45" s="126"/>
      <c r="C45" s="1" t="s">
        <v>16</v>
      </c>
      <c r="D45" s="126" t="str">
        <f>"("&amp;-$A40&amp;") / ("&amp;-$A$9&amp;")"</f>
        <v>(12) / (1)</v>
      </c>
      <c r="E45" s="146">
        <f>IF(E$9=0,0,E40/E$9*1000)</f>
        <v>-35.702946559134467</v>
      </c>
      <c r="F45" s="6"/>
      <c r="G45" s="6"/>
      <c r="H45" s="6">
        <f t="shared" si="13"/>
        <v>-16.065026477274781</v>
      </c>
      <c r="I45" s="6">
        <f t="shared" si="13"/>
        <v>-8.4060727380904829</v>
      </c>
      <c r="J45" s="6">
        <f t="shared" si="13"/>
        <v>-11.406923520928705</v>
      </c>
      <c r="K45" s="6">
        <f t="shared" si="13"/>
        <v>-17.607408977163335</v>
      </c>
      <c r="L45" s="6">
        <f t="shared" si="13"/>
        <v>-19.308902059212759</v>
      </c>
      <c r="M45" s="6">
        <f t="shared" si="13"/>
        <v>-23.689086432469978</v>
      </c>
      <c r="N45" s="6">
        <f t="shared" si="13"/>
        <v>-35.229742496771699</v>
      </c>
      <c r="O45" s="6">
        <f t="shared" si="13"/>
        <v>-38.041585320571194</v>
      </c>
      <c r="P45" s="6">
        <f t="shared" si="13"/>
        <v>-40.587826123651844</v>
      </c>
      <c r="Q45" s="6">
        <f t="shared" si="13"/>
        <v>-45.226849505950462</v>
      </c>
      <c r="R45" s="6">
        <f t="shared" si="13"/>
        <v>-37.404900366321684</v>
      </c>
      <c r="S45" s="6">
        <f t="shared" si="13"/>
        <v>-8.3441129331968256</v>
      </c>
      <c r="T45" s="6">
        <f t="shared" si="13"/>
        <v>-9.6381690137798284</v>
      </c>
      <c r="U45" s="6">
        <f t="shared" si="13"/>
        <v>-24.497453669189426</v>
      </c>
      <c r="V45" s="6">
        <f t="shared" si="13"/>
        <v>-14.786700672502349</v>
      </c>
      <c r="W45" s="6">
        <f t="shared" si="13"/>
        <v>-30.657080816700603</v>
      </c>
      <c r="X45" s="6">
        <f t="shared" si="13"/>
        <v>-25.630751681935791</v>
      </c>
      <c r="Y45" s="6">
        <f t="shared" si="13"/>
        <v>-107.05046037785119</v>
      </c>
      <c r="Z45" s="6">
        <f t="shared" si="13"/>
        <v>-57.497182803799198</v>
      </c>
      <c r="AA45" s="6">
        <f t="shared" si="13"/>
        <v>-59.899672254320997</v>
      </c>
      <c r="AB45" s="6">
        <f t="shared" si="13"/>
        <v>-62.313923901581092</v>
      </c>
      <c r="AC45" s="6">
        <f t="shared" si="13"/>
        <v>-64.870116520417497</v>
      </c>
      <c r="AD45" s="6">
        <f t="shared" si="13"/>
        <v>-67.144150334558972</v>
      </c>
      <c r="AE45" s="6">
        <f t="shared" si="13"/>
        <v>-69.532339698871581</v>
      </c>
      <c r="AF45" s="6">
        <f t="shared" si="13"/>
        <v>-71.880776970991718</v>
      </c>
      <c r="AG45" s="6">
        <f t="shared" si="13"/>
        <v>-74.272926216797003</v>
      </c>
      <c r="AH45" s="6">
        <f t="shared" si="13"/>
        <v>-76.221023019065555</v>
      </c>
      <c r="AI45" s="6">
        <f t="shared" si="13"/>
        <v>-78.236948360424108</v>
      </c>
      <c r="AJ45" s="6">
        <f t="shared" si="13"/>
        <v>-80.316633028139506</v>
      </c>
      <c r="AK45" s="6">
        <f t="shared" si="13"/>
        <v>-80.400895363576794</v>
      </c>
      <c r="AL45" s="6">
        <f t="shared" si="13"/>
        <v>-204.7364998887771</v>
      </c>
      <c r="AM45" s="6">
        <f t="shared" si="13"/>
        <v>0</v>
      </c>
    </row>
    <row r="46" spans="1:39" ht="6" customHeight="1" x14ac:dyDescent="0.25">
      <c r="A46" s="6"/>
      <c r="B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</row>
    <row r="48" spans="1:39" ht="17.25" x14ac:dyDescent="0.3">
      <c r="A48" s="133" t="s">
        <v>123</v>
      </c>
      <c r="B48" s="132"/>
      <c r="C48" s="129"/>
      <c r="E48" s="141" t="s">
        <v>6</v>
      </c>
      <c r="F48" s="141">
        <f t="shared" ref="F48:G48" si="14">F$7</f>
        <v>2021</v>
      </c>
      <c r="G48" s="141">
        <f t="shared" si="14"/>
        <v>2022</v>
      </c>
      <c r="H48" s="141">
        <f>H$7</f>
        <v>2023</v>
      </c>
      <c r="I48" s="141">
        <f t="shared" ref="I48:AM48" si="15">I$7</f>
        <v>2024</v>
      </c>
      <c r="J48" s="141">
        <f t="shared" si="15"/>
        <v>2025</v>
      </c>
      <c r="K48" s="141">
        <f t="shared" si="15"/>
        <v>2026</v>
      </c>
      <c r="L48" s="141">
        <f t="shared" si="15"/>
        <v>2027</v>
      </c>
      <c r="M48" s="141">
        <f t="shared" si="15"/>
        <v>2028</v>
      </c>
      <c r="N48" s="141">
        <f t="shared" si="15"/>
        <v>2029</v>
      </c>
      <c r="O48" s="141">
        <f t="shared" si="15"/>
        <v>2030</v>
      </c>
      <c r="P48" s="141">
        <f t="shared" si="15"/>
        <v>2031</v>
      </c>
      <c r="Q48" s="141">
        <f t="shared" si="15"/>
        <v>2032</v>
      </c>
      <c r="R48" s="141">
        <f t="shared" si="15"/>
        <v>2033</v>
      </c>
      <c r="S48" s="141">
        <f t="shared" si="15"/>
        <v>2034</v>
      </c>
      <c r="T48" s="141">
        <f t="shared" si="15"/>
        <v>2035</v>
      </c>
      <c r="U48" s="141">
        <f t="shared" si="15"/>
        <v>2036</v>
      </c>
      <c r="V48" s="141">
        <f t="shared" si="15"/>
        <v>2037</v>
      </c>
      <c r="W48" s="141">
        <f t="shared" si="15"/>
        <v>2038</v>
      </c>
      <c r="X48" s="141">
        <f t="shared" si="15"/>
        <v>2039</v>
      </c>
      <c r="Y48" s="141">
        <f t="shared" si="15"/>
        <v>2040</v>
      </c>
      <c r="Z48" s="141">
        <f t="shared" si="15"/>
        <v>2041</v>
      </c>
      <c r="AA48" s="141">
        <f t="shared" si="15"/>
        <v>2042</v>
      </c>
      <c r="AB48" s="141">
        <f t="shared" si="15"/>
        <v>2043</v>
      </c>
      <c r="AC48" s="141">
        <f t="shared" si="15"/>
        <v>2044</v>
      </c>
      <c r="AD48" s="141">
        <f t="shared" si="15"/>
        <v>2045</v>
      </c>
      <c r="AE48" s="141">
        <f t="shared" si="15"/>
        <v>2046</v>
      </c>
      <c r="AF48" s="141">
        <f t="shared" si="15"/>
        <v>2047</v>
      </c>
      <c r="AG48" s="141">
        <f t="shared" si="15"/>
        <v>2048</v>
      </c>
      <c r="AH48" s="141">
        <f t="shared" si="15"/>
        <v>2049</v>
      </c>
      <c r="AI48" s="141">
        <f t="shared" si="15"/>
        <v>2050</v>
      </c>
      <c r="AJ48" s="141">
        <f t="shared" si="15"/>
        <v>2051</v>
      </c>
      <c r="AK48" s="141">
        <f t="shared" si="15"/>
        <v>2052</v>
      </c>
      <c r="AL48" s="141">
        <f t="shared" si="15"/>
        <v>2053</v>
      </c>
      <c r="AM48" s="141">
        <f t="shared" si="15"/>
        <v>2054</v>
      </c>
    </row>
    <row r="49" spans="1:39" ht="6" customHeight="1" x14ac:dyDescent="0.25"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</row>
    <row r="50" spans="1:39" x14ac:dyDescent="0.25">
      <c r="A50" s="126">
        <f>MIN(A$1:A49)-1</f>
        <v>-15</v>
      </c>
      <c r="B50" s="126"/>
      <c r="C50" s="1" t="s">
        <v>94</v>
      </c>
      <c r="F50" s="6">
        <v>0</v>
      </c>
      <c r="G50" s="6">
        <v>0</v>
      </c>
      <c r="H50" s="6">
        <v>-19.31290319279649</v>
      </c>
      <c r="I50" s="6">
        <v>-19.31290319279649</v>
      </c>
      <c r="J50" s="6">
        <v>-13.346115926639563</v>
      </c>
      <c r="K50" s="6">
        <v>-9.1160925051874795</v>
      </c>
      <c r="L50" s="6">
        <v>-14.033060492391883</v>
      </c>
      <c r="M50" s="6">
        <v>-19.391207916874887</v>
      </c>
      <c r="N50" s="6">
        <v>-19.763580441952598</v>
      </c>
      <c r="O50" s="6">
        <v>-24.938563486156688</v>
      </c>
      <c r="P50" s="6">
        <v>-23.211640172563893</v>
      </c>
      <c r="Q50" s="6">
        <v>-7.5147537723966193</v>
      </c>
      <c r="R50" s="6">
        <v>-21.419862789470972</v>
      </c>
      <c r="S50" s="6">
        <v>-17.615190701249741</v>
      </c>
      <c r="T50" s="6">
        <v>-22.955288242203537</v>
      </c>
      <c r="U50" s="6">
        <v>-22.10435381803677</v>
      </c>
      <c r="V50" s="6">
        <v>-19.650804710257269</v>
      </c>
      <c r="W50" s="6">
        <v>-34.127019055754644</v>
      </c>
      <c r="X50" s="6">
        <v>-29.513460279072856</v>
      </c>
      <c r="Y50" s="6">
        <v>-35.319262118637354</v>
      </c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:39" ht="6" customHeight="1" x14ac:dyDescent="0.25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spans="1:39" x14ac:dyDescent="0.25">
      <c r="A52" s="126">
        <f>MIN(A$1:A51)-1</f>
        <v>-16</v>
      </c>
      <c r="B52" s="126"/>
      <c r="C52" s="131" t="s">
        <v>13</v>
      </c>
      <c r="J52" s="6"/>
      <c r="P52" s="6"/>
      <c r="Q52" s="6">
        <f>-PMT($D$4,COUNT(Q50:$Y50),NPV($D$2,Q50:$Y50))*(1+$D$3)</f>
        <v>-20.492098200131085</v>
      </c>
      <c r="R52" s="6">
        <f t="shared" ref="R52:AG52" si="16">Q52*(1+$D$3)</f>
        <v>-20.933702916343908</v>
      </c>
      <c r="S52" s="6">
        <f t="shared" si="16"/>
        <v>-21.384824214191116</v>
      </c>
      <c r="T52" s="6">
        <f t="shared" si="16"/>
        <v>-21.845667176006934</v>
      </c>
      <c r="U52" s="6">
        <f t="shared" si="16"/>
        <v>-22.316441303649881</v>
      </c>
      <c r="V52" s="6">
        <f t="shared" si="16"/>
        <v>-22.797360613743535</v>
      </c>
      <c r="W52" s="6">
        <f t="shared" si="16"/>
        <v>-23.288643734969707</v>
      </c>
      <c r="X52" s="6">
        <f t="shared" si="16"/>
        <v>-23.790514007458302</v>
      </c>
      <c r="Y52" s="6">
        <f t="shared" si="16"/>
        <v>-24.303199584319028</v>
      </c>
      <c r="Z52" s="6">
        <f t="shared" si="16"/>
        <v>-24.826933535361103</v>
      </c>
      <c r="AA52" s="6">
        <f t="shared" si="16"/>
        <v>-25.361953953048133</v>
      </c>
      <c r="AB52" s="6">
        <f t="shared" si="16"/>
        <v>-25.90850406073632</v>
      </c>
      <c r="AC52" s="6">
        <f t="shared" si="16"/>
        <v>-26.466832323245185</v>
      </c>
      <c r="AD52" s="6">
        <f t="shared" si="16"/>
        <v>-27.037192559811118</v>
      </c>
      <c r="AE52" s="6">
        <f t="shared" si="16"/>
        <v>-27.619844059475046</v>
      </c>
      <c r="AF52" s="6">
        <f t="shared" si="16"/>
        <v>-28.215051698956731</v>
      </c>
      <c r="AG52" s="6">
        <f t="shared" si="16"/>
        <v>-28.823086063069248</v>
      </c>
      <c r="AH52" s="6">
        <f t="shared" ref="X52:AM53" si="17">AG52*(1+$D$3)</f>
        <v>-29.44422356772839</v>
      </c>
      <c r="AI52" s="6">
        <f t="shared" si="17"/>
        <v>-30.078746585612937</v>
      </c>
      <c r="AJ52" s="6">
        <f t="shared" si="17"/>
        <v>-30.726943574532893</v>
      </c>
      <c r="AK52" s="6">
        <f t="shared" si="17"/>
        <v>-31.389109208564076</v>
      </c>
      <c r="AL52" s="6">
        <f t="shared" si="17"/>
        <v>-32.065544512008628</v>
      </c>
      <c r="AM52" s="6">
        <f t="shared" si="17"/>
        <v>-32.756556996242416</v>
      </c>
    </row>
    <row r="53" spans="1:39" x14ac:dyDescent="0.25">
      <c r="A53" s="126">
        <f>MIN(A$1:A52)-1</f>
        <v>-17</v>
      </c>
      <c r="B53" s="126"/>
      <c r="C53" s="131" t="s">
        <v>14</v>
      </c>
      <c r="W53" s="6">
        <f>-PMT($D$4,COUNT(W50:$Y50),NPV($D$2,W50:$Y50))*(1+$D$3)</f>
        <v>-32.292979579908518</v>
      </c>
      <c r="X53" s="6">
        <f t="shared" si="17"/>
        <v>-32.988893289855547</v>
      </c>
      <c r="Y53" s="6">
        <f t="shared" si="17"/>
        <v>-33.699803940251932</v>
      </c>
      <c r="Z53" s="6">
        <f t="shared" si="17"/>
        <v>-34.426034715164363</v>
      </c>
      <c r="AA53" s="6">
        <f t="shared" si="17"/>
        <v>-35.167915763276156</v>
      </c>
      <c r="AB53" s="6">
        <f t="shared" si="17"/>
        <v>-35.925784347974755</v>
      </c>
      <c r="AC53" s="6">
        <f t="shared" si="17"/>
        <v>-36.699985000673607</v>
      </c>
      <c r="AD53" s="6">
        <f t="shared" si="17"/>
        <v>-37.49086967743812</v>
      </c>
      <c r="AE53" s="6">
        <f t="shared" si="17"/>
        <v>-38.298797918986907</v>
      </c>
      <c r="AF53" s="6">
        <f t="shared" si="17"/>
        <v>-39.12413701414107</v>
      </c>
      <c r="AG53" s="6">
        <f t="shared" si="17"/>
        <v>-39.967262166795805</v>
      </c>
      <c r="AH53" s="6">
        <f t="shared" si="17"/>
        <v>-40.82855666649025</v>
      </c>
      <c r="AI53" s="6">
        <f t="shared" si="17"/>
        <v>-41.70841206265311</v>
      </c>
      <c r="AJ53" s="6">
        <f t="shared" si="17"/>
        <v>-42.607228342603285</v>
      </c>
      <c r="AK53" s="6">
        <f t="shared" si="17"/>
        <v>-43.525414113386383</v>
      </c>
      <c r="AL53" s="6">
        <f t="shared" si="17"/>
        <v>-44.463386787529856</v>
      </c>
      <c r="AM53" s="6">
        <f t="shared" si="17"/>
        <v>-45.42157277280112</v>
      </c>
    </row>
    <row r="54" spans="1:39" ht="6" customHeight="1" x14ac:dyDescent="0.25"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spans="1:39" x14ac:dyDescent="0.25">
      <c r="A55" s="126">
        <f>MIN(A$1:A54)-1</f>
        <v>-18</v>
      </c>
      <c r="B55" s="135"/>
      <c r="C55" s="1" t="s">
        <v>84</v>
      </c>
      <c r="E55" s="6">
        <f>$E60/$E$9*1000</f>
        <v>-21.002792002436937</v>
      </c>
      <c r="F55" s="6">
        <f>IF(F$7&lt;=$Y$7,F50,F52)</f>
        <v>0</v>
      </c>
      <c r="G55" s="6">
        <f t="shared" ref="G55:AM55" si="18">IF(G$7&lt;=$Y$7,G50,G52)</f>
        <v>0</v>
      </c>
      <c r="H55" s="6">
        <f t="shared" si="18"/>
        <v>-19.31290319279649</v>
      </c>
      <c r="I55" s="6">
        <f t="shared" si="18"/>
        <v>-19.31290319279649</v>
      </c>
      <c r="J55" s="6">
        <f t="shared" si="18"/>
        <v>-13.346115926639563</v>
      </c>
      <c r="K55" s="6">
        <f t="shared" si="18"/>
        <v>-9.1160925051874795</v>
      </c>
      <c r="L55" s="6">
        <f t="shared" si="18"/>
        <v>-14.033060492391883</v>
      </c>
      <c r="M55" s="6">
        <f t="shared" si="18"/>
        <v>-19.391207916874887</v>
      </c>
      <c r="N55" s="6">
        <f t="shared" si="18"/>
        <v>-19.763580441952598</v>
      </c>
      <c r="O55" s="6">
        <f t="shared" si="18"/>
        <v>-24.938563486156688</v>
      </c>
      <c r="P55" s="6">
        <f t="shared" si="18"/>
        <v>-23.211640172563893</v>
      </c>
      <c r="Q55" s="6">
        <f t="shared" si="18"/>
        <v>-7.5147537723966193</v>
      </c>
      <c r="R55" s="6">
        <f t="shared" si="18"/>
        <v>-21.419862789470972</v>
      </c>
      <c r="S55" s="6">
        <f t="shared" si="18"/>
        <v>-17.615190701249741</v>
      </c>
      <c r="T55" s="6">
        <f t="shared" si="18"/>
        <v>-22.955288242203537</v>
      </c>
      <c r="U55" s="6">
        <f t="shared" si="18"/>
        <v>-22.10435381803677</v>
      </c>
      <c r="V55" s="6">
        <f t="shared" si="18"/>
        <v>-19.650804710257269</v>
      </c>
      <c r="W55" s="6">
        <f t="shared" si="18"/>
        <v>-34.127019055754644</v>
      </c>
      <c r="X55" s="6">
        <f t="shared" si="18"/>
        <v>-29.513460279072856</v>
      </c>
      <c r="Y55" s="6">
        <f t="shared" si="18"/>
        <v>-35.319262118637354</v>
      </c>
      <c r="Z55" s="6">
        <f t="shared" si="18"/>
        <v>-24.826933535361103</v>
      </c>
      <c r="AA55" s="6">
        <f t="shared" si="18"/>
        <v>-25.361953953048133</v>
      </c>
      <c r="AB55" s="6">
        <f t="shared" si="18"/>
        <v>-25.90850406073632</v>
      </c>
      <c r="AC55" s="6">
        <f t="shared" si="18"/>
        <v>-26.466832323245185</v>
      </c>
      <c r="AD55" s="6">
        <f t="shared" si="18"/>
        <v>-27.037192559811118</v>
      </c>
      <c r="AE55" s="6">
        <f t="shared" si="18"/>
        <v>-27.619844059475046</v>
      </c>
      <c r="AF55" s="6">
        <f t="shared" si="18"/>
        <v>-28.215051698956731</v>
      </c>
      <c r="AG55" s="6">
        <f t="shared" si="18"/>
        <v>-28.823086063069248</v>
      </c>
      <c r="AH55" s="6">
        <f t="shared" si="18"/>
        <v>-29.44422356772839</v>
      </c>
      <c r="AI55" s="6">
        <f t="shared" si="18"/>
        <v>-30.078746585612937</v>
      </c>
      <c r="AJ55" s="6">
        <f t="shared" si="18"/>
        <v>-30.726943574532893</v>
      </c>
      <c r="AK55" s="6">
        <f t="shared" si="18"/>
        <v>-31.389109208564076</v>
      </c>
      <c r="AL55" s="6">
        <f t="shared" si="18"/>
        <v>-32.065544512008628</v>
      </c>
      <c r="AM55" s="6">
        <f t="shared" si="18"/>
        <v>-32.756556996242416</v>
      </c>
    </row>
    <row r="56" spans="1:39" x14ac:dyDescent="0.25">
      <c r="A56" s="126">
        <f>MIN(A$1:A55)-1</f>
        <v>-19</v>
      </c>
      <c r="B56" s="126"/>
      <c r="C56" s="1" t="s">
        <v>85</v>
      </c>
      <c r="E56" s="6">
        <f>$E61/$E$9*1000</f>
        <v>-23.227293228230174</v>
      </c>
      <c r="F56" s="6">
        <f>IF(F$7&lt;=$Y$7,F50,F53)</f>
        <v>0</v>
      </c>
      <c r="G56" s="6">
        <f t="shared" ref="G56:AM56" si="19">IF(G$7&lt;=$Y$7,G50,G53)</f>
        <v>0</v>
      </c>
      <c r="H56" s="6">
        <f t="shared" si="19"/>
        <v>-19.31290319279649</v>
      </c>
      <c r="I56" s="6">
        <f t="shared" si="19"/>
        <v>-19.31290319279649</v>
      </c>
      <c r="J56" s="6">
        <f t="shared" si="19"/>
        <v>-13.346115926639563</v>
      </c>
      <c r="K56" s="6">
        <f t="shared" si="19"/>
        <v>-9.1160925051874795</v>
      </c>
      <c r="L56" s="6">
        <f t="shared" si="19"/>
        <v>-14.033060492391883</v>
      </c>
      <c r="M56" s="6">
        <f t="shared" si="19"/>
        <v>-19.391207916874887</v>
      </c>
      <c r="N56" s="6">
        <f t="shared" si="19"/>
        <v>-19.763580441952598</v>
      </c>
      <c r="O56" s="6">
        <f t="shared" si="19"/>
        <v>-24.938563486156688</v>
      </c>
      <c r="P56" s="6">
        <f t="shared" si="19"/>
        <v>-23.211640172563893</v>
      </c>
      <c r="Q56" s="6">
        <f t="shared" si="19"/>
        <v>-7.5147537723966193</v>
      </c>
      <c r="R56" s="6">
        <f t="shared" si="19"/>
        <v>-21.419862789470972</v>
      </c>
      <c r="S56" s="6">
        <f t="shared" si="19"/>
        <v>-17.615190701249741</v>
      </c>
      <c r="T56" s="6">
        <f t="shared" si="19"/>
        <v>-22.955288242203537</v>
      </c>
      <c r="U56" s="6">
        <f t="shared" si="19"/>
        <v>-22.10435381803677</v>
      </c>
      <c r="V56" s="6">
        <f t="shared" si="19"/>
        <v>-19.650804710257269</v>
      </c>
      <c r="W56" s="6">
        <f t="shared" si="19"/>
        <v>-34.127019055754644</v>
      </c>
      <c r="X56" s="6">
        <f t="shared" si="19"/>
        <v>-29.513460279072856</v>
      </c>
      <c r="Y56" s="6">
        <f t="shared" si="19"/>
        <v>-35.319262118637354</v>
      </c>
      <c r="Z56" s="6">
        <f t="shared" si="19"/>
        <v>-34.426034715164363</v>
      </c>
      <c r="AA56" s="6">
        <f t="shared" si="19"/>
        <v>-35.167915763276156</v>
      </c>
      <c r="AB56" s="6">
        <f t="shared" si="19"/>
        <v>-35.925784347974755</v>
      </c>
      <c r="AC56" s="6">
        <f t="shared" si="19"/>
        <v>-36.699985000673607</v>
      </c>
      <c r="AD56" s="6">
        <f t="shared" si="19"/>
        <v>-37.49086967743812</v>
      </c>
      <c r="AE56" s="6">
        <f t="shared" si="19"/>
        <v>-38.298797918986907</v>
      </c>
      <c r="AF56" s="6">
        <f t="shared" si="19"/>
        <v>-39.12413701414107</v>
      </c>
      <c r="AG56" s="6">
        <f t="shared" si="19"/>
        <v>-39.967262166795805</v>
      </c>
      <c r="AH56" s="6">
        <f t="shared" si="19"/>
        <v>-40.82855666649025</v>
      </c>
      <c r="AI56" s="6">
        <f t="shared" si="19"/>
        <v>-41.70841206265311</v>
      </c>
      <c r="AJ56" s="6">
        <f t="shared" si="19"/>
        <v>-42.607228342603285</v>
      </c>
      <c r="AK56" s="6">
        <f t="shared" si="19"/>
        <v>-43.525414113386383</v>
      </c>
      <c r="AL56" s="6">
        <f t="shared" si="19"/>
        <v>-44.463386787529856</v>
      </c>
      <c r="AM56" s="6">
        <f t="shared" si="19"/>
        <v>-45.42157277280112</v>
      </c>
    </row>
    <row r="58" spans="1:39" x14ac:dyDescent="0.25">
      <c r="A58" s="14" t="s">
        <v>80</v>
      </c>
      <c r="B58" s="14"/>
    </row>
    <row r="59" spans="1:39" ht="6" customHeight="1" x14ac:dyDescent="0.25"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</row>
    <row r="60" spans="1:39" x14ac:dyDescent="0.25">
      <c r="A60" s="126">
        <f>MIN(A$1:A59)-1</f>
        <v>-20</v>
      </c>
      <c r="B60" s="126"/>
      <c r="C60" s="1" t="s">
        <v>17</v>
      </c>
      <c r="D60" s="126" t="str">
        <f>"("&amp;-$A$9&amp;") X ("&amp;-$A55&amp;")"</f>
        <v>(1) X (18)</v>
      </c>
      <c r="E60" s="12">
        <f>NPV($D$2,F60:AM60)*(1+$D$2)^0.5</f>
        <v>-44.99449955930509</v>
      </c>
      <c r="F60" s="12">
        <f t="shared" ref="F60:AM61" si="20">F$9*F55/1000</f>
        <v>0</v>
      </c>
      <c r="G60" s="12">
        <f t="shared" si="20"/>
        <v>0</v>
      </c>
      <c r="H60" s="12">
        <f t="shared" si="20"/>
        <v>-0.89394142121415954</v>
      </c>
      <c r="I60" s="12">
        <f t="shared" si="20"/>
        <v>-3.8496651545068374</v>
      </c>
      <c r="J60" s="12">
        <f t="shared" si="20"/>
        <v>-2.6503250851757989</v>
      </c>
      <c r="K60" s="12">
        <f t="shared" si="20"/>
        <v>-1.8103101140501558</v>
      </c>
      <c r="L60" s="12">
        <f t="shared" si="20"/>
        <v>-2.7867412848211579</v>
      </c>
      <c r="M60" s="12">
        <f t="shared" si="20"/>
        <v>-3.8652737331192082</v>
      </c>
      <c r="N60" s="12">
        <f t="shared" si="20"/>
        <v>-3.9247308584847262</v>
      </c>
      <c r="O60" s="12">
        <f t="shared" si="20"/>
        <v>-4.9523996913349544</v>
      </c>
      <c r="P60" s="12">
        <f t="shared" si="20"/>
        <v>-4.6094603520284414</v>
      </c>
      <c r="Q60" s="12">
        <f t="shared" si="20"/>
        <v>-1.4979252706596899</v>
      </c>
      <c r="R60" s="12">
        <f t="shared" si="20"/>
        <v>-4.2536420321843158</v>
      </c>
      <c r="S60" s="12">
        <f t="shared" si="20"/>
        <v>-3.4980950302169891</v>
      </c>
      <c r="T60" s="12">
        <f t="shared" si="20"/>
        <v>-4.5585529602897612</v>
      </c>
      <c r="U60" s="12">
        <f t="shared" si="20"/>
        <v>-4.406088499833916</v>
      </c>
      <c r="V60" s="12">
        <f t="shared" si="20"/>
        <v>-3.9023354025817412</v>
      </c>
      <c r="W60" s="12">
        <f t="shared" si="20"/>
        <v>-6.777079952168001</v>
      </c>
      <c r="X60" s="12">
        <f t="shared" si="20"/>
        <v>-5.8609009960594225</v>
      </c>
      <c r="Y60" s="12">
        <f t="shared" si="20"/>
        <v>-7.0402327036841337</v>
      </c>
      <c r="Z60" s="12">
        <f t="shared" si="20"/>
        <v>-4.9302317691861646</v>
      </c>
      <c r="AA60" s="12">
        <f t="shared" si="20"/>
        <v>-5.0364782638121257</v>
      </c>
      <c r="AB60" s="12">
        <f t="shared" si="20"/>
        <v>-5.145014370397277</v>
      </c>
      <c r="AC60" s="12">
        <f t="shared" si="20"/>
        <v>-5.2756667978833729</v>
      </c>
      <c r="AD60" s="12">
        <f t="shared" si="20"/>
        <v>-5.3691538472975475</v>
      </c>
      <c r="AE60" s="12">
        <f t="shared" si="20"/>
        <v>-5.4848591127068094</v>
      </c>
      <c r="AF60" s="12">
        <f t="shared" si="20"/>
        <v>-5.6030578265856406</v>
      </c>
      <c r="AG60" s="12">
        <f t="shared" si="20"/>
        <v>-5.7453418035946022</v>
      </c>
      <c r="AH60" s="12">
        <f t="shared" si="20"/>
        <v>-5.8471516929737914</v>
      </c>
      <c r="AI60" s="12">
        <f t="shared" si="20"/>
        <v>-5.9731578119573774</v>
      </c>
      <c r="AJ60" s="12">
        <f t="shared" si="20"/>
        <v>-6.1018793628050583</v>
      </c>
      <c r="AK60" s="12">
        <f t="shared" si="20"/>
        <v>-5.8936014223659496</v>
      </c>
      <c r="AL60" s="12">
        <f t="shared" si="20"/>
        <v>-3.6626083596469523</v>
      </c>
      <c r="AM60" s="12">
        <f t="shared" si="20"/>
        <v>0</v>
      </c>
    </row>
    <row r="61" spans="1:39" x14ac:dyDescent="0.25">
      <c r="A61" s="126">
        <f>MIN(A$1:A60)-1</f>
        <v>-21</v>
      </c>
      <c r="B61" s="126"/>
      <c r="C61" s="1" t="s">
        <v>18</v>
      </c>
      <c r="D61" s="126" t="str">
        <f>"("&amp;-$A$9&amp;") X ("&amp;-$A56&amp;")"</f>
        <v>(1) X (19)</v>
      </c>
      <c r="E61" s="12">
        <f>NPV($D$2,F61:AM61)*(1+$D$2)^0.5</f>
        <v>-49.760071651435219</v>
      </c>
      <c r="F61" s="12">
        <f t="shared" si="20"/>
        <v>0</v>
      </c>
      <c r="G61" s="12">
        <f t="shared" si="20"/>
        <v>0</v>
      </c>
      <c r="H61" s="12">
        <f t="shared" si="20"/>
        <v>-0.89394142121415954</v>
      </c>
      <c r="I61" s="12">
        <f t="shared" si="20"/>
        <v>-3.8496651545068374</v>
      </c>
      <c r="J61" s="12">
        <f t="shared" si="20"/>
        <v>-2.6503250851757989</v>
      </c>
      <c r="K61" s="12">
        <f t="shared" si="20"/>
        <v>-1.8103101140501558</v>
      </c>
      <c r="L61" s="12">
        <f t="shared" si="20"/>
        <v>-2.7867412848211579</v>
      </c>
      <c r="M61" s="12">
        <f t="shared" si="20"/>
        <v>-3.8652737331192082</v>
      </c>
      <c r="N61" s="12">
        <f t="shared" si="20"/>
        <v>-3.9247308584847262</v>
      </c>
      <c r="O61" s="12">
        <f t="shared" si="20"/>
        <v>-4.9523996913349544</v>
      </c>
      <c r="P61" s="12">
        <f t="shared" si="20"/>
        <v>-4.6094603520284414</v>
      </c>
      <c r="Q61" s="12">
        <f t="shared" si="20"/>
        <v>-1.4979252706596899</v>
      </c>
      <c r="R61" s="12">
        <f t="shared" si="20"/>
        <v>-4.2536420321843158</v>
      </c>
      <c r="S61" s="12">
        <f t="shared" si="20"/>
        <v>-3.4980950302169891</v>
      </c>
      <c r="T61" s="12">
        <f t="shared" si="20"/>
        <v>-4.5585529602897612</v>
      </c>
      <c r="U61" s="12">
        <f t="shared" si="20"/>
        <v>-4.406088499833916</v>
      </c>
      <c r="V61" s="12">
        <f t="shared" si="20"/>
        <v>-3.9023354025817412</v>
      </c>
      <c r="W61" s="12">
        <f t="shared" si="20"/>
        <v>-6.777079952168001</v>
      </c>
      <c r="X61" s="12">
        <f t="shared" si="20"/>
        <v>-5.8609009960594225</v>
      </c>
      <c r="Y61" s="12">
        <f t="shared" si="20"/>
        <v>-7.0402327036841337</v>
      </c>
      <c r="Z61" s="12">
        <f t="shared" si="20"/>
        <v>-6.8364596778762206</v>
      </c>
      <c r="AA61" s="12">
        <f t="shared" si="20"/>
        <v>-6.9837853839344533</v>
      </c>
      <c r="AB61" s="12">
        <f t="shared" si="20"/>
        <v>-7.1342859589582401</v>
      </c>
      <c r="AC61" s="12">
        <f t="shared" si="20"/>
        <v>-7.3154539230908453</v>
      </c>
      <c r="AD61" s="12">
        <f t="shared" si="20"/>
        <v>-7.4450868640243941</v>
      </c>
      <c r="AE61" s="12">
        <f t="shared" si="20"/>
        <v>-7.6055284859441192</v>
      </c>
      <c r="AF61" s="12">
        <f t="shared" si="20"/>
        <v>-7.7694276248162142</v>
      </c>
      <c r="AG61" s="12">
        <f t="shared" si="20"/>
        <v>-7.9667243680868047</v>
      </c>
      <c r="AH61" s="12">
        <f t="shared" si="20"/>
        <v>-8.1078980970583245</v>
      </c>
      <c r="AI61" s="12">
        <f t="shared" si="20"/>
        <v>-8.2826233010499308</v>
      </c>
      <c r="AJ61" s="12">
        <f t="shared" si="20"/>
        <v>-8.4611138331875573</v>
      </c>
      <c r="AK61" s="12">
        <f t="shared" si="20"/>
        <v>-8.1723071790050259</v>
      </c>
      <c r="AL61" s="12">
        <f t="shared" si="20"/>
        <v>-5.0787215568796666</v>
      </c>
      <c r="AM61" s="12">
        <f t="shared" si="20"/>
        <v>0</v>
      </c>
    </row>
    <row r="62" spans="1:39" ht="6" customHeight="1" x14ac:dyDescent="0.25"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</row>
    <row r="63" spans="1:39" x14ac:dyDescent="0.25">
      <c r="A63" s="168" t="s">
        <v>76</v>
      </c>
      <c r="B63" s="168"/>
    </row>
    <row r="64" spans="1:39" ht="6" customHeight="1" x14ac:dyDescent="0.25"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</row>
    <row r="65" spans="1:39" x14ac:dyDescent="0.25">
      <c r="A65" s="126">
        <f>MIN(A$1:A64)-1</f>
        <v>-22</v>
      </c>
      <c r="B65" s="126"/>
      <c r="C65" s="1" t="s">
        <v>17</v>
      </c>
      <c r="D65" s="126" t="str">
        <f>"("&amp;-$A$18&amp;") + ("&amp;-$A60&amp;")"</f>
        <v>(2) + (20)</v>
      </c>
      <c r="E65" s="144">
        <f>NPV($D$2,F65:AM65)*(1+$D$2)^0.5</f>
        <v>-1.5628377826737891</v>
      </c>
      <c r="F65" s="12">
        <f t="shared" ref="F65:AM66" si="21">F$18+F60</f>
        <v>0</v>
      </c>
      <c r="G65" s="12">
        <f t="shared" si="21"/>
        <v>0</v>
      </c>
      <c r="H65" s="12">
        <f t="shared" si="21"/>
        <v>-0.4876548556102146</v>
      </c>
      <c r="I65" s="12">
        <f t="shared" si="21"/>
        <v>-0.57336575853822858</v>
      </c>
      <c r="J65" s="12">
        <f t="shared" si="21"/>
        <v>0.15561523161435709</v>
      </c>
      <c r="K65" s="12">
        <f t="shared" si="21"/>
        <v>0.36231368623393667</v>
      </c>
      <c r="L65" s="12">
        <f t="shared" si="21"/>
        <v>-1.0201768004553502</v>
      </c>
      <c r="M65" s="12">
        <f t="shared" si="21"/>
        <v>-2.4217093486040855</v>
      </c>
      <c r="N65" s="12">
        <f t="shared" si="21"/>
        <v>-3.2641279839339274</v>
      </c>
      <c r="O65" s="12">
        <f t="shared" si="21"/>
        <v>-4.7503221816738845</v>
      </c>
      <c r="P65" s="12">
        <f t="shared" si="21"/>
        <v>-4.8010521584517756</v>
      </c>
      <c r="Q65" s="12">
        <f t="shared" si="21"/>
        <v>-2.1191044182460796</v>
      </c>
      <c r="R65" s="12">
        <f t="shared" si="21"/>
        <v>-3.1535407695714639</v>
      </c>
      <c r="S65" s="12">
        <f t="shared" si="21"/>
        <v>4.7007682964192394</v>
      </c>
      <c r="T65" s="12">
        <f t="shared" si="21"/>
        <v>3.5033663823429499</v>
      </c>
      <c r="U65" s="12">
        <f t="shared" si="21"/>
        <v>3.6719961432152788</v>
      </c>
      <c r="V65" s="12">
        <f t="shared" si="21"/>
        <v>4.073596392043151</v>
      </c>
      <c r="W65" s="12">
        <f t="shared" si="21"/>
        <v>1.1198599672190754</v>
      </c>
      <c r="X65" s="12">
        <f t="shared" si="21"/>
        <v>1.9592276469954104</v>
      </c>
      <c r="Y65" s="12">
        <f t="shared" si="21"/>
        <v>0.72740365826676978</v>
      </c>
      <c r="Z65" s="12">
        <f t="shared" si="21"/>
        <v>2.766401263676098</v>
      </c>
      <c r="AA65" s="12">
        <f t="shared" si="21"/>
        <v>2.5949795887164493</v>
      </c>
      <c r="AB65" s="12">
        <f t="shared" si="21"/>
        <v>2.4278094106310055</v>
      </c>
      <c r="AC65" s="12">
        <f t="shared" si="21"/>
        <v>2.2476070707828528</v>
      </c>
      <c r="AD65" s="12">
        <f t="shared" si="21"/>
        <v>2.1134595923542276</v>
      </c>
      <c r="AE65" s="12">
        <f t="shared" si="21"/>
        <v>1.9720908474701284</v>
      </c>
      <c r="AF65" s="12">
        <f t="shared" si="21"/>
        <v>1.8457899566491038</v>
      </c>
      <c r="AG65" s="12">
        <f t="shared" si="21"/>
        <v>1.7246020568263676</v>
      </c>
      <c r="AH65" s="12">
        <f t="shared" si="21"/>
        <v>1.6861517686061607</v>
      </c>
      <c r="AI65" s="12">
        <f t="shared" si="21"/>
        <v>1.6483445611702185</v>
      </c>
      <c r="AJ65" s="12">
        <f t="shared" si="21"/>
        <v>1.6056881490114447</v>
      </c>
      <c r="AK65" s="12">
        <f t="shared" si="21"/>
        <v>1.86003792327719</v>
      </c>
      <c r="AL65" s="12">
        <f t="shared" si="21"/>
        <v>-12.848093743762746</v>
      </c>
      <c r="AM65" s="12">
        <f t="shared" si="21"/>
        <v>0</v>
      </c>
    </row>
    <row r="66" spans="1:39" x14ac:dyDescent="0.25">
      <c r="A66" s="126">
        <f>MIN(A$1:A65)-1</f>
        <v>-23</v>
      </c>
      <c r="B66" s="126"/>
      <c r="C66" s="1" t="s">
        <v>18</v>
      </c>
      <c r="D66" s="126" t="str">
        <f>"("&amp;-$A$18&amp;") + ("&amp;-$A61&amp;")"</f>
        <v>(2) + (21)</v>
      </c>
      <c r="E66" s="144">
        <f>NPV($D$2,F66:AM66)*(1+$D$2)^0.5</f>
        <v>-6.3284098748039082</v>
      </c>
      <c r="F66" s="12">
        <f t="shared" si="21"/>
        <v>0</v>
      </c>
      <c r="G66" s="12">
        <f t="shared" si="21"/>
        <v>0</v>
      </c>
      <c r="H66" s="12">
        <f t="shared" si="21"/>
        <v>-0.4876548556102146</v>
      </c>
      <c r="I66" s="12">
        <f t="shared" si="21"/>
        <v>-0.57336575853822858</v>
      </c>
      <c r="J66" s="12">
        <f t="shared" si="21"/>
        <v>0.15561523161435709</v>
      </c>
      <c r="K66" s="12">
        <f t="shared" si="21"/>
        <v>0.36231368623393667</v>
      </c>
      <c r="L66" s="12">
        <f t="shared" si="21"/>
        <v>-1.0201768004553502</v>
      </c>
      <c r="M66" s="12">
        <f t="shared" si="21"/>
        <v>-2.4217093486040855</v>
      </c>
      <c r="N66" s="12">
        <f t="shared" si="21"/>
        <v>-3.2641279839339274</v>
      </c>
      <c r="O66" s="12">
        <f t="shared" si="21"/>
        <v>-4.7503221816738845</v>
      </c>
      <c r="P66" s="12">
        <f t="shared" si="21"/>
        <v>-4.8010521584517756</v>
      </c>
      <c r="Q66" s="12">
        <f t="shared" si="21"/>
        <v>-2.1191044182460796</v>
      </c>
      <c r="R66" s="12">
        <f t="shared" si="21"/>
        <v>-3.1535407695714639</v>
      </c>
      <c r="S66" s="12">
        <f t="shared" si="21"/>
        <v>4.7007682964192394</v>
      </c>
      <c r="T66" s="12">
        <f t="shared" si="21"/>
        <v>3.5033663823429499</v>
      </c>
      <c r="U66" s="12">
        <f t="shared" si="21"/>
        <v>3.6719961432152788</v>
      </c>
      <c r="V66" s="12">
        <f t="shared" si="21"/>
        <v>4.073596392043151</v>
      </c>
      <c r="W66" s="12">
        <f t="shared" si="21"/>
        <v>1.1198599672190754</v>
      </c>
      <c r="X66" s="12">
        <f t="shared" si="21"/>
        <v>1.9592276469954104</v>
      </c>
      <c r="Y66" s="12">
        <f t="shared" si="21"/>
        <v>0.72740365826676978</v>
      </c>
      <c r="Z66" s="12">
        <f t="shared" si="21"/>
        <v>0.86017335498604197</v>
      </c>
      <c r="AA66" s="12">
        <f t="shared" si="21"/>
        <v>0.64767246859412175</v>
      </c>
      <c r="AB66" s="12">
        <f t="shared" si="21"/>
        <v>0.43853782207004244</v>
      </c>
      <c r="AC66" s="12">
        <f t="shared" si="21"/>
        <v>0.20781994557538042</v>
      </c>
      <c r="AD66" s="12">
        <f t="shared" si="21"/>
        <v>3.7526575627381042E-2</v>
      </c>
      <c r="AE66" s="12">
        <f t="shared" si="21"/>
        <v>-0.14857852576718145</v>
      </c>
      <c r="AF66" s="12">
        <f t="shared" si="21"/>
        <v>-0.32057984158146979</v>
      </c>
      <c r="AG66" s="12">
        <f t="shared" si="21"/>
        <v>-0.49678050766583493</v>
      </c>
      <c r="AH66" s="12">
        <f t="shared" si="21"/>
        <v>-0.57459463547837242</v>
      </c>
      <c r="AI66" s="12">
        <f t="shared" si="21"/>
        <v>-0.6611209279223349</v>
      </c>
      <c r="AJ66" s="12">
        <f t="shared" si="21"/>
        <v>-0.75354632137105426</v>
      </c>
      <c r="AK66" s="12">
        <f t="shared" si="21"/>
        <v>-0.41866783336188629</v>
      </c>
      <c r="AL66" s="12">
        <f t="shared" si="21"/>
        <v>-14.264206940995461</v>
      </c>
      <c r="AM66" s="12">
        <f t="shared" si="21"/>
        <v>0</v>
      </c>
    </row>
    <row r="67" spans="1:39" ht="6" customHeight="1" x14ac:dyDescent="0.25">
      <c r="E67" s="144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</row>
    <row r="68" spans="1:39" x14ac:dyDescent="0.25">
      <c r="A68" s="168" t="s">
        <v>77</v>
      </c>
      <c r="B68" s="168"/>
      <c r="E68" s="14"/>
    </row>
    <row r="69" spans="1:39" ht="6" customHeight="1" x14ac:dyDescent="0.25">
      <c r="E69" s="144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</row>
    <row r="70" spans="1:39" x14ac:dyDescent="0.25">
      <c r="A70" s="126">
        <f>MIN(A$1:A69)-1</f>
        <v>-24</v>
      </c>
      <c r="B70" s="126"/>
      <c r="C70" s="1" t="s">
        <v>17</v>
      </c>
      <c r="D70" s="126" t="str">
        <f>"("&amp;-$A65&amp;") / ("&amp;-$A$9&amp;")"</f>
        <v>(22) / (1)</v>
      </c>
      <c r="E70" s="146">
        <f>IF(E$9=0,0,E65/E$9*1000)</f>
        <v>-0.7295104335983037</v>
      </c>
      <c r="F70" s="6"/>
      <c r="G70" s="6"/>
      <c r="H70" s="6">
        <f t="shared" ref="H70:AM71" si="22">IF(H$9=0,0,H65/H$9*1000)</f>
        <v>-10.535400636325329</v>
      </c>
      <c r="I70" s="6">
        <f t="shared" si="22"/>
        <v>-2.87644689714103</v>
      </c>
      <c r="J70" s="6">
        <f t="shared" si="22"/>
        <v>0.78362421753190892</v>
      </c>
      <c r="K70" s="6">
        <f t="shared" si="22"/>
        <v>1.8244857905668914</v>
      </c>
      <c r="L70" s="6">
        <f t="shared" si="22"/>
        <v>-5.1372557731506419</v>
      </c>
      <c r="M70" s="6">
        <f t="shared" si="22"/>
        <v>-12.149170469002119</v>
      </c>
      <c r="N70" s="6">
        <f t="shared" si="22"/>
        <v>-16.437013978638348</v>
      </c>
      <c r="O70" s="6">
        <f t="shared" si="22"/>
        <v>-23.920971385780678</v>
      </c>
      <c r="P70" s="6">
        <f t="shared" si="22"/>
        <v>-24.176429916064542</v>
      </c>
      <c r="Q70" s="6">
        <f t="shared" si="22"/>
        <v>-10.631069675527845</v>
      </c>
      <c r="R70" s="6">
        <f t="shared" si="22"/>
        <v>-15.880135205109447</v>
      </c>
      <c r="S70" s="6">
        <f t="shared" si="22"/>
        <v>23.671435243620962</v>
      </c>
      <c r="T70" s="6">
        <f t="shared" si="22"/>
        <v>17.641735398334909</v>
      </c>
      <c r="U70" s="6">
        <f t="shared" si="22"/>
        <v>18.421577771566884</v>
      </c>
      <c r="V70" s="6">
        <f t="shared" si="22"/>
        <v>20.513215526140772</v>
      </c>
      <c r="W70" s="6">
        <f t="shared" si="22"/>
        <v>5.6392255530106761</v>
      </c>
      <c r="X70" s="6">
        <f t="shared" si="22"/>
        <v>9.8659894402137365</v>
      </c>
      <c r="Y70" s="6">
        <f t="shared" si="22"/>
        <v>3.6492203530340039</v>
      </c>
      <c r="Z70" s="6">
        <f t="shared" si="22"/>
        <v>13.930635215707659</v>
      </c>
      <c r="AA70" s="6">
        <f t="shared" si="22"/>
        <v>13.067415243506231</v>
      </c>
      <c r="AB70" s="6">
        <f t="shared" si="22"/>
        <v>12.225604331824307</v>
      </c>
      <c r="AC70" s="6">
        <f t="shared" si="22"/>
        <v>11.275738546417784</v>
      </c>
      <c r="AD70" s="6">
        <f t="shared" si="22"/>
        <v>10.642647908966589</v>
      </c>
      <c r="AE70" s="6">
        <f t="shared" si="22"/>
        <v>9.9307640468019702</v>
      </c>
      <c r="AF70" s="6">
        <f t="shared" si="22"/>
        <v>9.2947566604011307</v>
      </c>
      <c r="AG70" s="6">
        <f t="shared" si="22"/>
        <v>8.6519401643523359</v>
      </c>
      <c r="AH70" s="6">
        <f t="shared" si="22"/>
        <v>8.4908742325975695</v>
      </c>
      <c r="AI70" s="6">
        <f t="shared" si="22"/>
        <v>8.3004902770123152</v>
      </c>
      <c r="AJ70" s="6">
        <f t="shared" si="22"/>
        <v>8.085687411933689</v>
      </c>
      <c r="AK70" s="6">
        <f t="shared" si="22"/>
        <v>9.9064950819799709</v>
      </c>
      <c r="AL70" s="6">
        <f t="shared" si="22"/>
        <v>-112.48298517911856</v>
      </c>
      <c r="AM70" s="6">
        <f t="shared" si="22"/>
        <v>0</v>
      </c>
    </row>
    <row r="71" spans="1:39" x14ac:dyDescent="0.25">
      <c r="A71" s="126">
        <f>MIN(A$1:A70)-1</f>
        <v>-25</v>
      </c>
      <c r="B71" s="126"/>
      <c r="C71" s="1" t="s">
        <v>18</v>
      </c>
      <c r="D71" s="126" t="str">
        <f>"("&amp;-$A66&amp;") / ("&amp;-$A$9&amp;")"</f>
        <v>(23) / (1)</v>
      </c>
      <c r="E71" s="146">
        <f>IF(E$9=0,0,E66/E$9*1000)</f>
        <v>-2.9540116593915338</v>
      </c>
      <c r="F71" s="6"/>
      <c r="G71" s="6"/>
      <c r="H71" s="6">
        <f t="shared" si="22"/>
        <v>-10.535400636325329</v>
      </c>
      <c r="I71" s="6">
        <f t="shared" si="22"/>
        <v>-2.87644689714103</v>
      </c>
      <c r="J71" s="6">
        <f t="shared" si="22"/>
        <v>0.78362421753190892</v>
      </c>
      <c r="K71" s="6">
        <f t="shared" si="22"/>
        <v>1.8244857905668914</v>
      </c>
      <c r="L71" s="6">
        <f t="shared" si="22"/>
        <v>-5.1372557731506419</v>
      </c>
      <c r="M71" s="6">
        <f t="shared" si="22"/>
        <v>-12.149170469002119</v>
      </c>
      <c r="N71" s="6">
        <f t="shared" si="22"/>
        <v>-16.437013978638348</v>
      </c>
      <c r="O71" s="6">
        <f t="shared" si="22"/>
        <v>-23.920971385780678</v>
      </c>
      <c r="P71" s="6">
        <f t="shared" si="22"/>
        <v>-24.176429916064542</v>
      </c>
      <c r="Q71" s="6">
        <f t="shared" si="22"/>
        <v>-10.631069675527845</v>
      </c>
      <c r="R71" s="6">
        <f t="shared" si="22"/>
        <v>-15.880135205109447</v>
      </c>
      <c r="S71" s="6">
        <f t="shared" si="22"/>
        <v>23.671435243620962</v>
      </c>
      <c r="T71" s="6">
        <f t="shared" si="22"/>
        <v>17.641735398334909</v>
      </c>
      <c r="U71" s="6">
        <f t="shared" si="22"/>
        <v>18.421577771566884</v>
      </c>
      <c r="V71" s="6">
        <f t="shared" si="22"/>
        <v>20.513215526140772</v>
      </c>
      <c r="W71" s="6">
        <f t="shared" si="22"/>
        <v>5.6392255530106761</v>
      </c>
      <c r="X71" s="6">
        <f t="shared" si="22"/>
        <v>9.8659894402137365</v>
      </c>
      <c r="Y71" s="6">
        <f t="shared" si="22"/>
        <v>3.6492203530340039</v>
      </c>
      <c r="Z71" s="6">
        <f t="shared" si="22"/>
        <v>4.3315340359043999</v>
      </c>
      <c r="AA71" s="6">
        <f t="shared" si="22"/>
        <v>3.2614534332782084</v>
      </c>
      <c r="AB71" s="6">
        <f t="shared" si="22"/>
        <v>2.2083240445858734</v>
      </c>
      <c r="AC71" s="6">
        <f t="shared" si="22"/>
        <v>1.0425858689893568</v>
      </c>
      <c r="AD71" s="6">
        <f t="shared" si="22"/>
        <v>0.18897079133958894</v>
      </c>
      <c r="AE71" s="6">
        <f t="shared" si="22"/>
        <v>-0.74818981270989104</v>
      </c>
      <c r="AF71" s="6">
        <f t="shared" si="22"/>
        <v>-1.6143286547832092</v>
      </c>
      <c r="AG71" s="6">
        <f t="shared" si="22"/>
        <v>-2.4922359393742242</v>
      </c>
      <c r="AH71" s="6">
        <f t="shared" si="22"/>
        <v>-2.8934588661642966</v>
      </c>
      <c r="AI71" s="6">
        <f t="shared" si="22"/>
        <v>-3.3291752000278616</v>
      </c>
      <c r="AJ71" s="6">
        <f t="shared" si="22"/>
        <v>-3.7945973561367077</v>
      </c>
      <c r="AK71" s="6">
        <f t="shared" si="22"/>
        <v>-2.2298098228423355</v>
      </c>
      <c r="AL71" s="6">
        <f t="shared" si="22"/>
        <v>-124.8808274546398</v>
      </c>
      <c r="AM71" s="6">
        <f t="shared" si="22"/>
        <v>0</v>
      </c>
    </row>
    <row r="73" spans="1:39" ht="17.25" x14ac:dyDescent="0.3">
      <c r="A73" s="133" t="s">
        <v>124</v>
      </c>
      <c r="B73" s="134"/>
      <c r="C73" s="129"/>
      <c r="E73" s="141" t="s">
        <v>6</v>
      </c>
      <c r="F73" s="141">
        <f t="shared" ref="F73:G73" si="23">F$7</f>
        <v>2021</v>
      </c>
      <c r="G73" s="141">
        <f t="shared" si="23"/>
        <v>2022</v>
      </c>
      <c r="H73" s="141">
        <f>H$7</f>
        <v>2023</v>
      </c>
      <c r="I73" s="141">
        <f t="shared" ref="I73:AM73" si="24">I$7</f>
        <v>2024</v>
      </c>
      <c r="J73" s="141">
        <f t="shared" si="24"/>
        <v>2025</v>
      </c>
      <c r="K73" s="141">
        <f t="shared" si="24"/>
        <v>2026</v>
      </c>
      <c r="L73" s="141">
        <f t="shared" si="24"/>
        <v>2027</v>
      </c>
      <c r="M73" s="141">
        <f t="shared" si="24"/>
        <v>2028</v>
      </c>
      <c r="N73" s="141">
        <f t="shared" si="24"/>
        <v>2029</v>
      </c>
      <c r="O73" s="141">
        <f t="shared" si="24"/>
        <v>2030</v>
      </c>
      <c r="P73" s="141">
        <f t="shared" si="24"/>
        <v>2031</v>
      </c>
      <c r="Q73" s="141">
        <f t="shared" si="24"/>
        <v>2032</v>
      </c>
      <c r="R73" s="141">
        <f t="shared" si="24"/>
        <v>2033</v>
      </c>
      <c r="S73" s="141">
        <f t="shared" si="24"/>
        <v>2034</v>
      </c>
      <c r="T73" s="141">
        <f t="shared" si="24"/>
        <v>2035</v>
      </c>
      <c r="U73" s="141">
        <f t="shared" si="24"/>
        <v>2036</v>
      </c>
      <c r="V73" s="141">
        <f t="shared" si="24"/>
        <v>2037</v>
      </c>
      <c r="W73" s="141">
        <f t="shared" si="24"/>
        <v>2038</v>
      </c>
      <c r="X73" s="141">
        <f t="shared" si="24"/>
        <v>2039</v>
      </c>
      <c r="Y73" s="141">
        <f t="shared" si="24"/>
        <v>2040</v>
      </c>
      <c r="Z73" s="141">
        <f t="shared" si="24"/>
        <v>2041</v>
      </c>
      <c r="AA73" s="141">
        <f t="shared" si="24"/>
        <v>2042</v>
      </c>
      <c r="AB73" s="141">
        <f t="shared" si="24"/>
        <v>2043</v>
      </c>
      <c r="AC73" s="141">
        <f t="shared" si="24"/>
        <v>2044</v>
      </c>
      <c r="AD73" s="141">
        <f t="shared" si="24"/>
        <v>2045</v>
      </c>
      <c r="AE73" s="141">
        <f t="shared" si="24"/>
        <v>2046</v>
      </c>
      <c r="AF73" s="141">
        <f t="shared" si="24"/>
        <v>2047</v>
      </c>
      <c r="AG73" s="141">
        <f t="shared" si="24"/>
        <v>2048</v>
      </c>
      <c r="AH73" s="141">
        <f t="shared" si="24"/>
        <v>2049</v>
      </c>
      <c r="AI73" s="141">
        <f t="shared" si="24"/>
        <v>2050</v>
      </c>
      <c r="AJ73" s="141">
        <f t="shared" si="24"/>
        <v>2051</v>
      </c>
      <c r="AK73" s="141">
        <f t="shared" si="24"/>
        <v>2052</v>
      </c>
      <c r="AL73" s="141">
        <f t="shared" si="24"/>
        <v>2053</v>
      </c>
      <c r="AM73" s="141">
        <f t="shared" si="24"/>
        <v>2054</v>
      </c>
    </row>
    <row r="74" spans="1:39" ht="6" customHeight="1" x14ac:dyDescent="0.25"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</row>
    <row r="75" spans="1:39" x14ac:dyDescent="0.25">
      <c r="A75" s="126">
        <f>MIN(A$1:A74)-1</f>
        <v>-26</v>
      </c>
      <c r="B75" s="126"/>
      <c r="C75" s="1" t="s">
        <v>94</v>
      </c>
      <c r="F75" s="6">
        <v>0</v>
      </c>
      <c r="G75" s="6">
        <v>0</v>
      </c>
      <c r="H75" s="6">
        <v>-32.090236763631246</v>
      </c>
      <c r="I75" s="6">
        <v>-32.090236763631246</v>
      </c>
      <c r="J75" s="6">
        <v>-42.249352398968064</v>
      </c>
      <c r="K75" s="6">
        <v>-40.738792734724782</v>
      </c>
      <c r="L75" s="6">
        <v>-42.652892805444303</v>
      </c>
      <c r="M75" s="6">
        <v>-50.612560653248423</v>
      </c>
      <c r="N75" s="6">
        <v>-56.287247874430967</v>
      </c>
      <c r="O75" s="6">
        <v>-50.476776210828469</v>
      </c>
      <c r="P75" s="6">
        <v>-57.992311323487684</v>
      </c>
      <c r="Q75" s="6">
        <v>-55.62567640353879</v>
      </c>
      <c r="R75" s="6">
        <v>-66.487803760775648</v>
      </c>
      <c r="S75" s="6">
        <v>-71.369869222493691</v>
      </c>
      <c r="T75" s="6">
        <v>-75.631432928970668</v>
      </c>
      <c r="U75" s="6">
        <v>-81.025065690410415</v>
      </c>
      <c r="V75" s="6">
        <v>-81.25230670978857</v>
      </c>
      <c r="W75" s="6">
        <v>-89.692799423801361</v>
      </c>
      <c r="X75" s="6">
        <v>-88.255093975971604</v>
      </c>
      <c r="Y75" s="6">
        <v>-113.37661333212917</v>
      </c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6" customHeight="1" x14ac:dyDescent="0.25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</row>
    <row r="77" spans="1:39" x14ac:dyDescent="0.25">
      <c r="A77" s="126">
        <f>MIN(A$1:A76)-1</f>
        <v>-27</v>
      </c>
      <c r="B77" s="126"/>
      <c r="C77" s="131" t="s">
        <v>13</v>
      </c>
      <c r="J77" s="6"/>
      <c r="P77" s="6"/>
      <c r="Q77" s="6">
        <f>-PMT($D$4,COUNT(Q75:$Y75),NPV($D$2,Q75:$Y75))*(1+$D$3)</f>
        <v>-72.035694707064351</v>
      </c>
      <c r="R77" s="6">
        <f t="shared" ref="R77:AG77" si="25">Q77*(1+$D$3)</f>
        <v>-73.588063928001588</v>
      </c>
      <c r="S77" s="6">
        <f t="shared" si="25"/>
        <v>-75.17388670565002</v>
      </c>
      <c r="T77" s="6">
        <f t="shared" si="25"/>
        <v>-76.793883964156777</v>
      </c>
      <c r="U77" s="6">
        <f t="shared" si="25"/>
        <v>-78.448792163584358</v>
      </c>
      <c r="V77" s="6">
        <f t="shared" si="25"/>
        <v>-80.139363634709596</v>
      </c>
      <c r="W77" s="6">
        <f t="shared" si="25"/>
        <v>-81.866366921037582</v>
      </c>
      <c r="X77" s="6">
        <f t="shared" si="25"/>
        <v>-83.630587128185937</v>
      </c>
      <c r="Y77" s="6">
        <f t="shared" si="25"/>
        <v>-85.432826280798338</v>
      </c>
      <c r="Z77" s="6">
        <f t="shared" si="25"/>
        <v>-87.273903687149541</v>
      </c>
      <c r="AA77" s="6">
        <f t="shared" si="25"/>
        <v>-89.15465631160761</v>
      </c>
      <c r="AB77" s="6">
        <f t="shared" si="25"/>
        <v>-91.075939155122754</v>
      </c>
      <c r="AC77" s="6">
        <f t="shared" si="25"/>
        <v>-93.038625643915651</v>
      </c>
      <c r="AD77" s="6">
        <f t="shared" si="25"/>
        <v>-95.043608026542032</v>
      </c>
      <c r="AE77" s="6">
        <f t="shared" si="25"/>
        <v>-97.09179777951401</v>
      </c>
      <c r="AF77" s="6">
        <f t="shared" si="25"/>
        <v>-99.184126021662536</v>
      </c>
      <c r="AG77" s="6">
        <f t="shared" si="25"/>
        <v>-101.32154393742935</v>
      </c>
      <c r="AH77" s="6">
        <f t="shared" ref="X77:AM78" si="26">AG77*(1+$D$3)</f>
        <v>-103.50502320928095</v>
      </c>
      <c r="AI77" s="6">
        <f t="shared" si="26"/>
        <v>-105.73555645944094</v>
      </c>
      <c r="AJ77" s="6">
        <f t="shared" si="26"/>
        <v>-108.0141577011419</v>
      </c>
      <c r="AK77" s="6">
        <f t="shared" si="26"/>
        <v>-110.3418627996015</v>
      </c>
      <c r="AL77" s="6">
        <f t="shared" si="26"/>
        <v>-112.71972994293291</v>
      </c>
      <c r="AM77" s="6">
        <f t="shared" si="26"/>
        <v>-115.14884012320312</v>
      </c>
    </row>
    <row r="78" spans="1:39" x14ac:dyDescent="0.25">
      <c r="A78" s="126">
        <f>MIN(A$1:A77)-1</f>
        <v>-28</v>
      </c>
      <c r="B78" s="126"/>
      <c r="C78" s="131" t="s">
        <v>14</v>
      </c>
      <c r="W78" s="6">
        <f>-PMT($D$4,COUNT(W75:$Y75),NPV($D$2,W75:$Y75))*(1+$D$3)</f>
        <v>-94.627286635873887</v>
      </c>
      <c r="X78" s="6">
        <f t="shared" si="26"/>
        <v>-96.66650466287696</v>
      </c>
      <c r="Y78" s="6">
        <f t="shared" si="26"/>
        <v>-98.749667838361958</v>
      </c>
      <c r="Z78" s="6">
        <f t="shared" si="26"/>
        <v>-100.87772318027865</v>
      </c>
      <c r="AA78" s="6">
        <f t="shared" si="26"/>
        <v>-103.05163811481366</v>
      </c>
      <c r="AB78" s="6">
        <f t="shared" si="26"/>
        <v>-105.27240091618789</v>
      </c>
      <c r="AC78" s="6">
        <f t="shared" si="26"/>
        <v>-107.54102115593173</v>
      </c>
      <c r="AD78" s="6">
        <f t="shared" si="26"/>
        <v>-109.85853016184205</v>
      </c>
      <c r="AE78" s="6">
        <f t="shared" si="26"/>
        <v>-112.22598148682975</v>
      </c>
      <c r="AF78" s="6">
        <f t="shared" si="26"/>
        <v>-114.64445138787093</v>
      </c>
      <c r="AG78" s="6">
        <f t="shared" si="26"/>
        <v>-117.11503931527955</v>
      </c>
      <c r="AH78" s="6">
        <f t="shared" si="26"/>
        <v>-119.63886841252382</v>
      </c>
      <c r="AI78" s="6">
        <f t="shared" si="26"/>
        <v>-122.2170860268137</v>
      </c>
      <c r="AJ78" s="6">
        <f t="shared" si="26"/>
        <v>-124.85086423069153</v>
      </c>
      <c r="AK78" s="6">
        <f t="shared" si="26"/>
        <v>-127.54140035486293</v>
      </c>
      <c r="AL78" s="6">
        <f t="shared" si="26"/>
        <v>-130.28991753251023</v>
      </c>
      <c r="AM78" s="6">
        <f t="shared" si="26"/>
        <v>-133.09766525533581</v>
      </c>
    </row>
    <row r="79" spans="1:39" ht="6" customHeight="1" x14ac:dyDescent="0.25"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</row>
    <row r="80" spans="1:39" x14ac:dyDescent="0.25">
      <c r="A80" s="126">
        <f>MIN(A$1:A79)-1</f>
        <v>-29</v>
      </c>
      <c r="B80" s="126"/>
      <c r="C80" s="1" t="s">
        <v>84</v>
      </c>
      <c r="E80" s="6">
        <f>$E85/$E$9*1000</f>
        <v>-65.771548142411888</v>
      </c>
      <c r="F80" s="6">
        <f>IF(F$7&lt;=$Y$7,F75,F77)</f>
        <v>0</v>
      </c>
      <c r="G80" s="6">
        <f t="shared" ref="G80:AM80" si="27">IF(G$7&lt;=$Y$7,G75,G77)</f>
        <v>0</v>
      </c>
      <c r="H80" s="6">
        <f t="shared" si="27"/>
        <v>-32.090236763631246</v>
      </c>
      <c r="I80" s="6">
        <f t="shared" si="27"/>
        <v>-32.090236763631246</v>
      </c>
      <c r="J80" s="6">
        <f t="shared" si="27"/>
        <v>-42.249352398968064</v>
      </c>
      <c r="K80" s="6">
        <f t="shared" si="27"/>
        <v>-40.738792734724782</v>
      </c>
      <c r="L80" s="6">
        <f t="shared" si="27"/>
        <v>-42.652892805444303</v>
      </c>
      <c r="M80" s="6">
        <f t="shared" si="27"/>
        <v>-50.612560653248423</v>
      </c>
      <c r="N80" s="6">
        <f t="shared" si="27"/>
        <v>-56.287247874430967</v>
      </c>
      <c r="O80" s="6">
        <f t="shared" si="27"/>
        <v>-50.476776210828469</v>
      </c>
      <c r="P80" s="6">
        <f t="shared" si="27"/>
        <v>-57.992311323487684</v>
      </c>
      <c r="Q80" s="6">
        <f t="shared" si="27"/>
        <v>-55.62567640353879</v>
      </c>
      <c r="R80" s="6">
        <f t="shared" si="27"/>
        <v>-66.487803760775648</v>
      </c>
      <c r="S80" s="6">
        <f t="shared" si="27"/>
        <v>-71.369869222493691</v>
      </c>
      <c r="T80" s="6">
        <f t="shared" si="27"/>
        <v>-75.631432928970668</v>
      </c>
      <c r="U80" s="6">
        <f t="shared" si="27"/>
        <v>-81.025065690410415</v>
      </c>
      <c r="V80" s="6">
        <f t="shared" si="27"/>
        <v>-81.25230670978857</v>
      </c>
      <c r="W80" s="6">
        <f t="shared" si="27"/>
        <v>-89.692799423801361</v>
      </c>
      <c r="X80" s="6">
        <f t="shared" si="27"/>
        <v>-88.255093975971604</v>
      </c>
      <c r="Y80" s="6">
        <f t="shared" si="27"/>
        <v>-113.37661333212917</v>
      </c>
      <c r="Z80" s="6">
        <f t="shared" si="27"/>
        <v>-87.273903687149541</v>
      </c>
      <c r="AA80" s="6">
        <f t="shared" si="27"/>
        <v>-89.15465631160761</v>
      </c>
      <c r="AB80" s="6">
        <f t="shared" si="27"/>
        <v>-91.075939155122754</v>
      </c>
      <c r="AC80" s="6">
        <f t="shared" si="27"/>
        <v>-93.038625643915651</v>
      </c>
      <c r="AD80" s="6">
        <f t="shared" si="27"/>
        <v>-95.043608026542032</v>
      </c>
      <c r="AE80" s="6">
        <f t="shared" si="27"/>
        <v>-97.09179777951401</v>
      </c>
      <c r="AF80" s="6">
        <f t="shared" si="27"/>
        <v>-99.184126021662536</v>
      </c>
      <c r="AG80" s="6">
        <f t="shared" si="27"/>
        <v>-101.32154393742935</v>
      </c>
      <c r="AH80" s="6">
        <f t="shared" si="27"/>
        <v>-103.50502320928095</v>
      </c>
      <c r="AI80" s="6">
        <f t="shared" si="27"/>
        <v>-105.73555645944094</v>
      </c>
      <c r="AJ80" s="6">
        <f t="shared" si="27"/>
        <v>-108.0141577011419</v>
      </c>
      <c r="AK80" s="6">
        <f t="shared" si="27"/>
        <v>-110.3418627996015</v>
      </c>
      <c r="AL80" s="6">
        <f t="shared" si="27"/>
        <v>-112.71972994293291</v>
      </c>
      <c r="AM80" s="6">
        <f t="shared" si="27"/>
        <v>-115.14884012320312</v>
      </c>
    </row>
    <row r="81" spans="1:39" x14ac:dyDescent="0.25">
      <c r="A81" s="126">
        <f>MIN(A$1:A80)-1</f>
        <v>-30</v>
      </c>
      <c r="B81" s="126"/>
      <c r="C81" s="1" t="s">
        <v>85</v>
      </c>
      <c r="E81" s="6">
        <f>$E86/$E$9*1000</f>
        <v>-68.924105092390349</v>
      </c>
      <c r="F81" s="6">
        <f>IF(F$7&lt;=$Y$7,F75,F78)</f>
        <v>0</v>
      </c>
      <c r="G81" s="6">
        <f t="shared" ref="G81:AM81" si="28">IF(G$7&lt;=$Y$7,G75,G78)</f>
        <v>0</v>
      </c>
      <c r="H81" s="6">
        <f t="shared" si="28"/>
        <v>-32.090236763631246</v>
      </c>
      <c r="I81" s="6">
        <f t="shared" si="28"/>
        <v>-32.090236763631246</v>
      </c>
      <c r="J81" s="6">
        <f t="shared" si="28"/>
        <v>-42.249352398968064</v>
      </c>
      <c r="K81" s="6">
        <f t="shared" si="28"/>
        <v>-40.738792734724782</v>
      </c>
      <c r="L81" s="6">
        <f t="shared" si="28"/>
        <v>-42.652892805444303</v>
      </c>
      <c r="M81" s="6">
        <f t="shared" si="28"/>
        <v>-50.612560653248423</v>
      </c>
      <c r="N81" s="6">
        <f t="shared" si="28"/>
        <v>-56.287247874430967</v>
      </c>
      <c r="O81" s="6">
        <f t="shared" si="28"/>
        <v>-50.476776210828469</v>
      </c>
      <c r="P81" s="6">
        <f t="shared" si="28"/>
        <v>-57.992311323487684</v>
      </c>
      <c r="Q81" s="6">
        <f t="shared" si="28"/>
        <v>-55.62567640353879</v>
      </c>
      <c r="R81" s="6">
        <f t="shared" si="28"/>
        <v>-66.487803760775648</v>
      </c>
      <c r="S81" s="6">
        <f t="shared" si="28"/>
        <v>-71.369869222493691</v>
      </c>
      <c r="T81" s="6">
        <f t="shared" si="28"/>
        <v>-75.631432928970668</v>
      </c>
      <c r="U81" s="6">
        <f t="shared" si="28"/>
        <v>-81.025065690410415</v>
      </c>
      <c r="V81" s="6">
        <f t="shared" si="28"/>
        <v>-81.25230670978857</v>
      </c>
      <c r="W81" s="6">
        <f t="shared" si="28"/>
        <v>-89.692799423801361</v>
      </c>
      <c r="X81" s="6">
        <f t="shared" si="28"/>
        <v>-88.255093975971604</v>
      </c>
      <c r="Y81" s="6">
        <f t="shared" si="28"/>
        <v>-113.37661333212917</v>
      </c>
      <c r="Z81" s="6">
        <f t="shared" si="28"/>
        <v>-100.87772318027865</v>
      </c>
      <c r="AA81" s="6">
        <f t="shared" si="28"/>
        <v>-103.05163811481366</v>
      </c>
      <c r="AB81" s="6">
        <f t="shared" si="28"/>
        <v>-105.27240091618789</v>
      </c>
      <c r="AC81" s="6">
        <f t="shared" si="28"/>
        <v>-107.54102115593173</v>
      </c>
      <c r="AD81" s="6">
        <f t="shared" si="28"/>
        <v>-109.85853016184205</v>
      </c>
      <c r="AE81" s="6">
        <f t="shared" si="28"/>
        <v>-112.22598148682975</v>
      </c>
      <c r="AF81" s="6">
        <f t="shared" si="28"/>
        <v>-114.64445138787093</v>
      </c>
      <c r="AG81" s="6">
        <f t="shared" si="28"/>
        <v>-117.11503931527955</v>
      </c>
      <c r="AH81" s="6">
        <f t="shared" si="28"/>
        <v>-119.63886841252382</v>
      </c>
      <c r="AI81" s="6">
        <f t="shared" si="28"/>
        <v>-122.2170860268137</v>
      </c>
      <c r="AJ81" s="6">
        <f t="shared" si="28"/>
        <v>-124.85086423069153</v>
      </c>
      <c r="AK81" s="6">
        <f t="shared" si="28"/>
        <v>-127.54140035486293</v>
      </c>
      <c r="AL81" s="6">
        <f t="shared" si="28"/>
        <v>-130.28991753251023</v>
      </c>
      <c r="AM81" s="6">
        <f t="shared" si="28"/>
        <v>-133.09766525533581</v>
      </c>
    </row>
    <row r="83" spans="1:39" x14ac:dyDescent="0.25">
      <c r="A83" s="14" t="s">
        <v>80</v>
      </c>
      <c r="B83" s="14"/>
    </row>
    <row r="84" spans="1:39" ht="6" customHeight="1" x14ac:dyDescent="0.25"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</row>
    <row r="85" spans="1:39" x14ac:dyDescent="0.25">
      <c r="A85" s="126">
        <f>MIN(A$1:A84)-1</f>
        <v>-31</v>
      </c>
      <c r="B85" s="126"/>
      <c r="C85" s="1" t="s">
        <v>102</v>
      </c>
      <c r="D85" s="126" t="str">
        <f>"("&amp;-$A$9&amp;") X ("&amp;-$A80&amp;")"</f>
        <v>(1) X (29)</v>
      </c>
      <c r="E85" s="12">
        <f>NPV($D$2,F85:AM85)*(1+$D$2)^0.5</f>
        <v>-140.90307105670487</v>
      </c>
      <c r="F85" s="12">
        <f t="shared" ref="F85:AM86" si="29">F$9*F80/1000</f>
        <v>0</v>
      </c>
      <c r="G85" s="12">
        <f t="shared" si="29"/>
        <v>0</v>
      </c>
      <c r="H85" s="12">
        <f t="shared" si="29"/>
        <v>-1.4853692152446174</v>
      </c>
      <c r="I85" s="12">
        <f t="shared" si="29"/>
        <v>-6.3965870400522364</v>
      </c>
      <c r="J85" s="12">
        <f t="shared" si="29"/>
        <v>-8.3900453967966993</v>
      </c>
      <c r="K85" s="12">
        <f t="shared" si="29"/>
        <v>-8.0900724164326103</v>
      </c>
      <c r="L85" s="12">
        <f t="shared" si="29"/>
        <v>-8.4701820648763775</v>
      </c>
      <c r="M85" s="12">
        <f t="shared" si="29"/>
        <v>-10.088665033015237</v>
      </c>
      <c r="N85" s="12">
        <f t="shared" si="29"/>
        <v>-11.177746831896032</v>
      </c>
      <c r="O85" s="12">
        <f t="shared" si="29"/>
        <v>-10.023880127051191</v>
      </c>
      <c r="P85" s="12">
        <f t="shared" si="29"/>
        <v>-11.516345151863513</v>
      </c>
      <c r="Q85" s="12">
        <f t="shared" si="29"/>
        <v>-11.087935667095797</v>
      </c>
      <c r="R85" s="12">
        <f t="shared" si="29"/>
        <v>-13.203414022029911</v>
      </c>
      <c r="S85" s="12">
        <f t="shared" si="29"/>
        <v>-14.172914109679731</v>
      </c>
      <c r="T85" s="12">
        <f t="shared" si="29"/>
        <v>-15.019192476766756</v>
      </c>
      <c r="U85" s="12">
        <f t="shared" si="29"/>
        <v>-16.150827709131949</v>
      </c>
      <c r="V85" s="12">
        <f t="shared" si="29"/>
        <v>-16.135408075656702</v>
      </c>
      <c r="W85" s="12">
        <f t="shared" si="29"/>
        <v>-17.811554880776225</v>
      </c>
      <c r="X85" s="12">
        <f t="shared" si="29"/>
        <v>-17.526049582124397</v>
      </c>
      <c r="Y85" s="12">
        <f t="shared" si="29"/>
        <v>-22.599502173422003</v>
      </c>
      <c r="Z85" s="12">
        <f t="shared" si="29"/>
        <v>-17.331200889808954</v>
      </c>
      <c r="AA85" s="12">
        <f t="shared" si="29"/>
        <v>-17.704688268984341</v>
      </c>
      <c r="AB85" s="12">
        <f t="shared" si="29"/>
        <v>-18.086224301180952</v>
      </c>
      <c r="AC85" s="12">
        <f t="shared" si="29"/>
        <v>-18.545505644028758</v>
      </c>
      <c r="AD85" s="12">
        <f t="shared" si="29"/>
        <v>-18.874139856342882</v>
      </c>
      <c r="AE85" s="12">
        <f t="shared" si="29"/>
        <v>-19.280877570247071</v>
      </c>
      <c r="AF85" s="12">
        <f t="shared" si="29"/>
        <v>-19.696380481885893</v>
      </c>
      <c r="AG85" s="12">
        <f t="shared" si="29"/>
        <v>-20.196550109682182</v>
      </c>
      <c r="AH85" s="12">
        <f t="shared" si="29"/>
        <v>-20.554441528991909</v>
      </c>
      <c r="AI85" s="12">
        <f t="shared" si="29"/>
        <v>-20.997389743941682</v>
      </c>
      <c r="AJ85" s="12">
        <f t="shared" si="29"/>
        <v>-21.449883492923629</v>
      </c>
      <c r="AK85" s="12">
        <f t="shared" si="29"/>
        <v>-20.717725859031759</v>
      </c>
      <c r="AL85" s="12">
        <f t="shared" si="29"/>
        <v>-12.87513533511088</v>
      </c>
      <c r="AM85" s="12">
        <f t="shared" si="29"/>
        <v>0</v>
      </c>
    </row>
    <row r="86" spans="1:39" x14ac:dyDescent="0.25">
      <c r="A86" s="126">
        <f>MIN(A$1:A85)-1</f>
        <v>-32</v>
      </c>
      <c r="B86" s="126"/>
      <c r="C86" s="1" t="s">
        <v>103</v>
      </c>
      <c r="D86" s="126" t="str">
        <f>"("&amp;-$A$9&amp;") X ("&amp;-$A81&amp;")"</f>
        <v>(1) X (30)</v>
      </c>
      <c r="E86" s="12">
        <f>NPV($D$2,F86:AM86)*(1+$D$2)^0.5</f>
        <v>-147.65682657073518</v>
      </c>
      <c r="F86" s="12">
        <f t="shared" si="29"/>
        <v>0</v>
      </c>
      <c r="G86" s="12">
        <f t="shared" si="29"/>
        <v>0</v>
      </c>
      <c r="H86" s="12">
        <f t="shared" si="29"/>
        <v>-1.4853692152446174</v>
      </c>
      <c r="I86" s="12">
        <f t="shared" si="29"/>
        <v>-6.3965870400522364</v>
      </c>
      <c r="J86" s="12">
        <f t="shared" si="29"/>
        <v>-8.3900453967966993</v>
      </c>
      <c r="K86" s="12">
        <f t="shared" si="29"/>
        <v>-8.0900724164326103</v>
      </c>
      <c r="L86" s="12">
        <f t="shared" si="29"/>
        <v>-8.4701820648763775</v>
      </c>
      <c r="M86" s="12">
        <f t="shared" si="29"/>
        <v>-10.088665033015237</v>
      </c>
      <c r="N86" s="12">
        <f t="shared" si="29"/>
        <v>-11.177746831896032</v>
      </c>
      <c r="O86" s="12">
        <f t="shared" si="29"/>
        <v>-10.023880127051191</v>
      </c>
      <c r="P86" s="12">
        <f t="shared" si="29"/>
        <v>-11.516345151863513</v>
      </c>
      <c r="Q86" s="12">
        <f t="shared" si="29"/>
        <v>-11.087935667095797</v>
      </c>
      <c r="R86" s="12">
        <f t="shared" si="29"/>
        <v>-13.203414022029911</v>
      </c>
      <c r="S86" s="12">
        <f t="shared" si="29"/>
        <v>-14.172914109679731</v>
      </c>
      <c r="T86" s="12">
        <f t="shared" si="29"/>
        <v>-15.019192476766756</v>
      </c>
      <c r="U86" s="12">
        <f t="shared" si="29"/>
        <v>-16.150827709131949</v>
      </c>
      <c r="V86" s="12">
        <f t="shared" si="29"/>
        <v>-16.135408075656702</v>
      </c>
      <c r="W86" s="12">
        <f t="shared" si="29"/>
        <v>-17.811554880776225</v>
      </c>
      <c r="X86" s="12">
        <f t="shared" si="29"/>
        <v>-17.526049582124397</v>
      </c>
      <c r="Y86" s="12">
        <f t="shared" si="29"/>
        <v>-22.599502173422003</v>
      </c>
      <c r="Z86" s="12">
        <f t="shared" si="29"/>
        <v>-20.032701780032514</v>
      </c>
      <c r="AA86" s="12">
        <f t="shared" si="29"/>
        <v>-20.464406503392215</v>
      </c>
      <c r="AB86" s="12">
        <f t="shared" si="29"/>
        <v>-20.905414463540321</v>
      </c>
      <c r="AC86" s="12">
        <f t="shared" si="29"/>
        <v>-21.436286284419914</v>
      </c>
      <c r="AD86" s="12">
        <f t="shared" si="29"/>
        <v>-21.816146353659306</v>
      </c>
      <c r="AE86" s="12">
        <f t="shared" si="29"/>
        <v>-22.286284307580665</v>
      </c>
      <c r="AF86" s="12">
        <f t="shared" si="29"/>
        <v>-22.76655373440903</v>
      </c>
      <c r="AG86" s="12">
        <f t="shared" si="29"/>
        <v>-23.344687301539093</v>
      </c>
      <c r="AH86" s="12">
        <f t="shared" si="29"/>
        <v>-23.758365044832704</v>
      </c>
      <c r="AI86" s="12">
        <f t="shared" si="29"/>
        <v>-24.270357811548845</v>
      </c>
      <c r="AJ86" s="12">
        <f t="shared" si="29"/>
        <v>-24.79338402238772</v>
      </c>
      <c r="AK86" s="12">
        <f t="shared" si="29"/>
        <v>-23.947101319360804</v>
      </c>
      <c r="AL86" s="12">
        <f t="shared" si="29"/>
        <v>-14.882047019459504</v>
      </c>
      <c r="AM86" s="12">
        <f t="shared" si="29"/>
        <v>0</v>
      </c>
    </row>
    <row r="87" spans="1:39" ht="6" customHeight="1" x14ac:dyDescent="0.25"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</row>
    <row r="88" spans="1:39" x14ac:dyDescent="0.25">
      <c r="A88" s="168" t="s">
        <v>76</v>
      </c>
      <c r="B88" s="168"/>
    </row>
    <row r="89" spans="1:39" ht="6" customHeight="1" x14ac:dyDescent="0.25"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</row>
    <row r="90" spans="1:39" x14ac:dyDescent="0.25">
      <c r="A90" s="126">
        <f>MIN(A$1:A89)-1</f>
        <v>-33</v>
      </c>
      <c r="B90" s="126"/>
      <c r="C90" s="1" t="s">
        <v>102</v>
      </c>
      <c r="D90" s="126" t="str">
        <f>"("&amp;-$A$18&amp;") + ("&amp;-$A85&amp;")"</f>
        <v>(2) + (31)</v>
      </c>
      <c r="E90" s="144">
        <f>NPV($D$2,F90:AM90)*(1+$D$2)^0.5</f>
        <v>-97.471409280073544</v>
      </c>
      <c r="F90" s="12">
        <f t="shared" ref="F90:AM91" si="30">F$18+F85</f>
        <v>0</v>
      </c>
      <c r="G90" s="12">
        <f t="shared" si="30"/>
        <v>0</v>
      </c>
      <c r="H90" s="12">
        <f t="shared" si="30"/>
        <v>-1.0790826496406725</v>
      </c>
      <c r="I90" s="12">
        <f t="shared" si="30"/>
        <v>-3.1202876440836276</v>
      </c>
      <c r="J90" s="12">
        <f t="shared" si="30"/>
        <v>-5.5841050800065428</v>
      </c>
      <c r="K90" s="12">
        <f t="shared" si="30"/>
        <v>-5.9174486161485174</v>
      </c>
      <c r="L90" s="12">
        <f t="shared" si="30"/>
        <v>-6.7036175805105698</v>
      </c>
      <c r="M90" s="12">
        <f t="shared" si="30"/>
        <v>-8.6451006485001152</v>
      </c>
      <c r="N90" s="12">
        <f t="shared" si="30"/>
        <v>-10.517143957345233</v>
      </c>
      <c r="O90" s="12">
        <f t="shared" si="30"/>
        <v>-9.8218026173901212</v>
      </c>
      <c r="P90" s="12">
        <f t="shared" si="30"/>
        <v>-11.707936958286847</v>
      </c>
      <c r="Q90" s="12">
        <f t="shared" si="30"/>
        <v>-11.709114814682186</v>
      </c>
      <c r="R90" s="12">
        <f t="shared" si="30"/>
        <v>-12.10331275941706</v>
      </c>
      <c r="S90" s="12">
        <f t="shared" si="30"/>
        <v>-5.9740507830435021</v>
      </c>
      <c r="T90" s="12">
        <f t="shared" si="30"/>
        <v>-6.957273134134045</v>
      </c>
      <c r="U90" s="12">
        <f t="shared" si="30"/>
        <v>-8.0727430660827544</v>
      </c>
      <c r="V90" s="12">
        <f t="shared" si="30"/>
        <v>-8.1594762810318109</v>
      </c>
      <c r="W90" s="12">
        <f t="shared" si="30"/>
        <v>-9.9146149613891481</v>
      </c>
      <c r="X90" s="12">
        <f t="shared" si="30"/>
        <v>-9.7059209390695642</v>
      </c>
      <c r="Y90" s="12">
        <f t="shared" si="30"/>
        <v>-14.831865811471101</v>
      </c>
      <c r="Z90" s="12">
        <f t="shared" si="30"/>
        <v>-9.6345678569466919</v>
      </c>
      <c r="AA90" s="12">
        <f t="shared" si="30"/>
        <v>-10.073230416455766</v>
      </c>
      <c r="AB90" s="12">
        <f t="shared" si="30"/>
        <v>-10.513400520152668</v>
      </c>
      <c r="AC90" s="12">
        <f t="shared" si="30"/>
        <v>-11.022231775362531</v>
      </c>
      <c r="AD90" s="12">
        <f t="shared" si="30"/>
        <v>-11.391526416691107</v>
      </c>
      <c r="AE90" s="12">
        <f t="shared" si="30"/>
        <v>-11.823927610070132</v>
      </c>
      <c r="AF90" s="12">
        <f t="shared" si="30"/>
        <v>-12.247532698651149</v>
      </c>
      <c r="AG90" s="12">
        <f t="shared" si="30"/>
        <v>-12.726606249261213</v>
      </c>
      <c r="AH90" s="12">
        <f t="shared" si="30"/>
        <v>-13.021138067411957</v>
      </c>
      <c r="AI90" s="12">
        <f t="shared" si="30"/>
        <v>-13.375887370814086</v>
      </c>
      <c r="AJ90" s="12">
        <f t="shared" si="30"/>
        <v>-13.742315981107126</v>
      </c>
      <c r="AK90" s="12">
        <f t="shared" si="30"/>
        <v>-12.964086513388619</v>
      </c>
      <c r="AL90" s="12">
        <f t="shared" si="30"/>
        <v>-22.060620719226673</v>
      </c>
      <c r="AM90" s="12">
        <f t="shared" si="30"/>
        <v>0</v>
      </c>
    </row>
    <row r="91" spans="1:39" x14ac:dyDescent="0.25">
      <c r="A91" s="126">
        <f>MIN(A$1:A90)-1</f>
        <v>-34</v>
      </c>
      <c r="B91" s="126"/>
      <c r="C91" s="1" t="s">
        <v>103</v>
      </c>
      <c r="D91" s="126" t="str">
        <f>"("&amp;-$A$18&amp;") + ("&amp;-$A86&amp;")"</f>
        <v>(2) + (32)</v>
      </c>
      <c r="E91" s="144">
        <f>NPV($D$2,F91:AM91)*(1+$D$2)^0.5</f>
        <v>-104.22516479410393</v>
      </c>
      <c r="F91" s="12">
        <f t="shared" si="30"/>
        <v>0</v>
      </c>
      <c r="G91" s="12">
        <f t="shared" si="30"/>
        <v>0</v>
      </c>
      <c r="H91" s="12">
        <f t="shared" si="30"/>
        <v>-1.0790826496406725</v>
      </c>
      <c r="I91" s="12">
        <f t="shared" si="30"/>
        <v>-3.1202876440836276</v>
      </c>
      <c r="J91" s="12">
        <f t="shared" si="30"/>
        <v>-5.5841050800065428</v>
      </c>
      <c r="K91" s="12">
        <f t="shared" si="30"/>
        <v>-5.9174486161485174</v>
      </c>
      <c r="L91" s="12">
        <f t="shared" si="30"/>
        <v>-6.7036175805105698</v>
      </c>
      <c r="M91" s="12">
        <f t="shared" si="30"/>
        <v>-8.6451006485001152</v>
      </c>
      <c r="N91" s="12">
        <f t="shared" si="30"/>
        <v>-10.517143957345233</v>
      </c>
      <c r="O91" s="12">
        <f t="shared" si="30"/>
        <v>-9.8218026173901212</v>
      </c>
      <c r="P91" s="12">
        <f t="shared" si="30"/>
        <v>-11.707936958286847</v>
      </c>
      <c r="Q91" s="12">
        <f t="shared" si="30"/>
        <v>-11.709114814682186</v>
      </c>
      <c r="R91" s="12">
        <f t="shared" si="30"/>
        <v>-12.10331275941706</v>
      </c>
      <c r="S91" s="12">
        <f t="shared" si="30"/>
        <v>-5.9740507830435021</v>
      </c>
      <c r="T91" s="12">
        <f t="shared" si="30"/>
        <v>-6.957273134134045</v>
      </c>
      <c r="U91" s="12">
        <f t="shared" si="30"/>
        <v>-8.0727430660827544</v>
      </c>
      <c r="V91" s="12">
        <f t="shared" si="30"/>
        <v>-8.1594762810318109</v>
      </c>
      <c r="W91" s="12">
        <f t="shared" si="30"/>
        <v>-9.9146149613891481</v>
      </c>
      <c r="X91" s="12">
        <f t="shared" si="30"/>
        <v>-9.7059209390695642</v>
      </c>
      <c r="Y91" s="12">
        <f t="shared" si="30"/>
        <v>-14.831865811471101</v>
      </c>
      <c r="Z91" s="12">
        <f t="shared" si="30"/>
        <v>-12.336068747170252</v>
      </c>
      <c r="AA91" s="12">
        <f t="shared" si="30"/>
        <v>-12.83294865086364</v>
      </c>
      <c r="AB91" s="12">
        <f t="shared" si="30"/>
        <v>-13.332590682512038</v>
      </c>
      <c r="AC91" s="12">
        <f t="shared" si="30"/>
        <v>-13.913012415753688</v>
      </c>
      <c r="AD91" s="12">
        <f t="shared" si="30"/>
        <v>-14.333532914007531</v>
      </c>
      <c r="AE91" s="12">
        <f t="shared" si="30"/>
        <v>-14.829334347403726</v>
      </c>
      <c r="AF91" s="12">
        <f t="shared" si="30"/>
        <v>-15.317705951174286</v>
      </c>
      <c r="AG91" s="12">
        <f t="shared" si="30"/>
        <v>-15.874743441118124</v>
      </c>
      <c r="AH91" s="12">
        <f t="shared" si="30"/>
        <v>-16.225061583252753</v>
      </c>
      <c r="AI91" s="12">
        <f t="shared" si="30"/>
        <v>-16.648855438421251</v>
      </c>
      <c r="AJ91" s="12">
        <f t="shared" si="30"/>
        <v>-17.085816510571217</v>
      </c>
      <c r="AK91" s="12">
        <f t="shared" si="30"/>
        <v>-16.193461973717664</v>
      </c>
      <c r="AL91" s="12">
        <f t="shared" si="30"/>
        <v>-24.067532403575299</v>
      </c>
      <c r="AM91" s="12">
        <f t="shared" si="30"/>
        <v>0</v>
      </c>
    </row>
    <row r="92" spans="1:39" ht="6" customHeight="1" x14ac:dyDescent="0.25">
      <c r="E92" s="144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</row>
    <row r="93" spans="1:39" x14ac:dyDescent="0.25">
      <c r="A93" s="168" t="s">
        <v>77</v>
      </c>
      <c r="B93" s="168"/>
      <c r="E93" s="14"/>
    </row>
    <row r="94" spans="1:39" ht="6" customHeight="1" x14ac:dyDescent="0.25">
      <c r="E94" s="144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</row>
    <row r="95" spans="1:39" x14ac:dyDescent="0.25">
      <c r="A95" s="126">
        <f>MIN(A$1:A94)-1</f>
        <v>-35</v>
      </c>
      <c r="B95" s="126"/>
      <c r="C95" s="1" t="s">
        <v>102</v>
      </c>
      <c r="D95" s="126" t="str">
        <f>"("&amp;-$A90&amp;") / ("&amp;-$A$9&amp;")"</f>
        <v>(33) / (1)</v>
      </c>
      <c r="E95" s="146">
        <f>IF(E$9=0,0,E90/E$9*1000)</f>
        <v>-45.498266573573233</v>
      </c>
      <c r="F95" s="6"/>
      <c r="G95" s="6"/>
      <c r="H95" s="6">
        <f t="shared" ref="H95:AM96" si="31">IF(H$9=0,0,H90/H$9*1000)</f>
        <v>-23.312734207160087</v>
      </c>
      <c r="I95" s="6">
        <f t="shared" si="31"/>
        <v>-15.653780467975789</v>
      </c>
      <c r="J95" s="6">
        <f t="shared" si="31"/>
        <v>-28.119612254796589</v>
      </c>
      <c r="K95" s="6">
        <f t="shared" si="31"/>
        <v>-29.798214438970408</v>
      </c>
      <c r="L95" s="6">
        <f t="shared" si="31"/>
        <v>-33.757088086203062</v>
      </c>
      <c r="M95" s="6">
        <f t="shared" si="31"/>
        <v>-43.370523205375662</v>
      </c>
      <c r="N95" s="6">
        <f t="shared" si="31"/>
        <v>-52.96068141111671</v>
      </c>
      <c r="O95" s="6">
        <f t="shared" si="31"/>
        <v>-49.459184110452462</v>
      </c>
      <c r="P95" s="6">
        <f t="shared" si="31"/>
        <v>-58.957101066988336</v>
      </c>
      <c r="Q95" s="6">
        <f t="shared" si="31"/>
        <v>-58.741992306670014</v>
      </c>
      <c r="R95" s="6">
        <f t="shared" si="31"/>
        <v>-60.948076176414133</v>
      </c>
      <c r="S95" s="6">
        <f t="shared" si="31"/>
        <v>-30.083243277622991</v>
      </c>
      <c r="T95" s="6">
        <f t="shared" si="31"/>
        <v>-35.034409288432215</v>
      </c>
      <c r="U95" s="6">
        <f t="shared" si="31"/>
        <v>-40.499134100806749</v>
      </c>
      <c r="V95" s="6">
        <f t="shared" si="31"/>
        <v>-41.088286473390539</v>
      </c>
      <c r="W95" s="6">
        <f t="shared" si="31"/>
        <v>-49.926554815036042</v>
      </c>
      <c r="X95" s="6">
        <f t="shared" si="31"/>
        <v>-48.875644256685</v>
      </c>
      <c r="Y95" s="6">
        <f t="shared" si="31"/>
        <v>-74.408130860457817</v>
      </c>
      <c r="Z95" s="6">
        <f t="shared" si="31"/>
        <v>-48.51633493608076</v>
      </c>
      <c r="AA95" s="6">
        <f t="shared" si="31"/>
        <v>-50.725287115053263</v>
      </c>
      <c r="AB95" s="6">
        <f t="shared" si="31"/>
        <v>-52.94183076256212</v>
      </c>
      <c r="AC95" s="6">
        <f t="shared" si="31"/>
        <v>-55.296054774252674</v>
      </c>
      <c r="AD95" s="6">
        <f t="shared" si="31"/>
        <v>-57.363767557764341</v>
      </c>
      <c r="AE95" s="6">
        <f t="shared" si="31"/>
        <v>-59.541189673237</v>
      </c>
      <c r="AF95" s="6">
        <f t="shared" si="31"/>
        <v>-61.674317662304674</v>
      </c>
      <c r="AG95" s="6">
        <f t="shared" si="31"/>
        <v>-63.846517710007781</v>
      </c>
      <c r="AH95" s="6">
        <f t="shared" si="31"/>
        <v>-65.569925408955001</v>
      </c>
      <c r="AI95" s="6">
        <f t="shared" si="31"/>
        <v>-67.35631959681568</v>
      </c>
      <c r="AJ95" s="6">
        <f t="shared" si="31"/>
        <v>-69.201526714675325</v>
      </c>
      <c r="AK95" s="6">
        <f t="shared" si="31"/>
        <v>-69.046258509057452</v>
      </c>
      <c r="AL95" s="6">
        <f t="shared" si="31"/>
        <v>-193.13717061004286</v>
      </c>
      <c r="AM95" s="6">
        <f t="shared" si="31"/>
        <v>0</v>
      </c>
    </row>
    <row r="96" spans="1:39" x14ac:dyDescent="0.25">
      <c r="A96" s="126">
        <f>MIN(A$1:A95)-1</f>
        <v>-36</v>
      </c>
      <c r="B96" s="126"/>
      <c r="C96" s="1" t="s">
        <v>103</v>
      </c>
      <c r="D96" s="126" t="str">
        <f>"("&amp;-$A91&amp;") / ("&amp;-$A$9&amp;")"</f>
        <v>(34) / (1)</v>
      </c>
      <c r="E96" s="146">
        <f>IF(E$9=0,0,E91/E$9*1000)</f>
        <v>-48.650823523551729</v>
      </c>
      <c r="F96" s="6"/>
      <c r="G96" s="6"/>
      <c r="H96" s="6">
        <f t="shared" si="31"/>
        <v>-23.312734207160087</v>
      </c>
      <c r="I96" s="6">
        <f t="shared" si="31"/>
        <v>-15.653780467975789</v>
      </c>
      <c r="J96" s="6">
        <f t="shared" si="31"/>
        <v>-28.119612254796589</v>
      </c>
      <c r="K96" s="6">
        <f t="shared" si="31"/>
        <v>-29.798214438970408</v>
      </c>
      <c r="L96" s="6">
        <f t="shared" si="31"/>
        <v>-33.757088086203062</v>
      </c>
      <c r="M96" s="6">
        <f t="shared" si="31"/>
        <v>-43.370523205375662</v>
      </c>
      <c r="N96" s="6">
        <f t="shared" si="31"/>
        <v>-52.96068141111671</v>
      </c>
      <c r="O96" s="6">
        <f t="shared" si="31"/>
        <v>-49.459184110452462</v>
      </c>
      <c r="P96" s="6">
        <f t="shared" si="31"/>
        <v>-58.957101066988336</v>
      </c>
      <c r="Q96" s="6">
        <f t="shared" si="31"/>
        <v>-58.741992306670014</v>
      </c>
      <c r="R96" s="6">
        <f t="shared" si="31"/>
        <v>-60.948076176414133</v>
      </c>
      <c r="S96" s="6">
        <f t="shared" si="31"/>
        <v>-30.083243277622991</v>
      </c>
      <c r="T96" s="6">
        <f t="shared" si="31"/>
        <v>-35.034409288432215</v>
      </c>
      <c r="U96" s="6">
        <f t="shared" si="31"/>
        <v>-40.499134100806749</v>
      </c>
      <c r="V96" s="6">
        <f t="shared" si="31"/>
        <v>-41.088286473390539</v>
      </c>
      <c r="W96" s="6">
        <f t="shared" si="31"/>
        <v>-49.926554815036042</v>
      </c>
      <c r="X96" s="6">
        <f t="shared" si="31"/>
        <v>-48.875644256685</v>
      </c>
      <c r="Y96" s="6">
        <f t="shared" si="31"/>
        <v>-74.408130860457817</v>
      </c>
      <c r="Z96" s="6">
        <f t="shared" si="31"/>
        <v>-62.120154429209883</v>
      </c>
      <c r="AA96" s="6">
        <f t="shared" si="31"/>
        <v>-64.62226891825928</v>
      </c>
      <c r="AB96" s="6">
        <f t="shared" si="31"/>
        <v>-67.138292523627271</v>
      </c>
      <c r="AC96" s="6">
        <f t="shared" si="31"/>
        <v>-69.798450286268746</v>
      </c>
      <c r="AD96" s="6">
        <f t="shared" si="31"/>
        <v>-72.178689693064328</v>
      </c>
      <c r="AE96" s="6">
        <f t="shared" si="31"/>
        <v>-74.675373380552713</v>
      </c>
      <c r="AF96" s="6">
        <f t="shared" si="31"/>
        <v>-77.134643028513068</v>
      </c>
      <c r="AG96" s="6">
        <f t="shared" si="31"/>
        <v>-79.64001308785798</v>
      </c>
      <c r="AH96" s="6">
        <f t="shared" si="31"/>
        <v>-81.703770612197886</v>
      </c>
      <c r="AI96" s="6">
        <f t="shared" si="31"/>
        <v>-83.837849164188455</v>
      </c>
      <c r="AJ96" s="6">
        <f t="shared" si="31"/>
        <v>-86.038233244224941</v>
      </c>
      <c r="AK96" s="6">
        <f t="shared" si="31"/>
        <v>-86.245796064318867</v>
      </c>
      <c r="AL96" s="6">
        <f t="shared" si="31"/>
        <v>-210.70735819962019</v>
      </c>
      <c r="AM96" s="6">
        <f t="shared" si="31"/>
        <v>0</v>
      </c>
    </row>
    <row r="98" spans="1:39" ht="15.75" x14ac:dyDescent="0.25">
      <c r="A98" s="133" t="s">
        <v>125</v>
      </c>
      <c r="B98" s="132"/>
      <c r="C98" s="129"/>
      <c r="E98" s="141" t="s">
        <v>6</v>
      </c>
      <c r="F98" s="141">
        <f t="shared" ref="F98:G98" si="32">F$7</f>
        <v>2021</v>
      </c>
      <c r="G98" s="141">
        <f t="shared" si="32"/>
        <v>2022</v>
      </c>
      <c r="H98" s="141">
        <f>H$7</f>
        <v>2023</v>
      </c>
      <c r="I98" s="141">
        <f t="shared" ref="I98:AM98" si="33">I$7</f>
        <v>2024</v>
      </c>
      <c r="J98" s="141">
        <f t="shared" si="33"/>
        <v>2025</v>
      </c>
      <c r="K98" s="141">
        <f t="shared" si="33"/>
        <v>2026</v>
      </c>
      <c r="L98" s="141">
        <f t="shared" si="33"/>
        <v>2027</v>
      </c>
      <c r="M98" s="141">
        <f t="shared" si="33"/>
        <v>2028</v>
      </c>
      <c r="N98" s="141">
        <f t="shared" si="33"/>
        <v>2029</v>
      </c>
      <c r="O98" s="141">
        <f t="shared" si="33"/>
        <v>2030</v>
      </c>
      <c r="P98" s="141">
        <f t="shared" si="33"/>
        <v>2031</v>
      </c>
      <c r="Q98" s="141">
        <f t="shared" si="33"/>
        <v>2032</v>
      </c>
      <c r="R98" s="141">
        <f t="shared" si="33"/>
        <v>2033</v>
      </c>
      <c r="S98" s="141">
        <f t="shared" si="33"/>
        <v>2034</v>
      </c>
      <c r="T98" s="141">
        <f t="shared" si="33"/>
        <v>2035</v>
      </c>
      <c r="U98" s="141">
        <f t="shared" si="33"/>
        <v>2036</v>
      </c>
      <c r="V98" s="141">
        <f t="shared" si="33"/>
        <v>2037</v>
      </c>
      <c r="W98" s="141">
        <f t="shared" si="33"/>
        <v>2038</v>
      </c>
      <c r="X98" s="141">
        <f t="shared" si="33"/>
        <v>2039</v>
      </c>
      <c r="Y98" s="141">
        <f t="shared" si="33"/>
        <v>2040</v>
      </c>
      <c r="Z98" s="141">
        <f t="shared" si="33"/>
        <v>2041</v>
      </c>
      <c r="AA98" s="141">
        <f t="shared" si="33"/>
        <v>2042</v>
      </c>
      <c r="AB98" s="141">
        <f t="shared" si="33"/>
        <v>2043</v>
      </c>
      <c r="AC98" s="141">
        <f t="shared" si="33"/>
        <v>2044</v>
      </c>
      <c r="AD98" s="141">
        <f t="shared" si="33"/>
        <v>2045</v>
      </c>
      <c r="AE98" s="141">
        <f t="shared" si="33"/>
        <v>2046</v>
      </c>
      <c r="AF98" s="141">
        <f t="shared" si="33"/>
        <v>2047</v>
      </c>
      <c r="AG98" s="141">
        <f t="shared" si="33"/>
        <v>2048</v>
      </c>
      <c r="AH98" s="141">
        <f t="shared" si="33"/>
        <v>2049</v>
      </c>
      <c r="AI98" s="141">
        <f t="shared" si="33"/>
        <v>2050</v>
      </c>
      <c r="AJ98" s="141">
        <f t="shared" si="33"/>
        <v>2051</v>
      </c>
      <c r="AK98" s="141">
        <f t="shared" si="33"/>
        <v>2052</v>
      </c>
      <c r="AL98" s="141">
        <f t="shared" si="33"/>
        <v>2053</v>
      </c>
      <c r="AM98" s="141">
        <f t="shared" si="33"/>
        <v>2054</v>
      </c>
    </row>
    <row r="99" spans="1:39" ht="6" customHeight="1" x14ac:dyDescent="0.25"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</row>
    <row r="100" spans="1:39" x14ac:dyDescent="0.25">
      <c r="A100" s="126">
        <f>MIN(A$1:A99)-1</f>
        <v>-37</v>
      </c>
      <c r="B100" s="126"/>
      <c r="C100" s="1" t="s">
        <v>94</v>
      </c>
      <c r="F100" s="6">
        <v>0</v>
      </c>
      <c r="G100" s="6">
        <v>0</v>
      </c>
      <c r="H100" s="172">
        <v>-92.652190370248761</v>
      </c>
      <c r="I100" s="172">
        <v>-92.652190370248761</v>
      </c>
      <c r="J100" s="172">
        <v>-72.736506857670179</v>
      </c>
      <c r="K100" s="172">
        <v>-96.359765372148146</v>
      </c>
      <c r="L100" s="172">
        <v>-105.94121110707692</v>
      </c>
      <c r="M100" s="172">
        <v>-71.490783909240861</v>
      </c>
      <c r="N100" s="172">
        <v>-94.808246602538418</v>
      </c>
      <c r="O100" s="172">
        <v>-91.383387661214812</v>
      </c>
      <c r="P100" s="172">
        <v>-90.523987851743414</v>
      </c>
      <c r="Q100" s="172">
        <v>-99.676264427896626</v>
      </c>
      <c r="R100" s="172">
        <v>-100.48167172134644</v>
      </c>
      <c r="S100" s="172">
        <v>-88.465417462105023</v>
      </c>
      <c r="T100" s="172">
        <v>-102.70785721854926</v>
      </c>
      <c r="U100" s="172">
        <v>-119.54289338731469</v>
      </c>
      <c r="V100" s="172">
        <v>-98.598591433863817</v>
      </c>
      <c r="W100" s="172">
        <v>-94.949852423047005</v>
      </c>
      <c r="X100" s="172">
        <v>-99.689740184438818</v>
      </c>
      <c r="Y100" s="173">
        <f>X100</f>
        <v>-99.689740184438818</v>
      </c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1:39" ht="6" customHeight="1" x14ac:dyDescent="0.25"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</row>
    <row r="102" spans="1:39" x14ac:dyDescent="0.25">
      <c r="A102" s="126">
        <f>MIN(A$1:A101)-1</f>
        <v>-38</v>
      </c>
      <c r="B102" s="126"/>
      <c r="C102" s="131" t="s">
        <v>13</v>
      </c>
      <c r="J102" s="6"/>
      <c r="P102" s="6"/>
      <c r="Q102" s="6">
        <f>-PMT($D$4,COUNT(Q100:$Y100),NPV($D$2,Q100:$Y100))*(1+$D$3)</f>
        <v>-92.878602423961638</v>
      </c>
      <c r="R102" s="6">
        <f t="shared" ref="R102" si="34">Q102*(1+$D$3)</f>
        <v>-94.880136306198011</v>
      </c>
      <c r="S102" s="6">
        <f t="shared" ref="S102" si="35">R102*(1+$D$3)</f>
        <v>-96.924803243596571</v>
      </c>
      <c r="T102" s="6">
        <f t="shared" ref="T102" si="36">S102*(1+$D$3)</f>
        <v>-99.013532753496079</v>
      </c>
      <c r="U102" s="6">
        <f t="shared" ref="U102" si="37">T102*(1+$D$3)</f>
        <v>-101.14727438433391</v>
      </c>
      <c r="V102" s="6">
        <f t="shared" ref="V102" si="38">U102*(1+$D$3)</f>
        <v>-103.3269981473163</v>
      </c>
      <c r="W102" s="6">
        <f t="shared" ref="W102" si="39">V102*(1+$D$3)</f>
        <v>-105.55369495739096</v>
      </c>
      <c r="X102" s="6">
        <f t="shared" ref="X102:X103" si="40">W102*(1+$D$3)</f>
        <v>-107.82837708372273</v>
      </c>
      <c r="Y102" s="6">
        <f t="shared" ref="Y102:Y103" si="41">X102*(1+$D$3)</f>
        <v>-110.15207860987695</v>
      </c>
      <c r="Z102" s="6">
        <f t="shared" ref="Z102:Z103" si="42">Y102*(1+$D$3)</f>
        <v>-112.52585590391979</v>
      </c>
      <c r="AA102" s="6">
        <f t="shared" ref="AA102:AA103" si="43">Z102*(1+$D$3)</f>
        <v>-114.95078809864926</v>
      </c>
      <c r="AB102" s="6">
        <f t="shared" ref="AB102:AB103" si="44">AA102*(1+$D$3)</f>
        <v>-117.42797758217515</v>
      </c>
      <c r="AC102" s="6">
        <f t="shared" ref="AC102:AC103" si="45">AB102*(1+$D$3)</f>
        <v>-119.95855049907101</v>
      </c>
      <c r="AD102" s="6">
        <f t="shared" ref="AD102:AD103" si="46">AC102*(1+$D$3)</f>
        <v>-122.54365726232598</v>
      </c>
      <c r="AE102" s="6">
        <f t="shared" ref="AE102:AE103" si="47">AD102*(1+$D$3)</f>
        <v>-125.1844730763291</v>
      </c>
      <c r="AF102" s="6">
        <f t="shared" ref="AF102:AF103" si="48">AE102*(1+$D$3)</f>
        <v>-127.88219847112398</v>
      </c>
      <c r="AG102" s="6">
        <f t="shared" ref="AG102:AG103" si="49">AF102*(1+$D$3)</f>
        <v>-130.63805984817671</v>
      </c>
      <c r="AH102" s="6">
        <f t="shared" ref="AH102:AH103" si="50">AG102*(1+$D$3)</f>
        <v>-133.45331003790491</v>
      </c>
      <c r="AI102" s="6">
        <f t="shared" ref="AI102:AI103" si="51">AH102*(1+$D$3)</f>
        <v>-136.32922886922177</v>
      </c>
      <c r="AJ102" s="6">
        <f t="shared" ref="AJ102:AJ103" si="52">AI102*(1+$D$3)</f>
        <v>-139.26712375135349</v>
      </c>
      <c r="AK102" s="6">
        <f t="shared" ref="AK102:AK103" si="53">AJ102*(1+$D$3)</f>
        <v>-142.26833026819514</v>
      </c>
      <c r="AL102" s="6">
        <f t="shared" ref="AL102:AL103" si="54">AK102*(1+$D$3)</f>
        <v>-145.33421278547473</v>
      </c>
      <c r="AM102" s="6">
        <f t="shared" ref="AM102:AM103" si="55">AL102*(1+$D$3)</f>
        <v>-148.46616507100171</v>
      </c>
    </row>
    <row r="103" spans="1:39" x14ac:dyDescent="0.25">
      <c r="A103" s="126">
        <f>MIN(A$1:A102)-1</f>
        <v>-39</v>
      </c>
      <c r="B103" s="126"/>
      <c r="C103" s="131" t="s">
        <v>14</v>
      </c>
      <c r="W103" s="6">
        <f>-PMT($D$4,COUNT(W100:$Y100),NPV($D$2,W100:$Y100))*(1+$D$3)</f>
        <v>-96.012325515991748</v>
      </c>
      <c r="X103" s="6">
        <f t="shared" si="40"/>
        <v>-98.081391130861363</v>
      </c>
      <c r="Y103" s="6">
        <f t="shared" si="41"/>
        <v>-100.19504510973142</v>
      </c>
      <c r="Z103" s="6">
        <f t="shared" si="42"/>
        <v>-102.35424833184614</v>
      </c>
      <c r="AA103" s="6">
        <f t="shared" si="43"/>
        <v>-104.55998238339741</v>
      </c>
      <c r="AB103" s="6">
        <f t="shared" si="44"/>
        <v>-106.81325000375962</v>
      </c>
      <c r="AC103" s="6">
        <f t="shared" si="45"/>
        <v>-109.11507554134063</v>
      </c>
      <c r="AD103" s="6">
        <f t="shared" si="46"/>
        <v>-111.46650541925652</v>
      </c>
      <c r="AE103" s="6">
        <f t="shared" si="47"/>
        <v>-113.86860861104149</v>
      </c>
      <c r="AF103" s="6">
        <f t="shared" si="48"/>
        <v>-116.32247712660943</v>
      </c>
      <c r="AG103" s="6">
        <f t="shared" si="49"/>
        <v>-118.82922650868785</v>
      </c>
      <c r="AH103" s="6">
        <f t="shared" si="50"/>
        <v>-121.38999633995007</v>
      </c>
      <c r="AI103" s="6">
        <f t="shared" si="51"/>
        <v>-124.00595076107599</v>
      </c>
      <c r="AJ103" s="6">
        <f t="shared" si="52"/>
        <v>-126.67827899997718</v>
      </c>
      <c r="AK103" s="6">
        <f t="shared" si="53"/>
        <v>-129.40819591242669</v>
      </c>
      <c r="AL103" s="6">
        <f t="shared" si="54"/>
        <v>-132.19694253433948</v>
      </c>
      <c r="AM103" s="6">
        <f t="shared" si="55"/>
        <v>-135.04578664595451</v>
      </c>
    </row>
    <row r="104" spans="1:39" ht="6" customHeight="1" x14ac:dyDescent="0.25"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</row>
    <row r="105" spans="1:39" x14ac:dyDescent="0.25">
      <c r="A105" s="126">
        <f>MIN(A$1:A104)-1</f>
        <v>-40</v>
      </c>
      <c r="B105" s="126"/>
      <c r="C105" s="1" t="s">
        <v>84</v>
      </c>
      <c r="E105" s="6">
        <f>$E110/$E$9*1000</f>
        <v>-100.20403623759238</v>
      </c>
      <c r="F105" s="6">
        <f>IF(F$7&lt;=$Y$7,F100,F102)</f>
        <v>0</v>
      </c>
      <c r="G105" s="6">
        <f t="shared" ref="G105:AM105" si="56">IF(G$7&lt;=$Y$7,G100,G102)</f>
        <v>0</v>
      </c>
      <c r="H105" s="6">
        <f t="shared" si="56"/>
        <v>-92.652190370248761</v>
      </c>
      <c r="I105" s="6">
        <f t="shared" si="56"/>
        <v>-92.652190370248761</v>
      </c>
      <c r="J105" s="6">
        <f t="shared" si="56"/>
        <v>-72.736506857670179</v>
      </c>
      <c r="K105" s="6">
        <f t="shared" si="56"/>
        <v>-96.359765372148146</v>
      </c>
      <c r="L105" s="6">
        <f t="shared" si="56"/>
        <v>-105.94121110707692</v>
      </c>
      <c r="M105" s="6">
        <f t="shared" si="56"/>
        <v>-71.490783909240861</v>
      </c>
      <c r="N105" s="6">
        <f t="shared" si="56"/>
        <v>-94.808246602538418</v>
      </c>
      <c r="O105" s="6">
        <f t="shared" si="56"/>
        <v>-91.383387661214812</v>
      </c>
      <c r="P105" s="6">
        <f t="shared" si="56"/>
        <v>-90.523987851743414</v>
      </c>
      <c r="Q105" s="6">
        <f t="shared" si="56"/>
        <v>-99.676264427896626</v>
      </c>
      <c r="R105" s="6">
        <f t="shared" si="56"/>
        <v>-100.48167172134644</v>
      </c>
      <c r="S105" s="6">
        <f t="shared" si="56"/>
        <v>-88.465417462105023</v>
      </c>
      <c r="T105" s="6">
        <f t="shared" si="56"/>
        <v>-102.70785721854926</v>
      </c>
      <c r="U105" s="6">
        <f t="shared" si="56"/>
        <v>-119.54289338731469</v>
      </c>
      <c r="V105" s="6">
        <f t="shared" si="56"/>
        <v>-98.598591433863817</v>
      </c>
      <c r="W105" s="6">
        <f t="shared" si="56"/>
        <v>-94.949852423047005</v>
      </c>
      <c r="X105" s="6">
        <f t="shared" si="56"/>
        <v>-99.689740184438818</v>
      </c>
      <c r="Y105" s="6">
        <f t="shared" si="56"/>
        <v>-99.689740184438818</v>
      </c>
      <c r="Z105" s="6">
        <f t="shared" si="56"/>
        <v>-112.52585590391979</v>
      </c>
      <c r="AA105" s="6">
        <f t="shared" si="56"/>
        <v>-114.95078809864926</v>
      </c>
      <c r="AB105" s="6">
        <f t="shared" si="56"/>
        <v>-117.42797758217515</v>
      </c>
      <c r="AC105" s="6">
        <f t="shared" si="56"/>
        <v>-119.95855049907101</v>
      </c>
      <c r="AD105" s="6">
        <f t="shared" si="56"/>
        <v>-122.54365726232598</v>
      </c>
      <c r="AE105" s="6">
        <f t="shared" si="56"/>
        <v>-125.1844730763291</v>
      </c>
      <c r="AF105" s="6">
        <f t="shared" si="56"/>
        <v>-127.88219847112398</v>
      </c>
      <c r="AG105" s="6">
        <f t="shared" si="56"/>
        <v>-130.63805984817671</v>
      </c>
      <c r="AH105" s="6">
        <f t="shared" si="56"/>
        <v>-133.45331003790491</v>
      </c>
      <c r="AI105" s="6">
        <f t="shared" si="56"/>
        <v>-136.32922886922177</v>
      </c>
      <c r="AJ105" s="6">
        <f t="shared" si="56"/>
        <v>-139.26712375135349</v>
      </c>
      <c r="AK105" s="6">
        <f t="shared" si="56"/>
        <v>-142.26833026819514</v>
      </c>
      <c r="AL105" s="6">
        <f t="shared" si="56"/>
        <v>-145.33421278547473</v>
      </c>
      <c r="AM105" s="6">
        <f t="shared" si="56"/>
        <v>-148.46616507100171</v>
      </c>
    </row>
    <row r="106" spans="1:39" x14ac:dyDescent="0.25">
      <c r="A106" s="126">
        <f>MIN(A$1:A105)-1</f>
        <v>-41</v>
      </c>
      <c r="B106" s="126"/>
      <c r="C106" s="1" t="s">
        <v>85</v>
      </c>
      <c r="E106" s="6">
        <f>$E111/$E$9*1000</f>
        <v>-97.846862051328685</v>
      </c>
      <c r="F106" s="6">
        <f>IF(F$7&lt;=$Y$7,F100,F103)</f>
        <v>0</v>
      </c>
      <c r="G106" s="6">
        <f t="shared" ref="G106:AM106" si="57">IF(G$7&lt;=$Y$7,G100,G103)</f>
        <v>0</v>
      </c>
      <c r="H106" s="6">
        <f t="shared" si="57"/>
        <v>-92.652190370248761</v>
      </c>
      <c r="I106" s="6">
        <f t="shared" si="57"/>
        <v>-92.652190370248761</v>
      </c>
      <c r="J106" s="6">
        <f t="shared" si="57"/>
        <v>-72.736506857670179</v>
      </c>
      <c r="K106" s="6">
        <f t="shared" si="57"/>
        <v>-96.359765372148146</v>
      </c>
      <c r="L106" s="6">
        <f t="shared" si="57"/>
        <v>-105.94121110707692</v>
      </c>
      <c r="M106" s="6">
        <f t="shared" si="57"/>
        <v>-71.490783909240861</v>
      </c>
      <c r="N106" s="6">
        <f t="shared" si="57"/>
        <v>-94.808246602538418</v>
      </c>
      <c r="O106" s="6">
        <f t="shared" si="57"/>
        <v>-91.383387661214812</v>
      </c>
      <c r="P106" s="6">
        <f t="shared" si="57"/>
        <v>-90.523987851743414</v>
      </c>
      <c r="Q106" s="6">
        <f t="shared" si="57"/>
        <v>-99.676264427896626</v>
      </c>
      <c r="R106" s="6">
        <f t="shared" si="57"/>
        <v>-100.48167172134644</v>
      </c>
      <c r="S106" s="6">
        <f t="shared" si="57"/>
        <v>-88.465417462105023</v>
      </c>
      <c r="T106" s="6">
        <f t="shared" si="57"/>
        <v>-102.70785721854926</v>
      </c>
      <c r="U106" s="6">
        <f t="shared" si="57"/>
        <v>-119.54289338731469</v>
      </c>
      <c r="V106" s="6">
        <f t="shared" si="57"/>
        <v>-98.598591433863817</v>
      </c>
      <c r="W106" s="6">
        <f t="shared" si="57"/>
        <v>-94.949852423047005</v>
      </c>
      <c r="X106" s="6">
        <f t="shared" si="57"/>
        <v>-99.689740184438818</v>
      </c>
      <c r="Y106" s="6">
        <f t="shared" si="57"/>
        <v>-99.689740184438818</v>
      </c>
      <c r="Z106" s="6">
        <f t="shared" si="57"/>
        <v>-102.35424833184614</v>
      </c>
      <c r="AA106" s="6">
        <f t="shared" si="57"/>
        <v>-104.55998238339741</v>
      </c>
      <c r="AB106" s="6">
        <f t="shared" si="57"/>
        <v>-106.81325000375962</v>
      </c>
      <c r="AC106" s="6">
        <f t="shared" si="57"/>
        <v>-109.11507554134063</v>
      </c>
      <c r="AD106" s="6">
        <f t="shared" si="57"/>
        <v>-111.46650541925652</v>
      </c>
      <c r="AE106" s="6">
        <f t="shared" si="57"/>
        <v>-113.86860861104149</v>
      </c>
      <c r="AF106" s="6">
        <f t="shared" si="57"/>
        <v>-116.32247712660943</v>
      </c>
      <c r="AG106" s="6">
        <f t="shared" si="57"/>
        <v>-118.82922650868785</v>
      </c>
      <c r="AH106" s="6">
        <f t="shared" si="57"/>
        <v>-121.38999633995007</v>
      </c>
      <c r="AI106" s="6">
        <f t="shared" si="57"/>
        <v>-124.00595076107599</v>
      </c>
      <c r="AJ106" s="6">
        <f t="shared" si="57"/>
        <v>-126.67827899997718</v>
      </c>
      <c r="AK106" s="6">
        <f t="shared" si="57"/>
        <v>-129.40819591242669</v>
      </c>
      <c r="AL106" s="6">
        <f t="shared" si="57"/>
        <v>-132.19694253433948</v>
      </c>
      <c r="AM106" s="6">
        <f t="shared" si="57"/>
        <v>-135.04578664595451</v>
      </c>
    </row>
    <row r="107" spans="1:39" x14ac:dyDescent="0.25">
      <c r="E107" s="4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</row>
    <row r="108" spans="1:39" x14ac:dyDescent="0.25">
      <c r="A108" s="14" t="s">
        <v>80</v>
      </c>
      <c r="B108" s="14"/>
      <c r="E108" s="4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</row>
    <row r="109" spans="1:39" ht="6" customHeight="1" x14ac:dyDescent="0.25"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</row>
    <row r="110" spans="1:39" x14ac:dyDescent="0.25">
      <c r="A110" s="126">
        <f>MIN(A$1:A108)-1</f>
        <v>-42</v>
      </c>
      <c r="B110" s="126"/>
      <c r="C110" s="1" t="s">
        <v>15</v>
      </c>
      <c r="D110" s="126" t="str">
        <f>"("&amp;-$A$9&amp;") X ("&amp;-$A105&amp;")"</f>
        <v>(1) X (40)</v>
      </c>
      <c r="E110" s="12">
        <f>NPV($D$2,F110:AM110)*(1+$D$2)^0.5</f>
        <v>-214.66814811144195</v>
      </c>
      <c r="F110" s="12">
        <f t="shared" ref="F110:AM110" si="58">F$9*F105/1000</f>
        <v>0</v>
      </c>
      <c r="G110" s="12">
        <f t="shared" si="58"/>
        <v>0</v>
      </c>
      <c r="H110" s="12">
        <f t="shared" si="58"/>
        <v>-4.2886162640259142</v>
      </c>
      <c r="I110" s="12">
        <f t="shared" si="58"/>
        <v>-18.468477017485306</v>
      </c>
      <c r="J110" s="12">
        <f t="shared" si="58"/>
        <v>-14.444306477823618</v>
      </c>
      <c r="K110" s="12">
        <f t="shared" si="58"/>
        <v>-19.135507646662724</v>
      </c>
      <c r="L110" s="12">
        <f t="shared" si="58"/>
        <v>-21.038229466487827</v>
      </c>
      <c r="M110" s="12">
        <f t="shared" si="58"/>
        <v>-14.250347393986585</v>
      </c>
      <c r="N110" s="12">
        <f t="shared" si="58"/>
        <v>-18.827400843318543</v>
      </c>
      <c r="O110" s="12">
        <f t="shared" si="58"/>
        <v>-18.147278655314739</v>
      </c>
      <c r="P110" s="12">
        <f t="shared" si="58"/>
        <v>-17.97661560355067</v>
      </c>
      <c r="Q110" s="12">
        <f t="shared" si="58"/>
        <v>-19.868594486747426</v>
      </c>
      <c r="R110" s="12">
        <f t="shared" si="58"/>
        <v>-19.954052297111922</v>
      </c>
      <c r="S110" s="12">
        <f t="shared" si="58"/>
        <v>-17.567816461294719</v>
      </c>
      <c r="T110" s="12">
        <f t="shared" si="58"/>
        <v>-20.396137117888447</v>
      </c>
      <c r="U110" s="12">
        <f t="shared" si="58"/>
        <v>-23.828634491044362</v>
      </c>
      <c r="V110" s="12">
        <f t="shared" si="58"/>
        <v>-19.580102681302474</v>
      </c>
      <c r="W110" s="12">
        <f t="shared" si="58"/>
        <v>-18.855521493578426</v>
      </c>
      <c r="X110" s="12">
        <f t="shared" si="58"/>
        <v>-19.79678736478666</v>
      </c>
      <c r="Y110" s="12">
        <f t="shared" si="58"/>
        <v>-19.871280626157599</v>
      </c>
      <c r="Z110" s="12">
        <f t="shared" si="58"/>
        <v>-22.345834568824078</v>
      </c>
      <c r="AA110" s="12">
        <f t="shared" si="58"/>
        <v>-22.827387303782235</v>
      </c>
      <c r="AB110" s="12">
        <f t="shared" si="58"/>
        <v>-23.319317500178737</v>
      </c>
      <c r="AC110" s="12">
        <f t="shared" si="58"/>
        <v>-23.911487943131672</v>
      </c>
      <c r="AD110" s="12">
        <f t="shared" si="58"/>
        <v>-24.335209633781815</v>
      </c>
      <c r="AE110" s="12">
        <f t="shared" si="58"/>
        <v>-24.859633401389811</v>
      </c>
      <c r="AF110" s="12">
        <f t="shared" si="58"/>
        <v>-25.395358501189762</v>
      </c>
      <c r="AG110" s="12">
        <f t="shared" si="58"/>
        <v>-26.040247902111673</v>
      </c>
      <c r="AH110" s="12">
        <f t="shared" si="58"/>
        <v>-26.501692120567391</v>
      </c>
      <c r="AI110" s="12">
        <f t="shared" si="58"/>
        <v>-27.07280358576562</v>
      </c>
      <c r="AJ110" s="12">
        <f t="shared" si="58"/>
        <v>-27.656222503038865</v>
      </c>
      <c r="AK110" s="12">
        <f t="shared" si="58"/>
        <v>-26.712221364902515</v>
      </c>
      <c r="AL110" s="12">
        <f t="shared" si="58"/>
        <v>-16.600444832347701</v>
      </c>
      <c r="AM110" s="12">
        <f t="shared" si="58"/>
        <v>0</v>
      </c>
    </row>
    <row r="111" spans="1:39" x14ac:dyDescent="0.25">
      <c r="A111" s="126">
        <f>MIN(A$1:A110)-1</f>
        <v>-43</v>
      </c>
      <c r="B111" s="126"/>
      <c r="C111" s="1" t="s">
        <v>16</v>
      </c>
      <c r="D111" s="126" t="str">
        <f>"("&amp;-$A$9&amp;") X ("&amp;-$A106&amp;")"</f>
        <v>(1) X (41)</v>
      </c>
      <c r="E111" s="12">
        <f>NPV($D$2,F111:AM111)*(1+$D$2)^0.5</f>
        <v>-209.61834935741246</v>
      </c>
      <c r="F111" s="12">
        <f t="shared" ref="F111:AM111" si="59">F$9*F106/1000</f>
        <v>0</v>
      </c>
      <c r="G111" s="12">
        <f t="shared" si="59"/>
        <v>0</v>
      </c>
      <c r="H111" s="12">
        <f t="shared" si="59"/>
        <v>-4.2886162640259142</v>
      </c>
      <c r="I111" s="12">
        <f t="shared" si="59"/>
        <v>-18.468477017485306</v>
      </c>
      <c r="J111" s="12">
        <f t="shared" si="59"/>
        <v>-14.444306477823618</v>
      </c>
      <c r="K111" s="12">
        <f t="shared" si="59"/>
        <v>-19.135507646662724</v>
      </c>
      <c r="L111" s="12">
        <f t="shared" si="59"/>
        <v>-21.038229466487827</v>
      </c>
      <c r="M111" s="12">
        <f t="shared" si="59"/>
        <v>-14.250347393986585</v>
      </c>
      <c r="N111" s="12">
        <f t="shared" si="59"/>
        <v>-18.827400843318543</v>
      </c>
      <c r="O111" s="12">
        <f t="shared" si="59"/>
        <v>-18.147278655314739</v>
      </c>
      <c r="P111" s="12">
        <f t="shared" si="59"/>
        <v>-17.97661560355067</v>
      </c>
      <c r="Q111" s="12">
        <f t="shared" si="59"/>
        <v>-19.868594486747426</v>
      </c>
      <c r="R111" s="12">
        <f t="shared" si="59"/>
        <v>-19.954052297111922</v>
      </c>
      <c r="S111" s="12">
        <f t="shared" si="59"/>
        <v>-17.567816461294719</v>
      </c>
      <c r="T111" s="12">
        <f t="shared" si="59"/>
        <v>-20.396137117888447</v>
      </c>
      <c r="U111" s="12">
        <f t="shared" si="59"/>
        <v>-23.828634491044362</v>
      </c>
      <c r="V111" s="12">
        <f t="shared" si="59"/>
        <v>-19.580102681302474</v>
      </c>
      <c r="W111" s="12">
        <f t="shared" si="59"/>
        <v>-18.855521493578426</v>
      </c>
      <c r="X111" s="12">
        <f t="shared" si="59"/>
        <v>-19.79678736478666</v>
      </c>
      <c r="Y111" s="12">
        <f t="shared" si="59"/>
        <v>-19.871280626157599</v>
      </c>
      <c r="Z111" s="12">
        <f t="shared" si="59"/>
        <v>-20.325916050731394</v>
      </c>
      <c r="AA111" s="12">
        <f t="shared" si="59"/>
        <v>-20.763939541624655</v>
      </c>
      <c r="AB111" s="12">
        <f t="shared" si="59"/>
        <v>-21.211402438746664</v>
      </c>
      <c r="AC111" s="12">
        <f t="shared" si="59"/>
        <v>-21.750044514258061</v>
      </c>
      <c r="AD111" s="12">
        <f t="shared" si="59"/>
        <v>-22.135464512177702</v>
      </c>
      <c r="AE111" s="12">
        <f t="shared" si="59"/>
        <v>-22.612483772415132</v>
      </c>
      <c r="AF111" s="12">
        <f t="shared" si="59"/>
        <v>-23.099782797710674</v>
      </c>
      <c r="AG111" s="12">
        <f t="shared" si="59"/>
        <v>-23.686378379306582</v>
      </c>
      <c r="AH111" s="12">
        <f t="shared" si="59"/>
        <v>-24.106111033172716</v>
      </c>
      <c r="AI111" s="12">
        <f t="shared" si="59"/>
        <v>-24.625597725937592</v>
      </c>
      <c r="AJ111" s="12">
        <f t="shared" si="59"/>
        <v>-25.156279356931545</v>
      </c>
      <c r="AK111" s="12">
        <f t="shared" si="59"/>
        <v>-24.297609799235808</v>
      </c>
      <c r="AL111" s="12">
        <f t="shared" si="59"/>
        <v>-15.099872283931148</v>
      </c>
      <c r="AM111" s="12">
        <f t="shared" si="59"/>
        <v>0</v>
      </c>
    </row>
    <row r="112" spans="1:39" ht="6" customHeight="1" x14ac:dyDescent="0.25"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</row>
    <row r="113" spans="1:39" x14ac:dyDescent="0.25">
      <c r="A113" s="168" t="s">
        <v>76</v>
      </c>
      <c r="B113" s="168"/>
    </row>
    <row r="114" spans="1:39" ht="6" customHeight="1" x14ac:dyDescent="0.25"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</row>
    <row r="115" spans="1:39" x14ac:dyDescent="0.25">
      <c r="A115" s="126">
        <f>MIN(A$1:A114)-1</f>
        <v>-44</v>
      </c>
      <c r="B115" s="126"/>
      <c r="C115" s="1" t="s">
        <v>15</v>
      </c>
      <c r="D115" s="126" t="str">
        <f>"("&amp;-$A$18&amp;") + ("&amp;-$A110&amp;")"</f>
        <v>(2) + (42)</v>
      </c>
      <c r="E115" s="144">
        <f>NPV($D$2,F115:AM115)*(1+$D$2)^0.5</f>
        <v>-171.23648633481068</v>
      </c>
      <c r="F115" s="12">
        <f t="shared" ref="F115:AM115" si="60">F$18+F110</f>
        <v>0</v>
      </c>
      <c r="G115" s="12">
        <f t="shared" si="60"/>
        <v>0</v>
      </c>
      <c r="H115" s="12">
        <f t="shared" si="60"/>
        <v>-3.8823296984219695</v>
      </c>
      <c r="I115" s="12">
        <f t="shared" si="60"/>
        <v>-15.192177621516697</v>
      </c>
      <c r="J115" s="12">
        <f t="shared" si="60"/>
        <v>-11.638366161033462</v>
      </c>
      <c r="K115" s="12">
        <f t="shared" si="60"/>
        <v>-16.962883846378631</v>
      </c>
      <c r="L115" s="12">
        <f t="shared" si="60"/>
        <v>-19.271664982122019</v>
      </c>
      <c r="M115" s="12">
        <f t="shared" si="60"/>
        <v>-12.806783009471463</v>
      </c>
      <c r="N115" s="12">
        <f t="shared" si="60"/>
        <v>-18.166797968767746</v>
      </c>
      <c r="O115" s="12">
        <f t="shared" si="60"/>
        <v>-17.94520114565367</v>
      </c>
      <c r="P115" s="12">
        <f t="shared" si="60"/>
        <v>-18.168207409974006</v>
      </c>
      <c r="Q115" s="12">
        <f t="shared" si="60"/>
        <v>-20.489773634333815</v>
      </c>
      <c r="R115" s="12">
        <f t="shared" si="60"/>
        <v>-18.853951034499069</v>
      </c>
      <c r="S115" s="12">
        <f t="shared" si="60"/>
        <v>-9.36895313465849</v>
      </c>
      <c r="T115" s="12">
        <f t="shared" si="60"/>
        <v>-12.334217775255736</v>
      </c>
      <c r="U115" s="12">
        <f t="shared" si="60"/>
        <v>-15.750549847995167</v>
      </c>
      <c r="V115" s="12">
        <f t="shared" si="60"/>
        <v>-11.604170886677583</v>
      </c>
      <c r="W115" s="12">
        <f t="shared" si="60"/>
        <v>-10.958581574191349</v>
      </c>
      <c r="X115" s="12">
        <f t="shared" si="60"/>
        <v>-11.976658721731827</v>
      </c>
      <c r="Y115" s="12">
        <f t="shared" si="60"/>
        <v>-12.103644264206697</v>
      </c>
      <c r="Z115" s="12">
        <f t="shared" si="60"/>
        <v>-14.649201535961815</v>
      </c>
      <c r="AA115" s="12">
        <f t="shared" si="60"/>
        <v>-15.19592945125366</v>
      </c>
      <c r="AB115" s="12">
        <f t="shared" si="60"/>
        <v>-15.746493719150454</v>
      </c>
      <c r="AC115" s="12">
        <f t="shared" si="60"/>
        <v>-16.388214074465445</v>
      </c>
      <c r="AD115" s="12">
        <f t="shared" si="60"/>
        <v>-16.85259619413004</v>
      </c>
      <c r="AE115" s="12">
        <f t="shared" si="60"/>
        <v>-17.402683441212872</v>
      </c>
      <c r="AF115" s="12">
        <f t="shared" si="60"/>
        <v>-17.946510717955018</v>
      </c>
      <c r="AG115" s="12">
        <f t="shared" si="60"/>
        <v>-18.570304041690704</v>
      </c>
      <c r="AH115" s="12">
        <f t="shared" si="60"/>
        <v>-18.96838865898744</v>
      </c>
      <c r="AI115" s="12">
        <f t="shared" si="60"/>
        <v>-19.451301212638022</v>
      </c>
      <c r="AJ115" s="12">
        <f t="shared" si="60"/>
        <v>-19.948654991222362</v>
      </c>
      <c r="AK115" s="12">
        <f t="shared" si="60"/>
        <v>-18.958582019259374</v>
      </c>
      <c r="AL115" s="12">
        <f t="shared" si="60"/>
        <v>-25.785930216463495</v>
      </c>
      <c r="AM115" s="12">
        <f t="shared" si="60"/>
        <v>0</v>
      </c>
    </row>
    <row r="116" spans="1:39" x14ac:dyDescent="0.25">
      <c r="A116" s="126">
        <f>MIN(A$1:A115)-1</f>
        <v>-45</v>
      </c>
      <c r="B116" s="126"/>
      <c r="C116" s="1" t="s">
        <v>16</v>
      </c>
      <c r="D116" s="126" t="str">
        <f>"("&amp;-$A$18&amp;") + ("&amp;-$A111&amp;")"</f>
        <v>(2) + (43)</v>
      </c>
      <c r="E116" s="144">
        <f>NPV($D$2,F116:AM116)*(1+$D$2)^0.5</f>
        <v>-166.18668758078121</v>
      </c>
      <c r="F116" s="12">
        <f t="shared" ref="F116:AM116" si="61">F$18+F111</f>
        <v>0</v>
      </c>
      <c r="G116" s="12">
        <f t="shared" si="61"/>
        <v>0</v>
      </c>
      <c r="H116" s="12">
        <f t="shared" si="61"/>
        <v>-3.8823296984219695</v>
      </c>
      <c r="I116" s="12">
        <f t="shared" si="61"/>
        <v>-15.192177621516697</v>
      </c>
      <c r="J116" s="12">
        <f t="shared" si="61"/>
        <v>-11.638366161033462</v>
      </c>
      <c r="K116" s="12">
        <f t="shared" si="61"/>
        <v>-16.962883846378631</v>
      </c>
      <c r="L116" s="12">
        <f t="shared" si="61"/>
        <v>-19.271664982122019</v>
      </c>
      <c r="M116" s="12">
        <f t="shared" si="61"/>
        <v>-12.806783009471463</v>
      </c>
      <c r="N116" s="12">
        <f t="shared" si="61"/>
        <v>-18.166797968767746</v>
      </c>
      <c r="O116" s="12">
        <f t="shared" si="61"/>
        <v>-17.94520114565367</v>
      </c>
      <c r="P116" s="12">
        <f t="shared" si="61"/>
        <v>-18.168207409974006</v>
      </c>
      <c r="Q116" s="12">
        <f t="shared" si="61"/>
        <v>-20.489773634333815</v>
      </c>
      <c r="R116" s="12">
        <f t="shared" si="61"/>
        <v>-18.853951034499069</v>
      </c>
      <c r="S116" s="12">
        <f t="shared" si="61"/>
        <v>-9.36895313465849</v>
      </c>
      <c r="T116" s="12">
        <f t="shared" si="61"/>
        <v>-12.334217775255736</v>
      </c>
      <c r="U116" s="12">
        <f t="shared" si="61"/>
        <v>-15.750549847995167</v>
      </c>
      <c r="V116" s="12">
        <f t="shared" si="61"/>
        <v>-11.604170886677583</v>
      </c>
      <c r="W116" s="12">
        <f t="shared" si="61"/>
        <v>-10.958581574191349</v>
      </c>
      <c r="X116" s="12">
        <f t="shared" si="61"/>
        <v>-11.976658721731827</v>
      </c>
      <c r="Y116" s="12">
        <f t="shared" si="61"/>
        <v>-12.103644264206697</v>
      </c>
      <c r="Z116" s="12">
        <f t="shared" si="61"/>
        <v>-12.629283017869131</v>
      </c>
      <c r="AA116" s="12">
        <f t="shared" si="61"/>
        <v>-13.13248168909608</v>
      </c>
      <c r="AB116" s="12">
        <f t="shared" si="61"/>
        <v>-13.63857865771838</v>
      </c>
      <c r="AC116" s="12">
        <f t="shared" si="61"/>
        <v>-14.226770645591834</v>
      </c>
      <c r="AD116" s="12">
        <f t="shared" si="61"/>
        <v>-14.652851072525927</v>
      </c>
      <c r="AE116" s="12">
        <f t="shared" si="61"/>
        <v>-15.155533812238193</v>
      </c>
      <c r="AF116" s="12">
        <f t="shared" si="61"/>
        <v>-15.65093501447593</v>
      </c>
      <c r="AG116" s="12">
        <f t="shared" si="61"/>
        <v>-16.216434518885613</v>
      </c>
      <c r="AH116" s="12">
        <f t="shared" si="61"/>
        <v>-16.572807571592765</v>
      </c>
      <c r="AI116" s="12">
        <f t="shared" si="61"/>
        <v>-17.004095352809998</v>
      </c>
      <c r="AJ116" s="12">
        <f t="shared" si="61"/>
        <v>-17.448711845115042</v>
      </c>
      <c r="AK116" s="12">
        <f t="shared" si="61"/>
        <v>-16.543970453592667</v>
      </c>
      <c r="AL116" s="12">
        <f t="shared" si="61"/>
        <v>-24.285357668046942</v>
      </c>
      <c r="AM116" s="12">
        <f t="shared" si="61"/>
        <v>0</v>
      </c>
    </row>
    <row r="117" spans="1:39" ht="6" customHeight="1" x14ac:dyDescent="0.25">
      <c r="E117" s="144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</row>
    <row r="118" spans="1:39" x14ac:dyDescent="0.25">
      <c r="A118" s="168" t="s">
        <v>77</v>
      </c>
      <c r="B118" s="168"/>
      <c r="E118" s="14"/>
    </row>
    <row r="119" spans="1:39" ht="6" customHeight="1" x14ac:dyDescent="0.25">
      <c r="E119" s="144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</row>
    <row r="120" spans="1:39" x14ac:dyDescent="0.25">
      <c r="A120" s="126">
        <f>MIN(A$1:A119)-1</f>
        <v>-46</v>
      </c>
      <c r="B120" s="126"/>
      <c r="C120" s="1" t="s">
        <v>15</v>
      </c>
      <c r="D120" s="126" t="str">
        <f>"("&amp;-$A115&amp;") / ("&amp;-$A$9&amp;")"</f>
        <v>(44) / (1)</v>
      </c>
      <c r="E120" s="146">
        <f>IF(E$9=0,0,E115/E$9*1000)</f>
        <v>-79.93075466875375</v>
      </c>
      <c r="F120" s="6"/>
      <c r="G120" s="6"/>
      <c r="H120" s="6">
        <f t="shared" ref="H120:AM120" si="62">IF(H$9=0,0,H115/H$9*1000)</f>
        <v>-83.874687813777584</v>
      </c>
      <c r="I120" s="6">
        <f t="shared" si="62"/>
        <v>-76.215734074593286</v>
      </c>
      <c r="J120" s="6">
        <f t="shared" si="62"/>
        <v>-58.6067667134987</v>
      </c>
      <c r="K120" s="6">
        <f t="shared" si="62"/>
        <v>-85.419187076393754</v>
      </c>
      <c r="L120" s="6">
        <f t="shared" si="62"/>
        <v>-97.045406387835683</v>
      </c>
      <c r="M120" s="6">
        <f t="shared" si="62"/>
        <v>-64.2487464613681</v>
      </c>
      <c r="N120" s="6">
        <f t="shared" si="62"/>
        <v>-91.481680139224153</v>
      </c>
      <c r="O120" s="6">
        <f t="shared" si="62"/>
        <v>-90.365795560838819</v>
      </c>
      <c r="P120" s="6">
        <f t="shared" si="62"/>
        <v>-91.488777595244088</v>
      </c>
      <c r="Q120" s="6">
        <f t="shared" si="62"/>
        <v>-102.79258033102786</v>
      </c>
      <c r="R120" s="6">
        <f t="shared" si="62"/>
        <v>-94.941944136984915</v>
      </c>
      <c r="S120" s="6">
        <f t="shared" si="62"/>
        <v>-47.17879151723433</v>
      </c>
      <c r="T120" s="6">
        <f t="shared" si="62"/>
        <v>-62.110833578010812</v>
      </c>
      <c r="U120" s="6">
        <f t="shared" si="62"/>
        <v>-79.016961797711033</v>
      </c>
      <c r="V120" s="6">
        <f t="shared" si="62"/>
        <v>-58.4345711974658</v>
      </c>
      <c r="W120" s="6">
        <f t="shared" si="62"/>
        <v>-55.183607814281693</v>
      </c>
      <c r="X120" s="6">
        <f t="shared" si="62"/>
        <v>-60.310290465152235</v>
      </c>
      <c r="Y120" s="6">
        <f t="shared" si="62"/>
        <v>-60.721257712767454</v>
      </c>
      <c r="Z120" s="6">
        <f t="shared" si="62"/>
        <v>-73.768287152851045</v>
      </c>
      <c r="AA120" s="6">
        <f t="shared" si="62"/>
        <v>-76.521418902094908</v>
      </c>
      <c r="AB120" s="6">
        <f t="shared" si="62"/>
        <v>-79.293869189614512</v>
      </c>
      <c r="AC120" s="6">
        <f t="shared" si="62"/>
        <v>-82.215979629408039</v>
      </c>
      <c r="AD120" s="6">
        <f t="shared" si="62"/>
        <v>-84.863816793548267</v>
      </c>
      <c r="AE120" s="6">
        <f t="shared" si="62"/>
        <v>-87.633864970052073</v>
      </c>
      <c r="AF120" s="6">
        <f t="shared" si="62"/>
        <v>-90.372390111766123</v>
      </c>
      <c r="AG120" s="6">
        <f t="shared" si="62"/>
        <v>-93.163033620755115</v>
      </c>
      <c r="AH120" s="6">
        <f t="shared" si="62"/>
        <v>-95.518212237578979</v>
      </c>
      <c r="AI120" s="6">
        <f t="shared" si="62"/>
        <v>-97.949992006596517</v>
      </c>
      <c r="AJ120" s="6">
        <f t="shared" si="62"/>
        <v>-100.45449276488691</v>
      </c>
      <c r="AK120" s="6">
        <f t="shared" si="62"/>
        <v>-100.97272597765108</v>
      </c>
      <c r="AL120" s="6">
        <f t="shared" si="62"/>
        <v>-225.75165345258466</v>
      </c>
      <c r="AM120" s="6">
        <f t="shared" si="62"/>
        <v>0</v>
      </c>
    </row>
    <row r="121" spans="1:39" x14ac:dyDescent="0.25">
      <c r="A121" s="126">
        <f>MIN(A$1:A120)-1</f>
        <v>-47</v>
      </c>
      <c r="B121" s="126"/>
      <c r="C121" s="1" t="s">
        <v>16</v>
      </c>
      <c r="D121" s="126" t="str">
        <f>"("&amp;-$A116&amp;") / ("&amp;-$A$9&amp;")"</f>
        <v>(45) / (1)</v>
      </c>
      <c r="E121" s="146">
        <f>IF(E$9=0,0,E116/E$9*1000)</f>
        <v>-77.573580482490073</v>
      </c>
      <c r="F121" s="6"/>
      <c r="G121" s="6"/>
      <c r="H121" s="6">
        <f t="shared" ref="H121:AM121" si="63">IF(H$9=0,0,H116/H$9*1000)</f>
        <v>-83.874687813777584</v>
      </c>
      <c r="I121" s="6">
        <f t="shared" si="63"/>
        <v>-76.215734074593286</v>
      </c>
      <c r="J121" s="6">
        <f t="shared" si="63"/>
        <v>-58.6067667134987</v>
      </c>
      <c r="K121" s="6">
        <f t="shared" si="63"/>
        <v>-85.419187076393754</v>
      </c>
      <c r="L121" s="6">
        <f t="shared" si="63"/>
        <v>-97.045406387835683</v>
      </c>
      <c r="M121" s="6">
        <f t="shared" si="63"/>
        <v>-64.2487464613681</v>
      </c>
      <c r="N121" s="6">
        <f t="shared" si="63"/>
        <v>-91.481680139224153</v>
      </c>
      <c r="O121" s="6">
        <f t="shared" si="63"/>
        <v>-90.365795560838819</v>
      </c>
      <c r="P121" s="6">
        <f t="shared" si="63"/>
        <v>-91.488777595244088</v>
      </c>
      <c r="Q121" s="6">
        <f t="shared" si="63"/>
        <v>-102.79258033102786</v>
      </c>
      <c r="R121" s="6">
        <f t="shared" si="63"/>
        <v>-94.941944136984915</v>
      </c>
      <c r="S121" s="6">
        <f t="shared" si="63"/>
        <v>-47.17879151723433</v>
      </c>
      <c r="T121" s="6">
        <f t="shared" si="63"/>
        <v>-62.110833578010812</v>
      </c>
      <c r="U121" s="6">
        <f t="shared" si="63"/>
        <v>-79.016961797711033</v>
      </c>
      <c r="V121" s="6">
        <f t="shared" si="63"/>
        <v>-58.4345711974658</v>
      </c>
      <c r="W121" s="6">
        <f t="shared" si="63"/>
        <v>-55.183607814281693</v>
      </c>
      <c r="X121" s="6">
        <f t="shared" si="63"/>
        <v>-60.310290465152235</v>
      </c>
      <c r="Y121" s="6">
        <f t="shared" si="63"/>
        <v>-60.721257712767454</v>
      </c>
      <c r="Z121" s="6">
        <f t="shared" si="63"/>
        <v>-63.596679580777376</v>
      </c>
      <c r="AA121" s="6">
        <f t="shared" si="63"/>
        <v>-66.13061318684305</v>
      </c>
      <c r="AB121" s="6">
        <f t="shared" si="63"/>
        <v>-68.679141611198986</v>
      </c>
      <c r="AC121" s="6">
        <f t="shared" si="63"/>
        <v>-71.372504671677646</v>
      </c>
      <c r="AD121" s="6">
        <f t="shared" si="63"/>
        <v>-73.786664950478809</v>
      </c>
      <c r="AE121" s="6">
        <f t="shared" si="63"/>
        <v>-76.31800050476447</v>
      </c>
      <c r="AF121" s="6">
        <f t="shared" si="63"/>
        <v>-78.812668767251552</v>
      </c>
      <c r="AG121" s="6">
        <f t="shared" si="63"/>
        <v>-81.354200281266287</v>
      </c>
      <c r="AH121" s="6">
        <f t="shared" si="63"/>
        <v>-83.454898539624111</v>
      </c>
      <c r="AI121" s="6">
        <f t="shared" si="63"/>
        <v>-85.62671389845076</v>
      </c>
      <c r="AJ121" s="6">
        <f t="shared" si="63"/>
        <v>-87.865648013510594</v>
      </c>
      <c r="AK121" s="6">
        <f t="shared" si="63"/>
        <v>-88.112591621882629</v>
      </c>
      <c r="AL121" s="6">
        <f t="shared" si="63"/>
        <v>-212.61438320144944</v>
      </c>
      <c r="AM121" s="6">
        <f t="shared" si="63"/>
        <v>0</v>
      </c>
    </row>
    <row r="122" spans="1:39" ht="6" customHeight="1" x14ac:dyDescent="0.25">
      <c r="A122" s="6"/>
      <c r="B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</row>
    <row r="124" spans="1:39" ht="6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</row>
    <row r="126" spans="1:39" x14ac:dyDescent="0.25">
      <c r="H126" s="141">
        <f>H$7</f>
        <v>2023</v>
      </c>
      <c r="I126" s="141">
        <f t="shared" ref="I126:AM126" si="64">I$7</f>
        <v>2024</v>
      </c>
      <c r="J126" s="141">
        <f t="shared" si="64"/>
        <v>2025</v>
      </c>
      <c r="K126" s="141">
        <f t="shared" si="64"/>
        <v>2026</v>
      </c>
      <c r="L126" s="141">
        <f t="shared" si="64"/>
        <v>2027</v>
      </c>
      <c r="M126" s="141">
        <f t="shared" si="64"/>
        <v>2028</v>
      </c>
      <c r="N126" s="141">
        <f t="shared" si="64"/>
        <v>2029</v>
      </c>
      <c r="O126" s="141">
        <f t="shared" si="64"/>
        <v>2030</v>
      </c>
      <c r="P126" s="141">
        <f t="shared" si="64"/>
        <v>2031</v>
      </c>
      <c r="Q126" s="141">
        <f t="shared" si="64"/>
        <v>2032</v>
      </c>
      <c r="R126" s="141">
        <f t="shared" si="64"/>
        <v>2033</v>
      </c>
      <c r="S126" s="141">
        <f t="shared" si="64"/>
        <v>2034</v>
      </c>
      <c r="T126" s="141">
        <f t="shared" si="64"/>
        <v>2035</v>
      </c>
      <c r="U126" s="141">
        <f t="shared" si="64"/>
        <v>2036</v>
      </c>
      <c r="V126" s="141">
        <f t="shared" si="64"/>
        <v>2037</v>
      </c>
      <c r="W126" s="141">
        <f t="shared" si="64"/>
        <v>2038</v>
      </c>
      <c r="X126" s="141">
        <f t="shared" si="64"/>
        <v>2039</v>
      </c>
      <c r="Y126" s="141">
        <f t="shared" si="64"/>
        <v>2040</v>
      </c>
      <c r="Z126" s="141">
        <f t="shared" si="64"/>
        <v>2041</v>
      </c>
      <c r="AA126" s="141">
        <f t="shared" si="64"/>
        <v>2042</v>
      </c>
      <c r="AB126" s="141">
        <f t="shared" si="64"/>
        <v>2043</v>
      </c>
      <c r="AC126" s="141">
        <f t="shared" si="64"/>
        <v>2044</v>
      </c>
      <c r="AD126" s="141">
        <f t="shared" si="64"/>
        <v>2045</v>
      </c>
      <c r="AE126" s="141">
        <f t="shared" si="64"/>
        <v>2046</v>
      </c>
      <c r="AF126" s="141">
        <f t="shared" si="64"/>
        <v>2047</v>
      </c>
      <c r="AG126" s="141">
        <f t="shared" si="64"/>
        <v>2048</v>
      </c>
      <c r="AH126" s="141">
        <f t="shared" si="64"/>
        <v>2049</v>
      </c>
      <c r="AI126" s="141">
        <f t="shared" si="64"/>
        <v>2050</v>
      </c>
      <c r="AJ126" s="141">
        <f t="shared" si="64"/>
        <v>2051</v>
      </c>
      <c r="AK126" s="141">
        <f t="shared" si="64"/>
        <v>2052</v>
      </c>
      <c r="AL126" s="141">
        <f t="shared" si="64"/>
        <v>2053</v>
      </c>
      <c r="AM126" s="141">
        <f t="shared" si="64"/>
        <v>2054</v>
      </c>
    </row>
    <row r="127" spans="1:39" x14ac:dyDescent="0.25">
      <c r="B127" s="14" t="str">
        <f>$A$22</f>
        <v>Medium Natural Gas, Medium CO2</v>
      </c>
    </row>
    <row r="128" spans="1:39" x14ac:dyDescent="0.25">
      <c r="C128" s="1" t="str">
        <f>C29</f>
        <v>System (Benefit)/Cost w/ '32-'40 Extrap.</v>
      </c>
      <c r="E128" s="6"/>
      <c r="F128" s="6"/>
      <c r="G128" s="147" t="s">
        <v>95</v>
      </c>
      <c r="H128" s="6">
        <f t="shared" ref="H128:AM128" si="65">-H29</f>
        <v>24.842529033745944</v>
      </c>
      <c r="I128" s="6">
        <f t="shared" si="65"/>
        <v>24.842529033745944</v>
      </c>
      <c r="J128" s="6">
        <f t="shared" si="65"/>
        <v>25.536663665100178</v>
      </c>
      <c r="K128" s="6">
        <f t="shared" si="65"/>
        <v>28.547987272917705</v>
      </c>
      <c r="L128" s="6">
        <f t="shared" si="65"/>
        <v>28.204706778454003</v>
      </c>
      <c r="M128" s="6">
        <f t="shared" si="65"/>
        <v>30.931123880342749</v>
      </c>
      <c r="N128" s="6">
        <f t="shared" si="65"/>
        <v>38.55630896008595</v>
      </c>
      <c r="O128" s="6">
        <f t="shared" si="65"/>
        <v>39.059177420947208</v>
      </c>
      <c r="P128" s="6">
        <f t="shared" si="65"/>
        <v>39.623036380151198</v>
      </c>
      <c r="Q128" s="6">
        <f t="shared" si="65"/>
        <v>42.110533602819238</v>
      </c>
      <c r="R128" s="6">
        <f t="shared" si="65"/>
        <v>42.944627950683206</v>
      </c>
      <c r="S128" s="6">
        <f t="shared" si="65"/>
        <v>49.630738878067525</v>
      </c>
      <c r="T128" s="6">
        <f t="shared" si="65"/>
        <v>50.235192654318276</v>
      </c>
      <c r="U128" s="6">
        <f t="shared" si="65"/>
        <v>65.023385258793084</v>
      </c>
      <c r="V128" s="6">
        <f t="shared" si="65"/>
        <v>54.950720908900394</v>
      </c>
      <c r="W128" s="6">
        <f t="shared" si="65"/>
        <v>70.423325425465919</v>
      </c>
      <c r="X128" s="6">
        <f t="shared" si="65"/>
        <v>65.010201401222389</v>
      </c>
      <c r="Y128" s="6">
        <f t="shared" si="65"/>
        <v>146.01894284952255</v>
      </c>
      <c r="Z128" s="6">
        <f t="shared" si="65"/>
        <v>68.875217944377852</v>
      </c>
      <c r="AA128" s="6">
        <f t="shared" si="65"/>
        <v>70.359478891079192</v>
      </c>
      <c r="AB128" s="6">
        <f t="shared" si="65"/>
        <v>71.875725661181946</v>
      </c>
      <c r="AC128" s="6">
        <f t="shared" si="65"/>
        <v>73.42464754918042</v>
      </c>
      <c r="AD128" s="6">
        <f t="shared" si="65"/>
        <v>75.006948703865262</v>
      </c>
      <c r="AE128" s="6">
        <f t="shared" si="65"/>
        <v>76.623348448433561</v>
      </c>
      <c r="AF128" s="6">
        <f t="shared" si="65"/>
        <v>78.274581607497296</v>
      </c>
      <c r="AG128" s="6">
        <f t="shared" si="65"/>
        <v>79.961398841138859</v>
      </c>
      <c r="AH128" s="6">
        <f t="shared" si="65"/>
        <v>81.684566986165393</v>
      </c>
      <c r="AI128" s="6">
        <f t="shared" si="65"/>
        <v>83.444869404717252</v>
      </c>
      <c r="AJ128" s="6">
        <f t="shared" si="65"/>
        <v>85.243106340388906</v>
      </c>
      <c r="AK128" s="6">
        <f t="shared" si="65"/>
        <v>87.080095282024288</v>
      </c>
      <c r="AL128" s="6">
        <f t="shared" si="65"/>
        <v>88.956671335351913</v>
      </c>
      <c r="AM128" s="6">
        <f t="shared" si="65"/>
        <v>90.873687602628749</v>
      </c>
    </row>
    <row r="129" spans="2:39" x14ac:dyDescent="0.25">
      <c r="C129" s="1" t="str">
        <f>C30</f>
        <v>System (Benefit)/Cost w/ '38-'40 Extrap.</v>
      </c>
      <c r="E129" s="6"/>
      <c r="F129" s="6"/>
      <c r="G129" s="147" t="s">
        <v>96</v>
      </c>
      <c r="H129" s="6">
        <f t="shared" ref="H129:AM129" si="66">-H30</f>
        <v>24.842529033745944</v>
      </c>
      <c r="I129" s="6">
        <f t="shared" si="66"/>
        <v>24.842529033745944</v>
      </c>
      <c r="J129" s="6">
        <f t="shared" si="66"/>
        <v>25.536663665100178</v>
      </c>
      <c r="K129" s="6">
        <f t="shared" si="66"/>
        <v>28.547987272917705</v>
      </c>
      <c r="L129" s="6">
        <f t="shared" si="66"/>
        <v>28.204706778454003</v>
      </c>
      <c r="M129" s="6">
        <f t="shared" si="66"/>
        <v>30.931123880342749</v>
      </c>
      <c r="N129" s="6">
        <f t="shared" si="66"/>
        <v>38.55630896008595</v>
      </c>
      <c r="O129" s="6">
        <f t="shared" si="66"/>
        <v>39.059177420947208</v>
      </c>
      <c r="P129" s="6">
        <f t="shared" si="66"/>
        <v>39.623036380151198</v>
      </c>
      <c r="Q129" s="6">
        <f t="shared" si="66"/>
        <v>42.110533602819238</v>
      </c>
      <c r="R129" s="6">
        <f t="shared" si="66"/>
        <v>42.944627950683206</v>
      </c>
      <c r="S129" s="6">
        <f t="shared" si="66"/>
        <v>49.630738878067525</v>
      </c>
      <c r="T129" s="6">
        <f t="shared" si="66"/>
        <v>50.235192654318276</v>
      </c>
      <c r="U129" s="6">
        <f t="shared" si="66"/>
        <v>65.023385258793084</v>
      </c>
      <c r="V129" s="6">
        <f t="shared" si="66"/>
        <v>54.950720908900394</v>
      </c>
      <c r="W129" s="6">
        <f t="shared" si="66"/>
        <v>70.423325425465919</v>
      </c>
      <c r="X129" s="6">
        <f t="shared" si="66"/>
        <v>65.010201401222389</v>
      </c>
      <c r="Y129" s="6">
        <f t="shared" si="66"/>
        <v>146.01894284952255</v>
      </c>
      <c r="Z129" s="6">
        <f t="shared" si="66"/>
        <v>96.254751554867951</v>
      </c>
      <c r="AA129" s="6">
        <f t="shared" si="66"/>
        <v>98.329041450875351</v>
      </c>
      <c r="AB129" s="6">
        <f t="shared" si="66"/>
        <v>100.44803229414171</v>
      </c>
      <c r="AC129" s="6">
        <f t="shared" si="66"/>
        <v>102.61268739008047</v>
      </c>
      <c r="AD129" s="6">
        <f t="shared" si="66"/>
        <v>104.8239908033367</v>
      </c>
      <c r="AE129" s="6">
        <f t="shared" si="66"/>
        <v>107.08294780514861</v>
      </c>
      <c r="AF129" s="6">
        <f t="shared" si="66"/>
        <v>109.39058533034955</v>
      </c>
      <c r="AG129" s="6">
        <f t="shared" si="66"/>
        <v>111.74795244421858</v>
      </c>
      <c r="AH129" s="6">
        <f t="shared" si="66"/>
        <v>114.15612081939149</v>
      </c>
      <c r="AI129" s="6">
        <f t="shared" si="66"/>
        <v>116.61618522304937</v>
      </c>
      <c r="AJ129" s="6">
        <f t="shared" si="66"/>
        <v>119.12926401460608</v>
      </c>
      <c r="AK129" s="6">
        <f t="shared" si="66"/>
        <v>121.69649965412084</v>
      </c>
      <c r="AL129" s="6">
        <f t="shared" si="66"/>
        <v>124.31905922166715</v>
      </c>
      <c r="AM129" s="6">
        <f t="shared" si="66"/>
        <v>126.99813494789407</v>
      </c>
    </row>
    <row r="130" spans="2:39" ht="6" customHeight="1" x14ac:dyDescent="0.25">
      <c r="E130" s="144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</row>
    <row r="131" spans="2:39" x14ac:dyDescent="0.25">
      <c r="B131" s="14" t="str">
        <f>$A$48</f>
        <v>Low Natural Gas, No CO2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</row>
    <row r="132" spans="2:39" x14ac:dyDescent="0.25">
      <c r="C132" s="1" t="str">
        <f>C55</f>
        <v>System (Benefit)/Cost w/ '32-'40 Extrap.</v>
      </c>
      <c r="E132" s="6"/>
      <c r="F132" s="6"/>
      <c r="G132" s="147" t="s">
        <v>97</v>
      </c>
      <c r="H132" s="6">
        <f t="shared" ref="H132:AM132" si="67">-H55</f>
        <v>19.31290319279649</v>
      </c>
      <c r="I132" s="6">
        <f t="shared" si="67"/>
        <v>19.31290319279649</v>
      </c>
      <c r="J132" s="6">
        <f t="shared" si="67"/>
        <v>13.346115926639563</v>
      </c>
      <c r="K132" s="6">
        <f t="shared" si="67"/>
        <v>9.1160925051874795</v>
      </c>
      <c r="L132" s="6">
        <f t="shared" si="67"/>
        <v>14.033060492391883</v>
      </c>
      <c r="M132" s="6">
        <f t="shared" si="67"/>
        <v>19.391207916874887</v>
      </c>
      <c r="N132" s="6">
        <f t="shared" si="67"/>
        <v>19.763580441952598</v>
      </c>
      <c r="O132" s="6">
        <f t="shared" si="67"/>
        <v>24.938563486156688</v>
      </c>
      <c r="P132" s="6">
        <f t="shared" si="67"/>
        <v>23.211640172563893</v>
      </c>
      <c r="Q132" s="6">
        <f t="shared" si="67"/>
        <v>7.5147537723966193</v>
      </c>
      <c r="R132" s="6">
        <f t="shared" si="67"/>
        <v>21.419862789470972</v>
      </c>
      <c r="S132" s="6">
        <f t="shared" si="67"/>
        <v>17.615190701249741</v>
      </c>
      <c r="T132" s="6">
        <f t="shared" si="67"/>
        <v>22.955288242203537</v>
      </c>
      <c r="U132" s="6">
        <f t="shared" si="67"/>
        <v>22.10435381803677</v>
      </c>
      <c r="V132" s="6">
        <f t="shared" si="67"/>
        <v>19.650804710257269</v>
      </c>
      <c r="W132" s="6">
        <f t="shared" si="67"/>
        <v>34.127019055754644</v>
      </c>
      <c r="X132" s="6">
        <f t="shared" si="67"/>
        <v>29.513460279072856</v>
      </c>
      <c r="Y132" s="6">
        <f t="shared" si="67"/>
        <v>35.319262118637354</v>
      </c>
      <c r="Z132" s="6">
        <f t="shared" si="67"/>
        <v>24.826933535361103</v>
      </c>
      <c r="AA132" s="6">
        <f t="shared" si="67"/>
        <v>25.361953953048133</v>
      </c>
      <c r="AB132" s="6">
        <f t="shared" si="67"/>
        <v>25.90850406073632</v>
      </c>
      <c r="AC132" s="6">
        <f t="shared" si="67"/>
        <v>26.466832323245185</v>
      </c>
      <c r="AD132" s="6">
        <f t="shared" si="67"/>
        <v>27.037192559811118</v>
      </c>
      <c r="AE132" s="6">
        <f t="shared" si="67"/>
        <v>27.619844059475046</v>
      </c>
      <c r="AF132" s="6">
        <f t="shared" si="67"/>
        <v>28.215051698956731</v>
      </c>
      <c r="AG132" s="6">
        <f t="shared" si="67"/>
        <v>28.823086063069248</v>
      </c>
      <c r="AH132" s="6">
        <f t="shared" si="67"/>
        <v>29.44422356772839</v>
      </c>
      <c r="AI132" s="6">
        <f t="shared" si="67"/>
        <v>30.078746585612937</v>
      </c>
      <c r="AJ132" s="6">
        <f t="shared" si="67"/>
        <v>30.726943574532893</v>
      </c>
      <c r="AK132" s="6">
        <f t="shared" si="67"/>
        <v>31.389109208564076</v>
      </c>
      <c r="AL132" s="6">
        <f t="shared" si="67"/>
        <v>32.065544512008628</v>
      </c>
      <c r="AM132" s="6">
        <f t="shared" si="67"/>
        <v>32.756556996242416</v>
      </c>
    </row>
    <row r="133" spans="2:39" x14ac:dyDescent="0.25">
      <c r="C133" s="1" t="str">
        <f>C56</f>
        <v>System (Benefit)/Cost w/ '38-'40 Extrap.</v>
      </c>
      <c r="E133" s="6"/>
      <c r="F133" s="6"/>
      <c r="G133" s="147" t="s">
        <v>98</v>
      </c>
      <c r="H133" s="6">
        <f t="shared" ref="H133:AM133" si="68">-H56</f>
        <v>19.31290319279649</v>
      </c>
      <c r="I133" s="6">
        <f t="shared" si="68"/>
        <v>19.31290319279649</v>
      </c>
      <c r="J133" s="6">
        <f t="shared" si="68"/>
        <v>13.346115926639563</v>
      </c>
      <c r="K133" s="6">
        <f t="shared" si="68"/>
        <v>9.1160925051874795</v>
      </c>
      <c r="L133" s="6">
        <f t="shared" si="68"/>
        <v>14.033060492391883</v>
      </c>
      <c r="M133" s="6">
        <f t="shared" si="68"/>
        <v>19.391207916874887</v>
      </c>
      <c r="N133" s="6">
        <f t="shared" si="68"/>
        <v>19.763580441952598</v>
      </c>
      <c r="O133" s="6">
        <f t="shared" si="68"/>
        <v>24.938563486156688</v>
      </c>
      <c r="P133" s="6">
        <f t="shared" si="68"/>
        <v>23.211640172563893</v>
      </c>
      <c r="Q133" s="6">
        <f t="shared" si="68"/>
        <v>7.5147537723966193</v>
      </c>
      <c r="R133" s="6">
        <f t="shared" si="68"/>
        <v>21.419862789470972</v>
      </c>
      <c r="S133" s="6">
        <f t="shared" si="68"/>
        <v>17.615190701249741</v>
      </c>
      <c r="T133" s="6">
        <f t="shared" si="68"/>
        <v>22.955288242203537</v>
      </c>
      <c r="U133" s="6">
        <f t="shared" si="68"/>
        <v>22.10435381803677</v>
      </c>
      <c r="V133" s="6">
        <f t="shared" si="68"/>
        <v>19.650804710257269</v>
      </c>
      <c r="W133" s="6">
        <f t="shared" si="68"/>
        <v>34.127019055754644</v>
      </c>
      <c r="X133" s="6">
        <f t="shared" si="68"/>
        <v>29.513460279072856</v>
      </c>
      <c r="Y133" s="6">
        <f t="shared" si="68"/>
        <v>35.319262118637354</v>
      </c>
      <c r="Z133" s="6">
        <f t="shared" si="68"/>
        <v>34.426034715164363</v>
      </c>
      <c r="AA133" s="6">
        <f t="shared" si="68"/>
        <v>35.167915763276156</v>
      </c>
      <c r="AB133" s="6">
        <f t="shared" si="68"/>
        <v>35.925784347974755</v>
      </c>
      <c r="AC133" s="6">
        <f t="shared" si="68"/>
        <v>36.699985000673607</v>
      </c>
      <c r="AD133" s="6">
        <f t="shared" si="68"/>
        <v>37.49086967743812</v>
      </c>
      <c r="AE133" s="6">
        <f t="shared" si="68"/>
        <v>38.298797918986907</v>
      </c>
      <c r="AF133" s="6">
        <f t="shared" si="68"/>
        <v>39.12413701414107</v>
      </c>
      <c r="AG133" s="6">
        <f t="shared" si="68"/>
        <v>39.967262166795805</v>
      </c>
      <c r="AH133" s="6">
        <f t="shared" si="68"/>
        <v>40.82855666649025</v>
      </c>
      <c r="AI133" s="6">
        <f t="shared" si="68"/>
        <v>41.70841206265311</v>
      </c>
      <c r="AJ133" s="6">
        <f t="shared" si="68"/>
        <v>42.607228342603285</v>
      </c>
      <c r="AK133" s="6">
        <f t="shared" si="68"/>
        <v>43.525414113386383</v>
      </c>
      <c r="AL133" s="6">
        <f t="shared" si="68"/>
        <v>44.463386787529856</v>
      </c>
      <c r="AM133" s="6">
        <f t="shared" si="68"/>
        <v>45.42157277280112</v>
      </c>
    </row>
    <row r="134" spans="2:39" ht="6" customHeight="1" x14ac:dyDescent="0.25">
      <c r="E134" s="144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</row>
    <row r="135" spans="2:39" x14ac:dyDescent="0.25">
      <c r="B135" s="14" t="str">
        <f>$A$73</f>
        <v>High Natural Gas, High CO2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</row>
    <row r="136" spans="2:39" x14ac:dyDescent="0.25">
      <c r="C136" s="1" t="str">
        <f>C80</f>
        <v>System (Benefit)/Cost w/ '32-'40 Extrap.</v>
      </c>
      <c r="E136" s="6"/>
      <c r="F136" s="6"/>
      <c r="G136" s="147" t="s">
        <v>99</v>
      </c>
      <c r="H136" s="6">
        <f t="shared" ref="H136:AM136" si="69">-H80</f>
        <v>32.090236763631246</v>
      </c>
      <c r="I136" s="6">
        <f t="shared" si="69"/>
        <v>32.090236763631246</v>
      </c>
      <c r="J136" s="6">
        <f t="shared" si="69"/>
        <v>42.249352398968064</v>
      </c>
      <c r="K136" s="6">
        <f t="shared" si="69"/>
        <v>40.738792734724782</v>
      </c>
      <c r="L136" s="6">
        <f t="shared" si="69"/>
        <v>42.652892805444303</v>
      </c>
      <c r="M136" s="6">
        <f t="shared" si="69"/>
        <v>50.612560653248423</v>
      </c>
      <c r="N136" s="6">
        <f t="shared" si="69"/>
        <v>56.287247874430967</v>
      </c>
      <c r="O136" s="6">
        <f t="shared" si="69"/>
        <v>50.476776210828469</v>
      </c>
      <c r="P136" s="6">
        <f t="shared" si="69"/>
        <v>57.992311323487684</v>
      </c>
      <c r="Q136" s="6">
        <f t="shared" si="69"/>
        <v>55.62567640353879</v>
      </c>
      <c r="R136" s="6">
        <f t="shared" si="69"/>
        <v>66.487803760775648</v>
      </c>
      <c r="S136" s="6">
        <f t="shared" si="69"/>
        <v>71.369869222493691</v>
      </c>
      <c r="T136" s="6">
        <f t="shared" si="69"/>
        <v>75.631432928970668</v>
      </c>
      <c r="U136" s="6">
        <f t="shared" si="69"/>
        <v>81.025065690410415</v>
      </c>
      <c r="V136" s="6">
        <f t="shared" si="69"/>
        <v>81.25230670978857</v>
      </c>
      <c r="W136" s="6">
        <f t="shared" si="69"/>
        <v>89.692799423801361</v>
      </c>
      <c r="X136" s="6">
        <f t="shared" si="69"/>
        <v>88.255093975971604</v>
      </c>
      <c r="Y136" s="6">
        <f t="shared" si="69"/>
        <v>113.37661333212917</v>
      </c>
      <c r="Z136" s="6">
        <f t="shared" si="69"/>
        <v>87.273903687149541</v>
      </c>
      <c r="AA136" s="6">
        <f t="shared" si="69"/>
        <v>89.15465631160761</v>
      </c>
      <c r="AB136" s="6">
        <f t="shared" si="69"/>
        <v>91.075939155122754</v>
      </c>
      <c r="AC136" s="6">
        <f t="shared" si="69"/>
        <v>93.038625643915651</v>
      </c>
      <c r="AD136" s="6">
        <f t="shared" si="69"/>
        <v>95.043608026542032</v>
      </c>
      <c r="AE136" s="6">
        <f t="shared" si="69"/>
        <v>97.09179777951401</v>
      </c>
      <c r="AF136" s="6">
        <f t="shared" si="69"/>
        <v>99.184126021662536</v>
      </c>
      <c r="AG136" s="6">
        <f t="shared" si="69"/>
        <v>101.32154393742935</v>
      </c>
      <c r="AH136" s="6">
        <f t="shared" si="69"/>
        <v>103.50502320928095</v>
      </c>
      <c r="AI136" s="6">
        <f t="shared" si="69"/>
        <v>105.73555645944094</v>
      </c>
      <c r="AJ136" s="6">
        <f t="shared" si="69"/>
        <v>108.0141577011419</v>
      </c>
      <c r="AK136" s="6">
        <f t="shared" si="69"/>
        <v>110.3418627996015</v>
      </c>
      <c r="AL136" s="6">
        <f t="shared" si="69"/>
        <v>112.71972994293291</v>
      </c>
      <c r="AM136" s="6">
        <f t="shared" si="69"/>
        <v>115.14884012320312</v>
      </c>
    </row>
    <row r="137" spans="2:39" x14ac:dyDescent="0.25">
      <c r="C137" s="1" t="str">
        <f>C81</f>
        <v>System (Benefit)/Cost w/ '38-'40 Extrap.</v>
      </c>
      <c r="E137" s="6"/>
      <c r="F137" s="6"/>
      <c r="G137" s="147" t="s">
        <v>100</v>
      </c>
      <c r="H137" s="6">
        <f t="shared" ref="H137:AM137" si="70">-H81</f>
        <v>32.090236763631246</v>
      </c>
      <c r="I137" s="6">
        <f t="shared" si="70"/>
        <v>32.090236763631246</v>
      </c>
      <c r="J137" s="6">
        <f t="shared" si="70"/>
        <v>42.249352398968064</v>
      </c>
      <c r="K137" s="6">
        <f t="shared" si="70"/>
        <v>40.738792734724782</v>
      </c>
      <c r="L137" s="6">
        <f t="shared" si="70"/>
        <v>42.652892805444303</v>
      </c>
      <c r="M137" s="6">
        <f t="shared" si="70"/>
        <v>50.612560653248423</v>
      </c>
      <c r="N137" s="6">
        <f t="shared" si="70"/>
        <v>56.287247874430967</v>
      </c>
      <c r="O137" s="6">
        <f t="shared" si="70"/>
        <v>50.476776210828469</v>
      </c>
      <c r="P137" s="6">
        <f t="shared" si="70"/>
        <v>57.992311323487684</v>
      </c>
      <c r="Q137" s="6">
        <f t="shared" si="70"/>
        <v>55.62567640353879</v>
      </c>
      <c r="R137" s="6">
        <f t="shared" si="70"/>
        <v>66.487803760775648</v>
      </c>
      <c r="S137" s="6">
        <f t="shared" si="70"/>
        <v>71.369869222493691</v>
      </c>
      <c r="T137" s="6">
        <f t="shared" si="70"/>
        <v>75.631432928970668</v>
      </c>
      <c r="U137" s="6">
        <f t="shared" si="70"/>
        <v>81.025065690410415</v>
      </c>
      <c r="V137" s="6">
        <f t="shared" si="70"/>
        <v>81.25230670978857</v>
      </c>
      <c r="W137" s="6">
        <f t="shared" si="70"/>
        <v>89.692799423801361</v>
      </c>
      <c r="X137" s="6">
        <f t="shared" si="70"/>
        <v>88.255093975971604</v>
      </c>
      <c r="Y137" s="6">
        <f t="shared" si="70"/>
        <v>113.37661333212917</v>
      </c>
      <c r="Z137" s="6">
        <f t="shared" si="70"/>
        <v>100.87772318027865</v>
      </c>
      <c r="AA137" s="6">
        <f t="shared" si="70"/>
        <v>103.05163811481366</v>
      </c>
      <c r="AB137" s="6">
        <f t="shared" si="70"/>
        <v>105.27240091618789</v>
      </c>
      <c r="AC137" s="6">
        <f t="shared" si="70"/>
        <v>107.54102115593173</v>
      </c>
      <c r="AD137" s="6">
        <f t="shared" si="70"/>
        <v>109.85853016184205</v>
      </c>
      <c r="AE137" s="6">
        <f t="shared" si="70"/>
        <v>112.22598148682975</v>
      </c>
      <c r="AF137" s="6">
        <f t="shared" si="70"/>
        <v>114.64445138787093</v>
      </c>
      <c r="AG137" s="6">
        <f t="shared" si="70"/>
        <v>117.11503931527955</v>
      </c>
      <c r="AH137" s="6">
        <f t="shared" si="70"/>
        <v>119.63886841252382</v>
      </c>
      <c r="AI137" s="6">
        <f t="shared" si="70"/>
        <v>122.2170860268137</v>
      </c>
      <c r="AJ137" s="6">
        <f t="shared" si="70"/>
        <v>124.85086423069153</v>
      </c>
      <c r="AK137" s="6">
        <f t="shared" si="70"/>
        <v>127.54140035486293</v>
      </c>
      <c r="AL137" s="6">
        <f t="shared" si="70"/>
        <v>130.28991753251023</v>
      </c>
      <c r="AM137" s="6">
        <f t="shared" si="70"/>
        <v>133.09766525533581</v>
      </c>
    </row>
    <row r="138" spans="2:39" ht="6" customHeight="1" x14ac:dyDescent="0.25">
      <c r="E138" s="144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</row>
    <row r="139" spans="2:39" x14ac:dyDescent="0.25">
      <c r="B139" s="14" t="e">
        <f>#REF!</f>
        <v>#REF!</v>
      </c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</row>
  </sheetData>
  <pageMargins left="0.7" right="0.7" top="0.75" bottom="0.75" header="0.3" footer="0.3"/>
  <pageSetup paperSize="3" scale="55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972DE-98BF-4BF5-9393-AFE74E023927}">
  <sheetPr>
    <tabColor theme="4" tint="-0.249977111117893"/>
  </sheetPr>
  <dimension ref="B2:BF62"/>
  <sheetViews>
    <sheetView view="pageLayout" zoomScaleNormal="85" workbookViewId="0">
      <selection activeCell="C13" sqref="C13"/>
    </sheetView>
  </sheetViews>
  <sheetFormatPr defaultRowHeight="12.75" x14ac:dyDescent="0.2"/>
  <cols>
    <col min="1" max="1" width="2.7109375" style="17" customWidth="1"/>
    <col min="2" max="2" width="17.140625" style="17" customWidth="1"/>
    <col min="3" max="3" width="14.5703125" style="17" customWidth="1"/>
    <col min="4" max="4" width="12.42578125" style="17" customWidth="1"/>
    <col min="5" max="6" width="14" style="17" customWidth="1"/>
    <col min="7" max="7" width="15" style="17" bestFit="1" customWidth="1"/>
    <col min="8" max="9" width="15" style="17" customWidth="1"/>
    <col min="10" max="11" width="15.28515625" style="17" bestFit="1" customWidth="1"/>
    <col min="12" max="12" width="16" style="17" customWidth="1"/>
    <col min="13" max="13" width="15.28515625" style="17" customWidth="1"/>
    <col min="14" max="16" width="14.5703125" style="17" customWidth="1"/>
    <col min="17" max="19" width="14.5703125" style="17" bestFit="1" customWidth="1"/>
    <col min="20" max="22" width="15.28515625" style="17" customWidth="1"/>
    <col min="23" max="23" width="2.7109375" style="17" customWidth="1"/>
    <col min="24" max="24" width="10.7109375" style="17" customWidth="1"/>
    <col min="25" max="25" width="9.140625" style="17"/>
    <col min="26" max="26" width="8" style="17" bestFit="1" customWidth="1"/>
    <col min="27" max="27" width="9.140625" style="17"/>
    <col min="28" max="28" width="4.42578125" style="17" customWidth="1"/>
    <col min="29" max="29" width="7.140625" style="140" customWidth="1"/>
    <col min="30" max="30" width="14.5703125" style="17" hidden="1" customWidth="1"/>
    <col min="31" max="31" width="12.42578125" style="17" hidden="1" customWidth="1"/>
    <col min="32" max="32" width="14" style="17" hidden="1" customWidth="1"/>
    <col min="33" max="33" width="14.5703125" style="17" hidden="1" customWidth="1"/>
    <col min="34" max="36" width="15" style="17" hidden="1" customWidth="1"/>
    <col min="37" max="38" width="15.28515625" style="17" hidden="1" customWidth="1"/>
    <col min="39" max="39" width="14.42578125" style="17" hidden="1" customWidth="1"/>
    <col min="40" max="40" width="15.28515625" style="17" hidden="1" customWidth="1"/>
    <col min="41" max="46" width="14.5703125" style="17" hidden="1" customWidth="1"/>
    <col min="47" max="49" width="15.28515625" style="17" hidden="1" customWidth="1"/>
    <col min="50" max="50" width="14.5703125" style="17" bestFit="1" customWidth="1"/>
    <col min="51" max="51" width="12.85546875" style="17" bestFit="1" customWidth="1"/>
    <col min="52" max="16384" width="9.140625" style="17"/>
  </cols>
  <sheetData>
    <row r="2" spans="2:58" ht="15.75" x14ac:dyDescent="0.25">
      <c r="B2" s="15"/>
      <c r="C2" s="16" t="s">
        <v>19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</row>
    <row r="3" spans="2:58" x14ac:dyDescent="0.2">
      <c r="B3" s="15"/>
      <c r="C3" s="18" t="s">
        <v>20</v>
      </c>
      <c r="D3" s="19" t="s">
        <v>21</v>
      </c>
      <c r="E3" s="19" t="s">
        <v>22</v>
      </c>
      <c r="F3" s="20" t="s">
        <v>23</v>
      </c>
      <c r="G3" s="20" t="s">
        <v>24</v>
      </c>
      <c r="H3" s="21" t="s">
        <v>25</v>
      </c>
      <c r="I3" s="18" t="s">
        <v>26</v>
      </c>
      <c r="J3" s="22" t="s">
        <v>27</v>
      </c>
      <c r="K3" s="22" t="s">
        <v>28</v>
      </c>
      <c r="L3" s="22" t="s">
        <v>29</v>
      </c>
      <c r="M3" s="22" t="s">
        <v>30</v>
      </c>
      <c r="N3" s="22" t="s">
        <v>31</v>
      </c>
      <c r="O3" s="22" t="s">
        <v>32</v>
      </c>
      <c r="P3" s="22" t="s">
        <v>33</v>
      </c>
      <c r="Q3" s="15"/>
      <c r="R3" s="15"/>
      <c r="S3" s="15"/>
      <c r="T3" s="23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</row>
    <row r="4" spans="2:58" ht="25.5" x14ac:dyDescent="0.2">
      <c r="B4" s="15"/>
      <c r="C4" s="24" t="s">
        <v>114</v>
      </c>
      <c r="D4" s="24" t="s">
        <v>34</v>
      </c>
      <c r="E4" s="25">
        <v>46.2</v>
      </c>
      <c r="F4" s="26">
        <v>45231</v>
      </c>
      <c r="G4" s="26">
        <v>56188</v>
      </c>
      <c r="H4" s="27">
        <v>30</v>
      </c>
      <c r="I4" s="28" t="s">
        <v>35</v>
      </c>
      <c r="J4" s="29">
        <v>-6.5905445502383024</v>
      </c>
      <c r="K4" s="29">
        <v>-45.567801851719764</v>
      </c>
      <c r="L4" s="29">
        <v>-44.830722414291856</v>
      </c>
      <c r="M4" s="30">
        <v>0.14463161009355491</v>
      </c>
      <c r="N4" s="31">
        <v>-6.5905445502383024</v>
      </c>
      <c r="O4" s="29">
        <v>-45.567801851719764</v>
      </c>
      <c r="P4" s="31">
        <v>-44.830722414291849</v>
      </c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</row>
    <row r="5" spans="2:58" x14ac:dyDescent="0.2">
      <c r="B5" s="15"/>
      <c r="C5" s="15"/>
      <c r="D5" s="15"/>
      <c r="E5" s="15"/>
      <c r="F5" s="15"/>
      <c r="G5" s="15"/>
      <c r="H5" s="15"/>
      <c r="I5" s="32" t="s">
        <v>36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</row>
    <row r="6" spans="2:58" ht="16.5" thickBot="1" x14ac:dyDescent="0.3">
      <c r="B6" s="15"/>
      <c r="C6" s="16" t="s">
        <v>87</v>
      </c>
      <c r="D6" s="15"/>
      <c r="E6" s="15"/>
      <c r="F6" s="15"/>
      <c r="G6" s="33"/>
      <c r="H6" s="33"/>
      <c r="I6" s="33"/>
      <c r="J6" s="15"/>
      <c r="K6" s="15"/>
      <c r="L6" s="15"/>
      <c r="M6" s="15"/>
      <c r="N6" s="15"/>
      <c r="O6" s="15"/>
      <c r="P6" s="15"/>
      <c r="Q6" s="15"/>
      <c r="R6" s="15"/>
      <c r="S6" s="15"/>
      <c r="U6" s="15"/>
      <c r="V6" s="15"/>
      <c r="W6" s="15"/>
      <c r="X6" s="16" t="s">
        <v>37</v>
      </c>
      <c r="Y6" s="15"/>
      <c r="Z6" s="15"/>
      <c r="AA6" s="15"/>
      <c r="AB6" s="15"/>
      <c r="AC6" s="34"/>
      <c r="AD6" s="16" t="s">
        <v>88</v>
      </c>
      <c r="AE6" s="15"/>
      <c r="AF6" s="15"/>
      <c r="AG6" s="15"/>
      <c r="AH6" s="33"/>
      <c r="AI6" s="33"/>
      <c r="AJ6" s="33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34"/>
      <c r="AV6" s="15"/>
      <c r="AW6" s="15"/>
    </row>
    <row r="7" spans="2:58" ht="45.75" customHeight="1" x14ac:dyDescent="0.25">
      <c r="B7" s="15"/>
      <c r="C7" s="35" t="s">
        <v>38</v>
      </c>
      <c r="D7" s="36" t="s">
        <v>39</v>
      </c>
      <c r="E7" s="37" t="s">
        <v>40</v>
      </c>
      <c r="F7" s="38" t="s">
        <v>41</v>
      </c>
      <c r="G7" s="36" t="s">
        <v>42</v>
      </c>
      <c r="H7" s="36" t="s">
        <v>43</v>
      </c>
      <c r="I7" s="36" t="s">
        <v>44</v>
      </c>
      <c r="J7" s="39" t="s">
        <v>45</v>
      </c>
      <c r="K7" s="36" t="s">
        <v>46</v>
      </c>
      <c r="L7" s="39" t="s">
        <v>47</v>
      </c>
      <c r="M7" s="39" t="s">
        <v>48</v>
      </c>
      <c r="N7" s="36" t="s">
        <v>49</v>
      </c>
      <c r="O7" s="36" t="s">
        <v>50</v>
      </c>
      <c r="P7" s="36" t="s">
        <v>51</v>
      </c>
      <c r="Q7" s="36" t="s">
        <v>52</v>
      </c>
      <c r="R7" s="36" t="s">
        <v>53</v>
      </c>
      <c r="S7" s="40" t="s">
        <v>54</v>
      </c>
      <c r="T7" s="41" t="s">
        <v>55</v>
      </c>
      <c r="U7" s="42" t="s">
        <v>56</v>
      </c>
      <c r="V7" s="43" t="s">
        <v>57</v>
      </c>
      <c r="W7" s="15"/>
      <c r="X7" s="20" t="s">
        <v>58</v>
      </c>
      <c r="Y7" s="20" t="s">
        <v>59</v>
      </c>
      <c r="Z7" s="20" t="s">
        <v>60</v>
      </c>
      <c r="AA7" s="20" t="s">
        <v>61</v>
      </c>
      <c r="AB7" s="15"/>
      <c r="AC7" s="136"/>
      <c r="AD7" s="35" t="s">
        <v>89</v>
      </c>
      <c r="AE7" s="36" t="s">
        <v>39</v>
      </c>
      <c r="AF7" s="37" t="s">
        <v>90</v>
      </c>
      <c r="AG7" s="38" t="s">
        <v>41</v>
      </c>
      <c r="AH7" s="36" t="s">
        <v>42</v>
      </c>
      <c r="AI7" s="36" t="s">
        <v>43</v>
      </c>
      <c r="AJ7" s="36" t="s">
        <v>44</v>
      </c>
      <c r="AK7" s="39" t="s">
        <v>45</v>
      </c>
      <c r="AL7" s="36" t="s">
        <v>46</v>
      </c>
      <c r="AM7" s="39" t="s">
        <v>47</v>
      </c>
      <c r="AN7" s="39" t="s">
        <v>48</v>
      </c>
      <c r="AO7" s="36" t="s">
        <v>49</v>
      </c>
      <c r="AP7" s="36" t="s">
        <v>50</v>
      </c>
      <c r="AQ7" s="36" t="s">
        <v>51</v>
      </c>
      <c r="AR7" s="43" t="s">
        <v>52</v>
      </c>
      <c r="AS7" s="43" t="s">
        <v>53</v>
      </c>
      <c r="AT7" s="43" t="s">
        <v>54</v>
      </c>
      <c r="AU7" s="41" t="s">
        <v>55</v>
      </c>
      <c r="AV7" s="42" t="s">
        <v>56</v>
      </c>
      <c r="AW7" s="43" t="s">
        <v>57</v>
      </c>
      <c r="AX7" s="42" t="s">
        <v>91</v>
      </c>
    </row>
    <row r="8" spans="2:58" x14ac:dyDescent="0.2">
      <c r="B8" s="44" t="s">
        <v>62</v>
      </c>
      <c r="C8" s="45">
        <v>0</v>
      </c>
      <c r="D8" s="46">
        <v>0</v>
      </c>
      <c r="E8" s="47">
        <v>0</v>
      </c>
      <c r="F8" s="48">
        <v>24.051183244956572</v>
      </c>
      <c r="G8" s="46">
        <v>-34.393575333999195</v>
      </c>
      <c r="H8" s="46">
        <v>-3.4893433137297465</v>
      </c>
      <c r="I8" s="46">
        <v>0</v>
      </c>
      <c r="J8" s="46">
        <v>-3.4597291368183569</v>
      </c>
      <c r="K8" s="46">
        <v>-1.6525668440336181</v>
      </c>
      <c r="L8" s="46">
        <v>-0.78997508610206857</v>
      </c>
      <c r="M8" s="47">
        <v>-1.245385628471269</v>
      </c>
      <c r="N8" s="46">
        <v>0</v>
      </c>
      <c r="O8" s="46">
        <v>0</v>
      </c>
      <c r="P8" s="46">
        <v>0</v>
      </c>
      <c r="Q8" s="46">
        <v>0.70611052935904128</v>
      </c>
      <c r="R8" s="46">
        <v>0</v>
      </c>
      <c r="S8" s="49">
        <v>0</v>
      </c>
      <c r="T8" s="50">
        <v>-20.273281568838641</v>
      </c>
      <c r="U8" s="51">
        <v>-20.273281568838641</v>
      </c>
      <c r="V8" s="52">
        <v>0.70611052935904128</v>
      </c>
      <c r="W8" s="15"/>
      <c r="X8" s="53"/>
      <c r="Y8" s="15"/>
      <c r="Z8" s="15"/>
      <c r="AA8" s="15"/>
      <c r="AB8" s="15"/>
      <c r="AC8" s="34"/>
      <c r="AD8" s="45">
        <v>0</v>
      </c>
      <c r="AE8" s="46">
        <v>0</v>
      </c>
      <c r="AF8" s="47">
        <v>0</v>
      </c>
      <c r="AG8" s="48">
        <v>164.80654581390891</v>
      </c>
      <c r="AH8" s="46">
        <v>-235.82693287456672</v>
      </c>
      <c r="AI8" s="46">
        <v>-24.106009531942732</v>
      </c>
      <c r="AJ8" s="46">
        <v>0</v>
      </c>
      <c r="AK8" s="46">
        <v>-23.78366154335189</v>
      </c>
      <c r="AL8" s="46">
        <v>-11.323492782337558</v>
      </c>
      <c r="AM8" s="46">
        <v>-5.4257836060315059</v>
      </c>
      <c r="AN8" s="47">
        <v>-8.5360909807737713</v>
      </c>
      <c r="AO8" s="46">
        <v>0</v>
      </c>
      <c r="AP8" s="46">
        <v>0</v>
      </c>
      <c r="AQ8" s="46">
        <v>0</v>
      </c>
      <c r="AR8" s="52">
        <v>6.2909091921721521</v>
      </c>
      <c r="AS8" s="52">
        <v>0</v>
      </c>
      <c r="AT8" s="52">
        <v>0</v>
      </c>
      <c r="AU8" s="50">
        <v>-137.90451631292308</v>
      </c>
      <c r="AV8" s="51">
        <v>-137.90451631292308</v>
      </c>
      <c r="AW8" s="52">
        <v>6.2909091921721529</v>
      </c>
      <c r="AX8" s="51">
        <v>-137.90451631292311</v>
      </c>
    </row>
    <row r="9" spans="2:58" x14ac:dyDescent="0.2">
      <c r="B9" s="44" t="s">
        <v>63</v>
      </c>
      <c r="C9" s="54">
        <v>0</v>
      </c>
      <c r="D9" s="55">
        <v>0</v>
      </c>
      <c r="E9" s="56">
        <v>0</v>
      </c>
      <c r="F9" s="57">
        <v>51525099.795798607</v>
      </c>
      <c r="G9" s="55">
        <v>-73681713.842092752</v>
      </c>
      <c r="H9" s="55">
        <v>-7475256.4408417922</v>
      </c>
      <c r="I9" s="55">
        <v>0</v>
      </c>
      <c r="J9" s="55">
        <v>-7411813.6819060231</v>
      </c>
      <c r="K9" s="55">
        <v>-3540311.1227766904</v>
      </c>
      <c r="L9" s="55">
        <v>-1692371.836056716</v>
      </c>
      <c r="M9" s="55">
        <v>-2668002.5734156501</v>
      </c>
      <c r="N9" s="55">
        <v>0</v>
      </c>
      <c r="O9" s="55">
        <v>0</v>
      </c>
      <c r="P9" s="58">
        <v>0</v>
      </c>
      <c r="Q9" s="58">
        <v>1512707.9246597157</v>
      </c>
      <c r="R9" s="58">
        <v>0</v>
      </c>
      <c r="S9" s="59">
        <v>0</v>
      </c>
      <c r="T9" s="60">
        <v>-43431661.776631303</v>
      </c>
      <c r="U9" s="61">
        <v>-43431661.776631303</v>
      </c>
      <c r="V9" s="62">
        <v>1512707.9246597157</v>
      </c>
      <c r="W9" s="15"/>
      <c r="X9" s="63">
        <v>2142310.3915938605</v>
      </c>
      <c r="Y9" s="64">
        <v>3539.8708014684753</v>
      </c>
      <c r="Z9" s="65">
        <v>0.48708316105173716</v>
      </c>
      <c r="AA9" s="63">
        <v>6589.9959321359711</v>
      </c>
      <c r="AB9" s="15"/>
      <c r="AC9" s="34"/>
      <c r="AD9" s="54">
        <v>0</v>
      </c>
      <c r="AE9" s="55">
        <v>0</v>
      </c>
      <c r="AF9" s="56">
        <v>0</v>
      </c>
      <c r="AG9" s="57">
        <v>353066775.69982672</v>
      </c>
      <c r="AH9" s="55">
        <v>-505214488.91489208</v>
      </c>
      <c r="AI9" s="55">
        <v>-51642554.720141567</v>
      </c>
      <c r="AJ9" s="55">
        <v>0</v>
      </c>
      <c r="AK9" s="55">
        <v>-50951985.274474025</v>
      </c>
      <c r="AL9" s="55">
        <v>-24258436.256739825</v>
      </c>
      <c r="AM9" s="55">
        <v>-11623712.601740904</v>
      </c>
      <c r="AN9" s="55">
        <v>-18286956.411702279</v>
      </c>
      <c r="AO9" s="55">
        <v>0</v>
      </c>
      <c r="AP9" s="55">
        <v>0</v>
      </c>
      <c r="AQ9" s="55">
        <v>0</v>
      </c>
      <c r="AR9" s="62">
        <v>13477080.13496374</v>
      </c>
      <c r="AS9" s="62">
        <v>0</v>
      </c>
      <c r="AT9" s="62">
        <v>0</v>
      </c>
      <c r="AU9" s="60">
        <v>-295434278.34490019</v>
      </c>
      <c r="AV9" s="61">
        <v>-295434278.34490019</v>
      </c>
      <c r="AW9" s="62">
        <v>13477080.134963742</v>
      </c>
      <c r="AX9" s="61">
        <v>-295434278.34490019</v>
      </c>
    </row>
    <row r="10" spans="2:58" ht="13.5" thickBot="1" x14ac:dyDescent="0.25">
      <c r="B10" s="44" t="s">
        <v>64</v>
      </c>
      <c r="C10" s="66">
        <v>0</v>
      </c>
      <c r="D10" s="67">
        <v>0</v>
      </c>
      <c r="E10" s="67">
        <v>0</v>
      </c>
      <c r="F10" s="68">
        <v>7.8186846132237475</v>
      </c>
      <c r="G10" s="67">
        <v>-11.180843600037063</v>
      </c>
      <c r="H10" s="67">
        <v>-1.1343339992652905</v>
      </c>
      <c r="I10" s="67">
        <v>0</v>
      </c>
      <c r="J10" s="67">
        <v>-1.1247068675357561</v>
      </c>
      <c r="K10" s="67">
        <v>-0.53722508469427732</v>
      </c>
      <c r="L10" s="67">
        <v>-0.2568092383492836</v>
      </c>
      <c r="M10" s="67">
        <v>-0.40485648259738582</v>
      </c>
      <c r="N10" s="67">
        <v>0</v>
      </c>
      <c r="O10" s="67">
        <v>0</v>
      </c>
      <c r="P10" s="67">
        <v>0</v>
      </c>
      <c r="Q10" s="67">
        <v>0.22954610901700692</v>
      </c>
      <c r="R10" s="67">
        <v>0</v>
      </c>
      <c r="S10" s="67">
        <v>0</v>
      </c>
      <c r="T10" s="69">
        <v>-6.5905445502383024</v>
      </c>
      <c r="U10" s="70">
        <v>-6.5905445502383024</v>
      </c>
      <c r="V10" s="67">
        <v>0.22954610901700692</v>
      </c>
      <c r="W10" s="15"/>
      <c r="X10" s="71"/>
      <c r="Y10" s="72"/>
      <c r="Z10" s="73"/>
      <c r="AA10" s="72"/>
      <c r="AB10" s="15"/>
      <c r="AC10" s="34"/>
      <c r="AD10" s="66">
        <v>0</v>
      </c>
      <c r="AE10" s="67">
        <v>0</v>
      </c>
      <c r="AF10" s="67">
        <v>0</v>
      </c>
      <c r="AG10" s="68">
        <v>53.576175059244619</v>
      </c>
      <c r="AH10" s="67">
        <v>-76.663854442037618</v>
      </c>
      <c r="AI10" s="67">
        <v>-7.8365078297404978</v>
      </c>
      <c r="AJ10" s="67">
        <v>0</v>
      </c>
      <c r="AK10" s="67">
        <v>-7.7317172573670012</v>
      </c>
      <c r="AL10" s="67">
        <v>-3.6811003385364915</v>
      </c>
      <c r="AM10" s="67">
        <v>-1.7638421512611449</v>
      </c>
      <c r="AN10" s="67">
        <v>-2.7749571623445677</v>
      </c>
      <c r="AO10" s="67">
        <v>0</v>
      </c>
      <c r="AP10" s="67">
        <v>0</v>
      </c>
      <c r="AQ10" s="67">
        <v>0</v>
      </c>
      <c r="AR10" s="67">
        <v>2.045081707750843</v>
      </c>
      <c r="AS10" s="67">
        <v>0</v>
      </c>
      <c r="AT10" s="67">
        <v>0</v>
      </c>
      <c r="AU10" s="69">
        <v>-44.830722414291856</v>
      </c>
      <c r="AV10" s="70">
        <v>-44.830722414291856</v>
      </c>
      <c r="AW10" s="67">
        <v>2.045081707750843</v>
      </c>
      <c r="AX10" s="70">
        <v>-44.830722414291849</v>
      </c>
    </row>
    <row r="11" spans="2:58" x14ac:dyDescent="0.2">
      <c r="B11" s="74"/>
      <c r="C11" s="75"/>
      <c r="D11" s="75"/>
      <c r="E11" s="75"/>
      <c r="F11" s="75"/>
      <c r="G11" s="75"/>
      <c r="H11" s="75"/>
      <c r="I11" s="75"/>
      <c r="J11" s="5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15"/>
      <c r="X11" s="76"/>
      <c r="Y11" s="15"/>
      <c r="Z11" s="15"/>
      <c r="AA11" s="15"/>
      <c r="AB11" s="15"/>
      <c r="AC11" s="34"/>
      <c r="AD11" s="34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137">
        <v>-45.567801851719764</v>
      </c>
      <c r="AV11" s="137">
        <v>-45.567801851719764</v>
      </c>
      <c r="AW11" s="75"/>
    </row>
    <row r="12" spans="2:58" ht="16.5" thickBot="1" x14ac:dyDescent="0.3">
      <c r="B12" s="15"/>
      <c r="C12" s="16" t="s">
        <v>92</v>
      </c>
      <c r="D12" s="15"/>
      <c r="E12" s="15"/>
      <c r="F12" s="16"/>
      <c r="G12" s="15"/>
      <c r="H12" s="15"/>
      <c r="I12" s="15"/>
      <c r="J12" s="15"/>
      <c r="K12" s="15"/>
      <c r="L12" s="15"/>
      <c r="M12" s="15"/>
      <c r="N12" s="15"/>
      <c r="Q12" s="15"/>
      <c r="R12" s="15"/>
      <c r="S12" s="15"/>
      <c r="T12" s="15"/>
      <c r="U12" s="15"/>
      <c r="V12" s="15"/>
      <c r="W12" s="15"/>
      <c r="X12" s="16" t="s">
        <v>65</v>
      </c>
      <c r="Y12" s="15"/>
      <c r="Z12" s="15"/>
      <c r="AA12" s="15"/>
      <c r="AB12" s="15"/>
      <c r="AC12" s="34"/>
      <c r="AD12" s="16" t="s">
        <v>88</v>
      </c>
      <c r="AE12" s="15"/>
      <c r="AF12" s="15"/>
      <c r="AG12" s="16"/>
      <c r="AH12" s="15"/>
      <c r="AI12" s="15"/>
      <c r="AJ12" s="15"/>
      <c r="AK12" s="15"/>
      <c r="AL12" s="15"/>
      <c r="AM12" s="15"/>
      <c r="AN12" s="15"/>
      <c r="AO12" s="15"/>
      <c r="AR12" s="15"/>
      <c r="AS12" s="15"/>
      <c r="AT12" s="15"/>
      <c r="AU12" s="15"/>
      <c r="AV12" s="15"/>
      <c r="AW12" s="15"/>
    </row>
    <row r="13" spans="2:58" ht="38.25" x14ac:dyDescent="0.2">
      <c r="B13" s="18" t="s">
        <v>66</v>
      </c>
      <c r="C13" s="77" t="s">
        <v>38</v>
      </c>
      <c r="D13" s="77" t="s">
        <v>39</v>
      </c>
      <c r="E13" s="77" t="s">
        <v>67</v>
      </c>
      <c r="F13" s="77" t="s">
        <v>41</v>
      </c>
      <c r="G13" s="77" t="s">
        <v>42</v>
      </c>
      <c r="H13" s="77" t="s">
        <v>43</v>
      </c>
      <c r="I13" s="77" t="s">
        <v>44</v>
      </c>
      <c r="J13" s="77" t="s">
        <v>45</v>
      </c>
      <c r="K13" s="77" t="s">
        <v>46</v>
      </c>
      <c r="L13" s="77" t="s">
        <v>47</v>
      </c>
      <c r="M13" s="77" t="s">
        <v>48</v>
      </c>
      <c r="N13" s="77" t="s">
        <v>49</v>
      </c>
      <c r="O13" s="77" t="s">
        <v>50</v>
      </c>
      <c r="P13" s="77" t="s">
        <v>51</v>
      </c>
      <c r="Q13" s="77" t="s">
        <v>52</v>
      </c>
      <c r="R13" s="77" t="s">
        <v>53</v>
      </c>
      <c r="S13" s="78" t="s">
        <v>54</v>
      </c>
      <c r="T13" s="79" t="s">
        <v>55</v>
      </c>
      <c r="U13" s="80" t="s">
        <v>56</v>
      </c>
      <c r="V13" s="81" t="s">
        <v>57</v>
      </c>
      <c r="W13" s="15"/>
      <c r="X13" s="77" t="s">
        <v>68</v>
      </c>
      <c r="Y13" s="77" t="s">
        <v>69</v>
      </c>
      <c r="Z13" s="77" t="s">
        <v>70</v>
      </c>
      <c r="AA13" s="77" t="s">
        <v>71</v>
      </c>
      <c r="AB13" s="15"/>
      <c r="AC13" s="19" t="s">
        <v>93</v>
      </c>
      <c r="AD13" s="77" t="s">
        <v>89</v>
      </c>
      <c r="AE13" s="77" t="s">
        <v>39</v>
      </c>
      <c r="AF13" s="77" t="s">
        <v>67</v>
      </c>
      <c r="AG13" s="77" t="s">
        <v>41</v>
      </c>
      <c r="AH13" s="77" t="s">
        <v>42</v>
      </c>
      <c r="AI13" s="77" t="s">
        <v>43</v>
      </c>
      <c r="AJ13" s="77" t="s">
        <v>44</v>
      </c>
      <c r="AK13" s="77" t="s">
        <v>45</v>
      </c>
      <c r="AL13" s="77" t="s">
        <v>46</v>
      </c>
      <c r="AM13" s="77" t="s">
        <v>47</v>
      </c>
      <c r="AN13" s="77" t="s">
        <v>48</v>
      </c>
      <c r="AO13" s="77" t="s">
        <v>49</v>
      </c>
      <c r="AP13" s="77" t="s">
        <v>50</v>
      </c>
      <c r="AQ13" s="77" t="s">
        <v>51</v>
      </c>
      <c r="AR13" s="81" t="s">
        <v>52</v>
      </c>
      <c r="AS13" s="81" t="s">
        <v>53</v>
      </c>
      <c r="AT13" s="81" t="s">
        <v>54</v>
      </c>
      <c r="AU13" s="79" t="s">
        <v>55</v>
      </c>
      <c r="AV13" s="80" t="s">
        <v>56</v>
      </c>
      <c r="AW13" s="81" t="s">
        <v>57</v>
      </c>
      <c r="AX13" s="80" t="s">
        <v>56</v>
      </c>
    </row>
    <row r="14" spans="2:58" x14ac:dyDescent="0.2">
      <c r="B14" s="82">
        <v>2023</v>
      </c>
      <c r="C14" s="83">
        <v>0</v>
      </c>
      <c r="D14" s="83">
        <v>0</v>
      </c>
      <c r="E14" s="83">
        <v>0</v>
      </c>
      <c r="F14" s="83">
        <v>1779962.9969481791</v>
      </c>
      <c r="G14" s="83">
        <v>-1942321.4872679671</v>
      </c>
      <c r="H14" s="83">
        <v>-3431.5830749089114</v>
      </c>
      <c r="I14" s="83">
        <v>0</v>
      </c>
      <c r="J14" s="83">
        <v>-131757.18920968979</v>
      </c>
      <c r="K14" s="83">
        <v>0</v>
      </c>
      <c r="L14" s="83">
        <v>0</v>
      </c>
      <c r="M14" s="83">
        <v>-108739.30299955829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4">
        <v>-406286.56560394494</v>
      </c>
      <c r="U14" s="85">
        <v>-406286.56560394494</v>
      </c>
      <c r="V14" s="83">
        <v>0</v>
      </c>
      <c r="W14" s="34"/>
      <c r="X14" s="86">
        <v>46287.262577259244</v>
      </c>
      <c r="Y14" s="87">
        <v>31.616982634739919</v>
      </c>
      <c r="Z14" s="88">
        <v>0.68435027347921895</v>
      </c>
      <c r="AA14" s="87">
        <v>7.7210958904109592</v>
      </c>
      <c r="AB14" s="15"/>
      <c r="AC14" s="138">
        <v>0.14593584936919879</v>
      </c>
      <c r="AD14" s="83">
        <v>0</v>
      </c>
      <c r="AE14" s="83">
        <v>0</v>
      </c>
      <c r="AF14" s="83">
        <v>0</v>
      </c>
      <c r="AG14" s="83">
        <v>12196886.540503858</v>
      </c>
      <c r="AH14" s="83">
        <v>-13309419.828394225</v>
      </c>
      <c r="AI14" s="83">
        <v>-23514.325573474758</v>
      </c>
      <c r="AJ14" s="83">
        <v>0</v>
      </c>
      <c r="AK14" s="83">
        <v>-902843.19979774929</v>
      </c>
      <c r="AL14" s="83">
        <v>0</v>
      </c>
      <c r="AM14" s="83">
        <v>0</v>
      </c>
      <c r="AN14" s="83">
        <v>-745117.14201533818</v>
      </c>
      <c r="AO14" s="83">
        <v>0</v>
      </c>
      <c r="AP14" s="83">
        <v>0</v>
      </c>
      <c r="AQ14" s="83">
        <v>0</v>
      </c>
      <c r="AR14" s="83">
        <v>0</v>
      </c>
      <c r="AS14" s="83">
        <v>0</v>
      </c>
      <c r="AT14" s="83">
        <v>0</v>
      </c>
      <c r="AU14" s="84">
        <v>-2784007.9552769298</v>
      </c>
      <c r="AV14" s="85">
        <v>-2784007.9552769298</v>
      </c>
      <c r="AW14" s="83">
        <v>0</v>
      </c>
      <c r="AX14" s="85">
        <v>-2784007.9552769284</v>
      </c>
      <c r="AZ14" s="170"/>
      <c r="BA14" s="17">
        <v>-5775483.8470868394</v>
      </c>
      <c r="BB14" s="17">
        <v>-9374411.1090440303</v>
      </c>
      <c r="BC14" s="17">
        <v>3598927.2619571909</v>
      </c>
      <c r="BD14" s="17">
        <v>3598927.2619571909</v>
      </c>
      <c r="BE14" s="17">
        <v>0</v>
      </c>
    </row>
    <row r="15" spans="2:58" x14ac:dyDescent="0.2">
      <c r="B15" s="82">
        <v>2024</v>
      </c>
      <c r="C15" s="83">
        <v>0</v>
      </c>
      <c r="D15" s="89">
        <v>0</v>
      </c>
      <c r="E15" s="89">
        <v>0</v>
      </c>
      <c r="F15" s="83">
        <v>7929542.4036068404</v>
      </c>
      <c r="G15" s="83">
        <v>-9714098.6666223183</v>
      </c>
      <c r="H15" s="83">
        <v>-28976.318074786377</v>
      </c>
      <c r="I15" s="83">
        <v>0</v>
      </c>
      <c r="J15" s="83">
        <v>-498692.38711295248</v>
      </c>
      <c r="K15" s="83">
        <v>-560364.22693545942</v>
      </c>
      <c r="L15" s="83">
        <v>0</v>
      </c>
      <c r="M15" s="83">
        <v>-403710.2008299306</v>
      </c>
      <c r="N15" s="84">
        <v>0</v>
      </c>
      <c r="O15" s="58">
        <v>0</v>
      </c>
      <c r="P15" s="58">
        <v>0</v>
      </c>
      <c r="Q15" s="89">
        <v>0</v>
      </c>
      <c r="R15" s="89">
        <v>0</v>
      </c>
      <c r="S15" s="89">
        <v>0</v>
      </c>
      <c r="T15" s="84">
        <v>-3276299.3959686067</v>
      </c>
      <c r="U15" s="85">
        <v>-3276299.3959686067</v>
      </c>
      <c r="V15" s="89">
        <v>0</v>
      </c>
      <c r="W15" s="34"/>
      <c r="X15" s="86">
        <v>199331.25103338799</v>
      </c>
      <c r="Y15" s="87">
        <v>22.692537685950363</v>
      </c>
      <c r="Z15" s="90">
        <v>0.49118046939286497</v>
      </c>
      <c r="AA15" s="87">
        <v>46.2</v>
      </c>
      <c r="AB15" s="15"/>
      <c r="AC15" s="138">
        <v>0.14593584936919879</v>
      </c>
      <c r="AD15" s="83">
        <v>0</v>
      </c>
      <c r="AE15" s="89">
        <v>0</v>
      </c>
      <c r="AF15" s="89">
        <v>0</v>
      </c>
      <c r="AG15" s="83">
        <v>54335808.767221585</v>
      </c>
      <c r="AH15" s="83">
        <v>-66564169.863752306</v>
      </c>
      <c r="AI15" s="83">
        <v>-198555.17475682104</v>
      </c>
      <c r="AJ15" s="83">
        <v>0</v>
      </c>
      <c r="AK15" s="83">
        <v>-3417202.759078925</v>
      </c>
      <c r="AL15" s="83">
        <v>-3839798.3042385327</v>
      </c>
      <c r="AM15" s="83">
        <v>0</v>
      </c>
      <c r="AN15" s="83">
        <v>-2766353.8642146531</v>
      </c>
      <c r="AO15" s="84">
        <v>0</v>
      </c>
      <c r="AP15" s="58">
        <v>0</v>
      </c>
      <c r="AQ15" s="58">
        <v>0</v>
      </c>
      <c r="AR15" s="89">
        <v>0</v>
      </c>
      <c r="AS15" s="89">
        <v>0</v>
      </c>
      <c r="AT15" s="89">
        <v>0</v>
      </c>
      <c r="AU15" s="84">
        <v>-22450271.198819652</v>
      </c>
      <c r="AV15" s="85">
        <v>-22450271.198819652</v>
      </c>
      <c r="AW15" s="89">
        <v>0</v>
      </c>
      <c r="AX15" s="85">
        <v>-22450271.198819652</v>
      </c>
      <c r="AZ15" s="170"/>
      <c r="BA15" s="17">
        <v>-6256340.1309828367</v>
      </c>
      <c r="BB15" s="17">
        <v>-9541632.4896676634</v>
      </c>
      <c r="BC15" s="17">
        <v>3285292.3586848266</v>
      </c>
      <c r="BD15" s="17">
        <v>6884219.6206420176</v>
      </c>
      <c r="BE15" s="17">
        <v>-2935437.6885816609</v>
      </c>
      <c r="BF15" s="17">
        <v>-2486018.6339708441</v>
      </c>
    </row>
    <row r="16" spans="2:58" x14ac:dyDescent="0.2">
      <c r="B16" s="82">
        <v>2025</v>
      </c>
      <c r="C16" s="83">
        <v>0</v>
      </c>
      <c r="D16" s="89">
        <v>0</v>
      </c>
      <c r="E16" s="89">
        <v>0</v>
      </c>
      <c r="F16" s="83">
        <v>7899816.2130337832</v>
      </c>
      <c r="G16" s="83">
        <v>-9079144.6503306944</v>
      </c>
      <c r="H16" s="83">
        <v>-73538.381452152869</v>
      </c>
      <c r="I16" s="83">
        <v>0</v>
      </c>
      <c r="J16" s="83">
        <v>-509191.65791096049</v>
      </c>
      <c r="K16" s="83">
        <v>-504378.97878777486</v>
      </c>
      <c r="L16" s="83">
        <v>0</v>
      </c>
      <c r="M16" s="83">
        <v>-539502.8613423577</v>
      </c>
      <c r="N16" s="84">
        <v>0</v>
      </c>
      <c r="O16" s="58">
        <v>0</v>
      </c>
      <c r="P16" s="58">
        <v>0</v>
      </c>
      <c r="Q16" s="89">
        <v>0</v>
      </c>
      <c r="R16" s="89">
        <v>0</v>
      </c>
      <c r="S16" s="89">
        <v>0</v>
      </c>
      <c r="T16" s="84">
        <v>-2805940.316790157</v>
      </c>
      <c r="U16" s="85">
        <v>-2805940.316790157</v>
      </c>
      <c r="V16" s="89">
        <v>0</v>
      </c>
      <c r="W16" s="34"/>
      <c r="X16" s="86">
        <v>198584.00000000061</v>
      </c>
      <c r="Y16" s="87">
        <v>22.669406392694135</v>
      </c>
      <c r="Z16" s="90">
        <v>0.49067979204965656</v>
      </c>
      <c r="AA16" s="87">
        <v>46.2</v>
      </c>
      <c r="AB16" s="15"/>
      <c r="AC16" s="138">
        <v>0.14593584936919879</v>
      </c>
      <c r="AD16" s="83">
        <v>0</v>
      </c>
      <c r="AE16" s="89">
        <v>0</v>
      </c>
      <c r="AF16" s="89">
        <v>0</v>
      </c>
      <c r="AG16" s="83">
        <v>54132115.221725076</v>
      </c>
      <c r="AH16" s="83">
        <v>-62213258.014222637</v>
      </c>
      <c r="AI16" s="83">
        <v>-503908.95568168652</v>
      </c>
      <c r="AJ16" s="83">
        <v>0</v>
      </c>
      <c r="AK16" s="83">
        <v>-3489147.1842725333</v>
      </c>
      <c r="AL16" s="83">
        <v>-3456169.1384805758</v>
      </c>
      <c r="AM16" s="83">
        <v>0</v>
      </c>
      <c r="AN16" s="83">
        <v>-3696849.4285285953</v>
      </c>
      <c r="AO16" s="84">
        <v>0</v>
      </c>
      <c r="AP16" s="58">
        <v>0</v>
      </c>
      <c r="AQ16" s="58">
        <v>0</v>
      </c>
      <c r="AR16" s="89">
        <v>0</v>
      </c>
      <c r="AS16" s="89">
        <v>0</v>
      </c>
      <c r="AT16" s="89">
        <v>0</v>
      </c>
      <c r="AU16" s="84">
        <v>-19227217.49946095</v>
      </c>
      <c r="AV16" s="85">
        <v>-19227217.49946095</v>
      </c>
      <c r="AW16" s="89">
        <v>0</v>
      </c>
      <c r="AX16" s="85">
        <v>-19227217.499460954</v>
      </c>
      <c r="AZ16" s="170"/>
      <c r="BA16" s="17">
        <v>-6579002.6700927224</v>
      </c>
      <c r="BB16" s="17">
        <v>-9762905.8963031583</v>
      </c>
      <c r="BC16" s="17">
        <v>3183903.2262104359</v>
      </c>
      <c r="BD16" s="17">
        <v>10068122.846852453</v>
      </c>
      <c r="BE16" s="17">
        <v>-2616131.3787624608</v>
      </c>
      <c r="BF16" s="17">
        <v>-2427743.8285984769</v>
      </c>
    </row>
    <row r="17" spans="2:58" x14ac:dyDescent="0.2">
      <c r="B17" s="82">
        <v>2026</v>
      </c>
      <c r="C17" s="83">
        <v>0</v>
      </c>
      <c r="D17" s="89">
        <v>0</v>
      </c>
      <c r="E17" s="89">
        <v>0</v>
      </c>
      <c r="F17" s="83">
        <v>8163143.4201349076</v>
      </c>
      <c r="G17" s="83">
        <v>-8615977.5113122407</v>
      </c>
      <c r="H17" s="83">
        <v>-116535.14493748253</v>
      </c>
      <c r="I17" s="83">
        <v>0</v>
      </c>
      <c r="J17" s="83">
        <v>-520378.65224718564</v>
      </c>
      <c r="K17" s="83">
        <v>-465103.68928850931</v>
      </c>
      <c r="L17" s="83">
        <v>-46287.262577259244</v>
      </c>
      <c r="M17" s="83">
        <v>-571484.96005632356</v>
      </c>
      <c r="N17" s="84">
        <v>0</v>
      </c>
      <c r="O17" s="58">
        <v>0</v>
      </c>
      <c r="P17" s="58">
        <v>0</v>
      </c>
      <c r="Q17" s="89">
        <v>0</v>
      </c>
      <c r="R17" s="89">
        <v>0</v>
      </c>
      <c r="S17" s="89">
        <v>0</v>
      </c>
      <c r="T17" s="84">
        <v>-2172623.8002840932</v>
      </c>
      <c r="U17" s="85">
        <v>-2172623.8002840932</v>
      </c>
      <c r="V17" s="89">
        <v>0</v>
      </c>
      <c r="W17" s="34"/>
      <c r="X17" s="86">
        <v>198584.00000000061</v>
      </c>
      <c r="Y17" s="87">
        <v>22.669406392694135</v>
      </c>
      <c r="Z17" s="90">
        <v>0.49067979204965656</v>
      </c>
      <c r="AA17" s="87">
        <v>46.2</v>
      </c>
      <c r="AB17" s="15"/>
      <c r="AC17" s="138">
        <v>0.14593584936919879</v>
      </c>
      <c r="AD17" s="83">
        <v>0</v>
      </c>
      <c r="AE17" s="89">
        <v>0</v>
      </c>
      <c r="AF17" s="89">
        <v>0</v>
      </c>
      <c r="AG17" s="83">
        <v>55936519.062449232</v>
      </c>
      <c r="AH17" s="83">
        <v>-59039485.832675248</v>
      </c>
      <c r="AI17" s="83">
        <v>-798536.79161906079</v>
      </c>
      <c r="AJ17" s="83">
        <v>0</v>
      </c>
      <c r="AK17" s="83">
        <v>-3565804.1152773579</v>
      </c>
      <c r="AL17" s="83">
        <v>-3187042.0551146227</v>
      </c>
      <c r="AM17" s="83">
        <v>-317175.4080805633</v>
      </c>
      <c r="AN17" s="83">
        <v>-3916001.1918013417</v>
      </c>
      <c r="AO17" s="84">
        <v>0</v>
      </c>
      <c r="AP17" s="58">
        <v>0</v>
      </c>
      <c r="AQ17" s="58">
        <v>0</v>
      </c>
      <c r="AR17" s="89">
        <v>0</v>
      </c>
      <c r="AS17" s="89">
        <v>0</v>
      </c>
      <c r="AT17" s="89">
        <v>0</v>
      </c>
      <c r="AU17" s="84">
        <v>-14887526.332118962</v>
      </c>
      <c r="AV17" s="85">
        <v>-14887526.332118962</v>
      </c>
      <c r="AW17" s="89">
        <v>0</v>
      </c>
      <c r="AX17" s="85">
        <v>-14887526.332118962</v>
      </c>
      <c r="AZ17" s="170"/>
      <c r="BA17" s="17">
        <v>-6820154.5356502505</v>
      </c>
      <c r="BB17" s="17">
        <v>-10414647.130571123</v>
      </c>
      <c r="BC17" s="17">
        <v>3594492.5949208727</v>
      </c>
      <c r="BD17" s="17">
        <v>13662615.441773325</v>
      </c>
      <c r="BE17" s="17">
        <v>-2397824.1312298197</v>
      </c>
      <c r="BF17" s="17">
        <v>-2303286.5480030561</v>
      </c>
    </row>
    <row r="18" spans="2:58" x14ac:dyDescent="0.2">
      <c r="B18" s="82">
        <v>2027</v>
      </c>
      <c r="C18" s="83">
        <v>0</v>
      </c>
      <c r="D18" s="89">
        <v>0</v>
      </c>
      <c r="E18" s="89">
        <v>0</v>
      </c>
      <c r="F18" s="83">
        <v>8426470.6272360347</v>
      </c>
      <c r="G18" s="83">
        <v>-8217230.463825739</v>
      </c>
      <c r="H18" s="83">
        <v>-158766.09980781679</v>
      </c>
      <c r="I18" s="83">
        <v>0</v>
      </c>
      <c r="J18" s="83">
        <v>-531336.40610801766</v>
      </c>
      <c r="K18" s="83">
        <v>-435839.40656929923</v>
      </c>
      <c r="L18" s="83">
        <v>-198584.00000000061</v>
      </c>
      <c r="M18" s="83">
        <v>-651278.73529096972</v>
      </c>
      <c r="N18" s="84">
        <v>0</v>
      </c>
      <c r="O18" s="58">
        <v>0</v>
      </c>
      <c r="P18" s="58">
        <v>0</v>
      </c>
      <c r="Q18" s="89">
        <v>0</v>
      </c>
      <c r="R18" s="89">
        <v>0</v>
      </c>
      <c r="S18" s="89">
        <v>0</v>
      </c>
      <c r="T18" s="84">
        <v>-1766564.4843658083</v>
      </c>
      <c r="U18" s="85">
        <v>-1766564.4843658083</v>
      </c>
      <c r="V18" s="89">
        <v>0</v>
      </c>
      <c r="W18" s="34"/>
      <c r="X18" s="86">
        <v>198584.00000000061</v>
      </c>
      <c r="Y18" s="87">
        <v>22.669406392694135</v>
      </c>
      <c r="Z18" s="90">
        <v>0.49067979204965656</v>
      </c>
      <c r="AA18" s="87">
        <v>46.2</v>
      </c>
      <c r="AB18" s="15"/>
      <c r="AC18" s="138">
        <v>0.14593584936919879</v>
      </c>
      <c r="AD18" s="83">
        <v>0</v>
      </c>
      <c r="AE18" s="89">
        <v>0</v>
      </c>
      <c r="AF18" s="89">
        <v>0</v>
      </c>
      <c r="AG18" s="83">
        <v>57740922.903173409</v>
      </c>
      <c r="AH18" s="83">
        <v>-56307141.112648822</v>
      </c>
      <c r="AI18" s="83">
        <v>-1087917.057351406</v>
      </c>
      <c r="AJ18" s="83">
        <v>0</v>
      </c>
      <c r="AK18" s="83">
        <v>-3640890.2158359005</v>
      </c>
      <c r="AL18" s="83">
        <v>-2986513.6527672647</v>
      </c>
      <c r="AM18" s="83">
        <v>-1360762.2860206803</v>
      </c>
      <c r="AN18" s="83">
        <v>-4462774.1442976007</v>
      </c>
      <c r="AO18" s="84">
        <v>0</v>
      </c>
      <c r="AP18" s="58">
        <v>0</v>
      </c>
      <c r="AQ18" s="58">
        <v>0</v>
      </c>
      <c r="AR18" s="89">
        <v>0</v>
      </c>
      <c r="AS18" s="89">
        <v>0</v>
      </c>
      <c r="AT18" s="89">
        <v>0</v>
      </c>
      <c r="AU18" s="84">
        <v>-12105075.565748265</v>
      </c>
      <c r="AV18" s="85">
        <v>-12105075.565748265</v>
      </c>
      <c r="AW18" s="89">
        <v>0</v>
      </c>
      <c r="AX18" s="85">
        <v>-12105075.565748271</v>
      </c>
      <c r="AZ18" s="170"/>
      <c r="BA18" s="17">
        <v>-7009830.3305091802</v>
      </c>
      <c r="BB18" s="17">
        <v>-11821201.978262333</v>
      </c>
      <c r="BC18" s="17">
        <v>4811371.647753153</v>
      </c>
      <c r="BD18" s="17">
        <v>18473987.089526478</v>
      </c>
      <c r="BE18" s="17">
        <v>-2235317.8340119668</v>
      </c>
      <c r="BF18" s="17">
        <v>-2179077.3880492146</v>
      </c>
    </row>
    <row r="19" spans="2:58" x14ac:dyDescent="0.2">
      <c r="B19" s="82">
        <v>2028</v>
      </c>
      <c r="C19" s="83">
        <v>0</v>
      </c>
      <c r="D19" s="89">
        <v>0</v>
      </c>
      <c r="E19" s="89">
        <v>0</v>
      </c>
      <c r="F19" s="83">
        <v>8458178.5638472959</v>
      </c>
      <c r="G19" s="83">
        <v>-7866798.4804229261</v>
      </c>
      <c r="H19" s="83">
        <v>-200548.99966988587</v>
      </c>
      <c r="I19" s="83">
        <v>0</v>
      </c>
      <c r="J19" s="83">
        <v>-543027.73160214454</v>
      </c>
      <c r="K19" s="83">
        <v>-406466.49930669414</v>
      </c>
      <c r="L19" s="83">
        <v>-199331.25103338799</v>
      </c>
      <c r="M19" s="83">
        <v>-685569.98632738052</v>
      </c>
      <c r="N19" s="84">
        <v>0</v>
      </c>
      <c r="O19" s="58">
        <v>0</v>
      </c>
      <c r="P19" s="58">
        <v>0</v>
      </c>
      <c r="Q19" s="89">
        <v>0</v>
      </c>
      <c r="R19" s="89">
        <v>0</v>
      </c>
      <c r="S19" s="89">
        <v>0</v>
      </c>
      <c r="T19" s="84">
        <v>-1443564.3845151232</v>
      </c>
      <c r="U19" s="85">
        <v>-1443564.3845151232</v>
      </c>
      <c r="V19" s="89">
        <v>0</v>
      </c>
      <c r="W19" s="34"/>
      <c r="X19" s="86">
        <v>199331.25103338799</v>
      </c>
      <c r="Y19" s="87">
        <v>22.692537685950363</v>
      </c>
      <c r="Z19" s="90">
        <v>0.49118046939286497</v>
      </c>
      <c r="AA19" s="87">
        <v>46.2</v>
      </c>
      <c r="AB19" s="15"/>
      <c r="AC19" s="138">
        <v>0.14593584936919879</v>
      </c>
      <c r="AD19" s="83">
        <v>0</v>
      </c>
      <c r="AE19" s="89">
        <v>0</v>
      </c>
      <c r="AF19" s="89">
        <v>0</v>
      </c>
      <c r="AG19" s="83">
        <v>57958196.01836969</v>
      </c>
      <c r="AH19" s="83">
        <v>-53905866.957480371</v>
      </c>
      <c r="AI19" s="83">
        <v>-1374227.1041471304</v>
      </c>
      <c r="AJ19" s="83">
        <v>0</v>
      </c>
      <c r="AK19" s="83">
        <v>-3721002.9882949102</v>
      </c>
      <c r="AL19" s="83">
        <v>-2785240.919648102</v>
      </c>
      <c r="AM19" s="83">
        <v>-1365882.6936286625</v>
      </c>
      <c r="AN19" s="83">
        <v>-4697748.9718306111</v>
      </c>
      <c r="AO19" s="84">
        <v>0</v>
      </c>
      <c r="AP19" s="58">
        <v>0</v>
      </c>
      <c r="AQ19" s="58">
        <v>0</v>
      </c>
      <c r="AR19" s="89">
        <v>0</v>
      </c>
      <c r="AS19" s="89">
        <v>0</v>
      </c>
      <c r="AT19" s="89">
        <v>0</v>
      </c>
      <c r="AU19" s="84">
        <v>-9891773.6166600976</v>
      </c>
      <c r="AV19" s="85">
        <v>-9891773.6166600976</v>
      </c>
      <c r="AW19" s="89">
        <v>0</v>
      </c>
      <c r="AX19" s="85">
        <v>-9891773.6166601013</v>
      </c>
      <c r="AZ19" s="170"/>
      <c r="BA19" s="17">
        <v>-7367555.1092540286</v>
      </c>
      <c r="BB19" s="17">
        <v>-8314727.7053747913</v>
      </c>
      <c r="BC19" s="17">
        <v>947172.59612076264</v>
      </c>
      <c r="BD19" s="17">
        <v>19421159.685647242</v>
      </c>
      <c r="BE19" s="17">
        <v>-2076066.6228746856</v>
      </c>
      <c r="BF19" s="17">
        <v>-2054867.7736271769</v>
      </c>
    </row>
    <row r="20" spans="2:58" x14ac:dyDescent="0.2">
      <c r="B20" s="82">
        <v>2029</v>
      </c>
      <c r="C20" s="83">
        <v>0</v>
      </c>
      <c r="D20" s="89">
        <v>0</v>
      </c>
      <c r="E20" s="89">
        <v>0</v>
      </c>
      <c r="F20" s="83">
        <v>8689797.8343371619</v>
      </c>
      <c r="G20" s="83">
        <v>-7612996.625187478</v>
      </c>
      <c r="H20" s="83">
        <v>-242180.3973698664</v>
      </c>
      <c r="I20" s="83">
        <v>0</v>
      </c>
      <c r="J20" s="83">
        <v>-554948.29968370183</v>
      </c>
      <c r="K20" s="83">
        <v>-384602.62777567405</v>
      </c>
      <c r="L20" s="83">
        <v>-198584.00000000061</v>
      </c>
      <c r="M20" s="83">
        <v>-357088.75887123967</v>
      </c>
      <c r="N20" s="84">
        <v>0</v>
      </c>
      <c r="O20" s="58">
        <v>0</v>
      </c>
      <c r="P20" s="58">
        <v>0</v>
      </c>
      <c r="Q20" s="89">
        <v>0</v>
      </c>
      <c r="R20" s="89">
        <v>0</v>
      </c>
      <c r="S20" s="89">
        <v>0</v>
      </c>
      <c r="T20" s="84">
        <v>-660602.87455079868</v>
      </c>
      <c r="U20" s="85">
        <v>-660602.87455079868</v>
      </c>
      <c r="V20" s="89">
        <v>0</v>
      </c>
      <c r="W20" s="34"/>
      <c r="X20" s="86">
        <v>198584.00000000061</v>
      </c>
      <c r="Y20" s="87">
        <v>22.669406392694135</v>
      </c>
      <c r="Z20" s="90">
        <v>0.49067979204965656</v>
      </c>
      <c r="AA20" s="87">
        <v>46.2</v>
      </c>
      <c r="AB20" s="15"/>
      <c r="AC20" s="138">
        <v>0.14593584936919879</v>
      </c>
      <c r="AD20" s="83">
        <v>0</v>
      </c>
      <c r="AE20" s="89">
        <v>0</v>
      </c>
      <c r="AF20" s="89">
        <v>0</v>
      </c>
      <c r="AG20" s="83">
        <v>59545326.74389758</v>
      </c>
      <c r="AH20" s="83">
        <v>-52166733.932027787</v>
      </c>
      <c r="AI20" s="83">
        <v>-1659499.0087540546</v>
      </c>
      <c r="AJ20" s="83">
        <v>0</v>
      </c>
      <c r="AK20" s="83">
        <v>-3802686.6056725685</v>
      </c>
      <c r="AL20" s="83">
        <v>-2635422.5465374119</v>
      </c>
      <c r="AM20" s="83">
        <v>-1360762.2860206803</v>
      </c>
      <c r="AN20" s="83">
        <v>-2446888.5501043089</v>
      </c>
      <c r="AO20" s="84">
        <v>0</v>
      </c>
      <c r="AP20" s="58">
        <v>0</v>
      </c>
      <c r="AQ20" s="58">
        <v>0</v>
      </c>
      <c r="AR20" s="89">
        <v>0</v>
      </c>
      <c r="AS20" s="89">
        <v>0</v>
      </c>
      <c r="AT20" s="89">
        <v>0</v>
      </c>
      <c r="AU20" s="84">
        <v>-4526666.1852192311</v>
      </c>
      <c r="AV20" s="85">
        <v>-4526666.1852192311</v>
      </c>
      <c r="AW20" s="89">
        <v>0</v>
      </c>
      <c r="AX20" s="85">
        <v>-4526666.1852192264</v>
      </c>
      <c r="AZ20" s="170"/>
      <c r="BA20" s="17">
        <v>-7500585.3554697353</v>
      </c>
      <c r="BB20" s="17">
        <v>-8280237.2242391855</v>
      </c>
      <c r="BC20" s="17">
        <v>779651.86876945011</v>
      </c>
      <c r="BD20" s="17">
        <v>20200811.554416694</v>
      </c>
      <c r="BE20" s="17">
        <v>-1959208.2834931302</v>
      </c>
      <c r="BF20" s="17">
        <v>-1929229.0673220335</v>
      </c>
    </row>
    <row r="21" spans="2:58" x14ac:dyDescent="0.2">
      <c r="B21" s="82">
        <v>2030</v>
      </c>
      <c r="C21" s="83">
        <v>0</v>
      </c>
      <c r="D21" s="89">
        <v>0</v>
      </c>
      <c r="E21" s="89">
        <v>0</v>
      </c>
      <c r="F21" s="83">
        <v>8953125.041438289</v>
      </c>
      <c r="G21" s="83">
        <v>-7407509.8340357142</v>
      </c>
      <c r="H21" s="83">
        <v>-284162.65976480005</v>
      </c>
      <c r="I21" s="83">
        <v>0</v>
      </c>
      <c r="J21" s="83">
        <v>-567157.16227674321</v>
      </c>
      <c r="K21" s="83">
        <v>-370283.60481630039</v>
      </c>
      <c r="L21" s="83">
        <v>-198584.00000000061</v>
      </c>
      <c r="M21" s="83">
        <v>-327505.29020579974</v>
      </c>
      <c r="N21" s="84">
        <v>0</v>
      </c>
      <c r="O21" s="58">
        <v>0</v>
      </c>
      <c r="P21" s="58">
        <v>0</v>
      </c>
      <c r="Q21" s="89">
        <v>0</v>
      </c>
      <c r="R21" s="89">
        <v>0</v>
      </c>
      <c r="S21" s="89">
        <v>0</v>
      </c>
      <c r="T21" s="84">
        <v>-202077.50966106911</v>
      </c>
      <c r="U21" s="85">
        <v>-202077.50966106911</v>
      </c>
      <c r="V21" s="89">
        <v>0</v>
      </c>
      <c r="W21" s="34"/>
      <c r="X21" s="86">
        <v>198584.00000000061</v>
      </c>
      <c r="Y21" s="87">
        <v>22.669406392694135</v>
      </c>
      <c r="Z21" s="90">
        <v>0.49067979204965656</v>
      </c>
      <c r="AA21" s="87">
        <v>46.2</v>
      </c>
      <c r="AB21" s="15"/>
      <c r="AC21" s="138">
        <v>0.14593584936919879</v>
      </c>
      <c r="AD21" s="83">
        <v>0</v>
      </c>
      <c r="AE21" s="89">
        <v>0</v>
      </c>
      <c r="AF21" s="89">
        <v>0</v>
      </c>
      <c r="AG21" s="83">
        <v>61349730.584621757</v>
      </c>
      <c r="AH21" s="83">
        <v>-50758671.47143314</v>
      </c>
      <c r="AI21" s="83">
        <v>-1947175.1525967093</v>
      </c>
      <c r="AJ21" s="83">
        <v>0</v>
      </c>
      <c r="AK21" s="83">
        <v>-3886345.7109973649</v>
      </c>
      <c r="AL21" s="83">
        <v>-2537303.9346866091</v>
      </c>
      <c r="AM21" s="83">
        <v>-1360762.2860206803</v>
      </c>
      <c r="AN21" s="83">
        <v>-2244172.981631496</v>
      </c>
      <c r="AO21" s="84">
        <v>0</v>
      </c>
      <c r="AP21" s="58">
        <v>0</v>
      </c>
      <c r="AQ21" s="58">
        <v>0</v>
      </c>
      <c r="AR21" s="89">
        <v>0</v>
      </c>
      <c r="AS21" s="89">
        <v>0</v>
      </c>
      <c r="AT21" s="89">
        <v>0</v>
      </c>
      <c r="AU21" s="84">
        <v>-1384700.9527442423</v>
      </c>
      <c r="AV21" s="85">
        <v>-1384700.9527442423</v>
      </c>
      <c r="AW21" s="89">
        <v>0</v>
      </c>
      <c r="AX21" s="85">
        <v>-1384700.9527442376</v>
      </c>
      <c r="AZ21" s="170"/>
      <c r="BA21" s="17">
        <v>-7809768.5194770461</v>
      </c>
      <c r="BB21" s="17">
        <v>-8243034.0764993727</v>
      </c>
      <c r="BC21" s="17">
        <v>433265.55702232663</v>
      </c>
      <c r="BD21" s="17">
        <v>20634077.111439019</v>
      </c>
      <c r="BE21" s="17">
        <v>-1884061.0839042526</v>
      </c>
      <c r="BF21" s="17">
        <v>-1814253.460600063</v>
      </c>
    </row>
    <row r="22" spans="2:58" x14ac:dyDescent="0.2">
      <c r="B22" s="82">
        <v>2031</v>
      </c>
      <c r="C22" s="83">
        <v>0</v>
      </c>
      <c r="D22" s="89">
        <v>0</v>
      </c>
      <c r="E22" s="89">
        <v>0</v>
      </c>
      <c r="F22" s="83">
        <v>8953125.041438289</v>
      </c>
      <c r="G22" s="83">
        <v>-7202023.0337534072</v>
      </c>
      <c r="H22" s="83">
        <v>-326740.81007997924</v>
      </c>
      <c r="I22" s="83">
        <v>0</v>
      </c>
      <c r="J22" s="83">
        <v>-579634.61984683154</v>
      </c>
      <c r="K22" s="83">
        <v>-355916.4544831161</v>
      </c>
      <c r="L22" s="83">
        <v>-198584.00000000061</v>
      </c>
      <c r="M22" s="83">
        <v>-98634.31685161966</v>
      </c>
      <c r="N22" s="84">
        <v>0</v>
      </c>
      <c r="O22" s="58">
        <v>0</v>
      </c>
      <c r="P22" s="58">
        <v>0</v>
      </c>
      <c r="Q22" s="89">
        <v>0</v>
      </c>
      <c r="R22" s="89">
        <v>0</v>
      </c>
      <c r="S22" s="89">
        <v>0</v>
      </c>
      <c r="T22" s="84">
        <v>191591.80642333461</v>
      </c>
      <c r="U22" s="85">
        <v>191591.80642333461</v>
      </c>
      <c r="V22" s="89">
        <v>0</v>
      </c>
      <c r="W22" s="34"/>
      <c r="X22" s="86">
        <v>198584.00000000061</v>
      </c>
      <c r="Y22" s="87">
        <v>22.669406392694135</v>
      </c>
      <c r="Z22" s="90">
        <v>0.49067979204965656</v>
      </c>
      <c r="AA22" s="87">
        <v>46.2</v>
      </c>
      <c r="AB22" s="15"/>
      <c r="AC22" s="138">
        <v>0.14593584936919879</v>
      </c>
      <c r="AD22" s="83">
        <v>0</v>
      </c>
      <c r="AE22" s="89">
        <v>0</v>
      </c>
      <c r="AF22" s="89">
        <v>0</v>
      </c>
      <c r="AG22" s="83">
        <v>61349730.584621757</v>
      </c>
      <c r="AH22" s="83">
        <v>-49350608.948273033</v>
      </c>
      <c r="AI22" s="83">
        <v>-2238934.5146672451</v>
      </c>
      <c r="AJ22" s="83">
        <v>0</v>
      </c>
      <c r="AK22" s="83">
        <v>-3971845.316639307</v>
      </c>
      <c r="AL22" s="83">
        <v>-2438855.5383858671</v>
      </c>
      <c r="AM22" s="83">
        <v>-1360762.2860206803</v>
      </c>
      <c r="AN22" s="83">
        <v>-675874.48374037014</v>
      </c>
      <c r="AO22" s="84">
        <v>0</v>
      </c>
      <c r="AP22" s="58">
        <v>0</v>
      </c>
      <c r="AQ22" s="58">
        <v>0</v>
      </c>
      <c r="AR22" s="89">
        <v>0</v>
      </c>
      <c r="AS22" s="89">
        <v>0</v>
      </c>
      <c r="AT22" s="89">
        <v>0</v>
      </c>
      <c r="AU22" s="84">
        <v>1312849.4968952551</v>
      </c>
      <c r="AV22" s="85">
        <v>1312849.4968952551</v>
      </c>
      <c r="AW22" s="89">
        <v>0</v>
      </c>
      <c r="AX22" s="85">
        <v>1312849.4968952567</v>
      </c>
      <c r="AZ22" s="170"/>
      <c r="BA22" s="17">
        <v>-8191209.9180413978</v>
      </c>
      <c r="BB22" s="17">
        <v>-8218632.2758202907</v>
      </c>
      <c r="BC22" s="17">
        <v>27422.357778892852</v>
      </c>
      <c r="BD22" s="17">
        <v>20661499.469217911</v>
      </c>
      <c r="BE22" s="17">
        <v>-1808337.5872767165</v>
      </c>
      <c r="BF22" s="17">
        <v>-1698844.8924907465</v>
      </c>
    </row>
    <row r="23" spans="2:58" x14ac:dyDescent="0.2">
      <c r="B23" s="82">
        <v>2032</v>
      </c>
      <c r="C23" s="83">
        <v>0</v>
      </c>
      <c r="D23" s="89">
        <v>0</v>
      </c>
      <c r="E23" s="89">
        <v>0</v>
      </c>
      <c r="F23" s="83">
        <v>9251132.8042079806</v>
      </c>
      <c r="G23" s="83">
        <v>-6996536.2426016489</v>
      </c>
      <c r="H23" s="83">
        <v>-369965.52914949221</v>
      </c>
      <c r="I23" s="83">
        <v>0</v>
      </c>
      <c r="J23" s="83">
        <v>-591806.94686361507</v>
      </c>
      <c r="K23" s="83">
        <v>-341495.59624607861</v>
      </c>
      <c r="L23" s="83">
        <v>-199331.25103338799</v>
      </c>
      <c r="M23" s="83">
        <v>-130818.09072736838</v>
      </c>
      <c r="N23" s="84">
        <v>0</v>
      </c>
      <c r="O23" s="58">
        <v>0</v>
      </c>
      <c r="P23" s="58">
        <v>0</v>
      </c>
      <c r="Q23" s="89">
        <v>0</v>
      </c>
      <c r="R23" s="89">
        <v>0</v>
      </c>
      <c r="S23" s="89">
        <v>0</v>
      </c>
      <c r="T23" s="84">
        <v>621179.14758638956</v>
      </c>
      <c r="U23" s="85">
        <v>621179.14758638956</v>
      </c>
      <c r="V23" s="89">
        <v>0</v>
      </c>
      <c r="W23" s="34"/>
      <c r="X23" s="86">
        <v>199331.25103338799</v>
      </c>
      <c r="Y23" s="87">
        <v>22.692537685950363</v>
      </c>
      <c r="Z23" s="90">
        <v>0.49118046939286497</v>
      </c>
      <c r="AA23" s="87">
        <v>46.2</v>
      </c>
      <c r="AB23" s="15"/>
      <c r="AC23" s="138">
        <v>0.14593584936919879</v>
      </c>
      <c r="AD23" s="83">
        <v>0</v>
      </c>
      <c r="AE23" s="89">
        <v>0</v>
      </c>
      <c r="AF23" s="89">
        <v>0</v>
      </c>
      <c r="AG23" s="83">
        <v>63391776.895091854</v>
      </c>
      <c r="AH23" s="83">
        <v>-47942546.487678424</v>
      </c>
      <c r="AI23" s="83">
        <v>-2535124.3765575886</v>
      </c>
      <c r="AJ23" s="83">
        <v>0</v>
      </c>
      <c r="AK23" s="83">
        <v>-4055254.0682887328</v>
      </c>
      <c r="AL23" s="83">
        <v>-2340039.1180246533</v>
      </c>
      <c r="AM23" s="83">
        <v>-1365882.6936286625</v>
      </c>
      <c r="AN23" s="83">
        <v>-896408.19094707537</v>
      </c>
      <c r="AO23" s="84">
        <v>0</v>
      </c>
      <c r="AP23" s="58">
        <v>0</v>
      </c>
      <c r="AQ23" s="58">
        <v>0</v>
      </c>
      <c r="AR23" s="89">
        <v>0</v>
      </c>
      <c r="AS23" s="89">
        <v>0</v>
      </c>
      <c r="AT23" s="89">
        <v>0</v>
      </c>
      <c r="AU23" s="84">
        <v>4256521.9599667192</v>
      </c>
      <c r="AV23" s="85">
        <v>4256521.9599667192</v>
      </c>
      <c r="AW23" s="89">
        <v>0</v>
      </c>
      <c r="AX23" s="85">
        <v>4256521.9599667164</v>
      </c>
      <c r="AZ23" s="170"/>
      <c r="BA23" s="17">
        <v>-8416712.6161069795</v>
      </c>
      <c r="BB23" s="17">
        <v>-8175585.4327968843</v>
      </c>
      <c r="BC23" s="17">
        <v>-241127.18331009522</v>
      </c>
      <c r="BD23" s="17">
        <v>20420372.285907816</v>
      </c>
      <c r="BE23" s="17">
        <v>-1739080.5002792429</v>
      </c>
      <c r="BF23" s="17">
        <v>-1580339.5565505489</v>
      </c>
    </row>
    <row r="24" spans="2:58" x14ac:dyDescent="0.2">
      <c r="B24" s="82">
        <v>2033</v>
      </c>
      <c r="C24" s="83">
        <v>0</v>
      </c>
      <c r="D24" s="89">
        <v>0</v>
      </c>
      <c r="E24" s="83">
        <v>0</v>
      </c>
      <c r="F24" s="83">
        <v>7270170.2180496966</v>
      </c>
      <c r="G24" s="83">
        <v>-6791049.4423193363</v>
      </c>
      <c r="H24" s="83">
        <v>-413866.61094338453</v>
      </c>
      <c r="I24" s="83">
        <v>0</v>
      </c>
      <c r="J24" s="83">
        <v>-604826.69969461474</v>
      </c>
      <c r="K24" s="83">
        <v>-327014.72818443616</v>
      </c>
      <c r="L24" s="83">
        <v>-198584.00000000061</v>
      </c>
      <c r="M24" s="83">
        <v>-34929.999520775775</v>
      </c>
      <c r="N24" s="84">
        <v>0</v>
      </c>
      <c r="O24" s="58">
        <v>0</v>
      </c>
      <c r="P24" s="58">
        <v>0</v>
      </c>
      <c r="Q24" s="89">
        <v>0</v>
      </c>
      <c r="R24" s="89">
        <v>0</v>
      </c>
      <c r="S24" s="89">
        <v>0</v>
      </c>
      <c r="T24" s="84">
        <v>-1100101.2626128518</v>
      </c>
      <c r="U24" s="85">
        <v>-1100101.2626128518</v>
      </c>
      <c r="V24" s="89">
        <v>0</v>
      </c>
      <c r="W24" s="34"/>
      <c r="X24" s="86">
        <v>198584.00000000061</v>
      </c>
      <c r="Y24" s="87">
        <v>22.669406392694135</v>
      </c>
      <c r="Z24" s="90">
        <v>0.49067979204965656</v>
      </c>
      <c r="AA24" s="87">
        <v>46.2</v>
      </c>
      <c r="AB24" s="15"/>
      <c r="AC24" s="138">
        <v>0.14593584936919879</v>
      </c>
      <c r="AD24" s="83">
        <v>0</v>
      </c>
      <c r="AE24" s="89">
        <v>0</v>
      </c>
      <c r="AF24" s="83">
        <v>0</v>
      </c>
      <c r="AG24" s="83">
        <v>49817575.664065301</v>
      </c>
      <c r="AH24" s="83">
        <v>-46534483.964518279</v>
      </c>
      <c r="AI24" s="83">
        <v>-2835948.8962602713</v>
      </c>
      <c r="AJ24" s="83">
        <v>0</v>
      </c>
      <c r="AK24" s="83">
        <v>-4144469.6577910855</v>
      </c>
      <c r="AL24" s="83">
        <v>-2240811.4907881976</v>
      </c>
      <c r="AM24" s="83">
        <v>-1360762.2860206803</v>
      </c>
      <c r="AN24" s="83">
        <v>-239351.74031438568</v>
      </c>
      <c r="AO24" s="84">
        <v>0</v>
      </c>
      <c r="AP24" s="58">
        <v>0</v>
      </c>
      <c r="AQ24" s="58">
        <v>0</v>
      </c>
      <c r="AR24" s="89">
        <v>0</v>
      </c>
      <c r="AS24" s="89">
        <v>0</v>
      </c>
      <c r="AT24" s="89">
        <v>0</v>
      </c>
      <c r="AU24" s="84">
        <v>-7538252.3716275981</v>
      </c>
      <c r="AV24" s="85">
        <v>-7538252.3716275981</v>
      </c>
      <c r="AW24" s="89">
        <v>0</v>
      </c>
      <c r="AX24" s="85">
        <v>-7538252.3716276055</v>
      </c>
      <c r="AZ24" s="170"/>
      <c r="BA24" s="17">
        <v>-8847566.3686792832</v>
      </c>
      <c r="BB24" s="17">
        <v>-8317624.5653935289</v>
      </c>
      <c r="BC24" s="17">
        <v>-529941.80328575429</v>
      </c>
      <c r="BD24" s="17">
        <v>19890430.482622061</v>
      </c>
      <c r="BE24" s="17">
        <v>-1668618.7218124557</v>
      </c>
      <c r="BF24" s="17">
        <v>-1461749.4377614157</v>
      </c>
    </row>
    <row r="25" spans="2:58" x14ac:dyDescent="0.2">
      <c r="B25" s="82">
        <v>2034</v>
      </c>
      <c r="C25" s="83">
        <v>0</v>
      </c>
      <c r="D25" s="89">
        <v>0</v>
      </c>
      <c r="E25" s="83">
        <v>0</v>
      </c>
      <c r="F25" s="83">
        <v>0</v>
      </c>
      <c r="G25" s="83">
        <v>-6585562.6511675781</v>
      </c>
      <c r="H25" s="83">
        <v>-458514.58438850549</v>
      </c>
      <c r="I25" s="83">
        <v>0</v>
      </c>
      <c r="J25" s="83">
        <v>-618132.88708789612</v>
      </c>
      <c r="K25" s="83">
        <v>-312463.72920787585</v>
      </c>
      <c r="L25" s="83">
        <v>-198584.00000000061</v>
      </c>
      <c r="M25" s="83">
        <v>-25605.47478437232</v>
      </c>
      <c r="N25" s="84">
        <v>0</v>
      </c>
      <c r="O25" s="58">
        <v>0</v>
      </c>
      <c r="P25" s="58">
        <v>0</v>
      </c>
      <c r="Q25" s="89">
        <v>0</v>
      </c>
      <c r="R25" s="89">
        <v>0</v>
      </c>
      <c r="S25" s="89">
        <v>0</v>
      </c>
      <c r="T25" s="84">
        <v>-8198863.3266362296</v>
      </c>
      <c r="U25" s="85">
        <v>-8198863.3266362296</v>
      </c>
      <c r="V25" s="89">
        <v>0</v>
      </c>
      <c r="W25" s="34"/>
      <c r="X25" s="86">
        <v>198584.00000000061</v>
      </c>
      <c r="Y25" s="87">
        <v>22.669406392694135</v>
      </c>
      <c r="Z25" s="90">
        <v>0.49067979204965656</v>
      </c>
      <c r="AA25" s="87">
        <v>46.2</v>
      </c>
      <c r="AB25" s="15"/>
      <c r="AC25" s="138">
        <v>0.14593584936919879</v>
      </c>
      <c r="AD25" s="83">
        <v>0</v>
      </c>
      <c r="AE25" s="89">
        <v>0</v>
      </c>
      <c r="AF25" s="83">
        <v>0</v>
      </c>
      <c r="AG25" s="83">
        <v>0</v>
      </c>
      <c r="AH25" s="83">
        <v>-45126421.503923669</v>
      </c>
      <c r="AI25" s="83">
        <v>-3141891.3609672631</v>
      </c>
      <c r="AJ25" s="83">
        <v>0</v>
      </c>
      <c r="AK25" s="83">
        <v>-4235647.9902624888</v>
      </c>
      <c r="AL25" s="83">
        <v>-2141103.3036672375</v>
      </c>
      <c r="AM25" s="83">
        <v>-1360762.2860206803</v>
      </c>
      <c r="AN25" s="83">
        <v>-175457.05798164636</v>
      </c>
      <c r="AO25" s="84">
        <v>0</v>
      </c>
      <c r="AP25" s="58">
        <v>0</v>
      </c>
      <c r="AQ25" s="58">
        <v>0</v>
      </c>
      <c r="AR25" s="89">
        <v>0</v>
      </c>
      <c r="AS25" s="89">
        <v>0</v>
      </c>
      <c r="AT25" s="89">
        <v>0</v>
      </c>
      <c r="AU25" s="84">
        <v>-56181283.502822988</v>
      </c>
      <c r="AV25" s="85">
        <v>-56181283.502822988</v>
      </c>
      <c r="AW25" s="89">
        <v>0</v>
      </c>
      <c r="AX25" s="85">
        <v>-56181283.502822995</v>
      </c>
      <c r="AZ25" s="170"/>
      <c r="BA25" s="17">
        <v>-9291156.2986975051</v>
      </c>
      <c r="BB25" s="17">
        <v>-8306496.9819209389</v>
      </c>
      <c r="BC25" s="17">
        <v>-984659.31677656621</v>
      </c>
      <c r="BD25" s="17">
        <v>18905771.165845495</v>
      </c>
      <c r="BE25" s="17">
        <v>-1597184.1014536873</v>
      </c>
      <c r="BF25" s="17">
        <v>-1345121.7530701791</v>
      </c>
    </row>
    <row r="26" spans="2:58" x14ac:dyDescent="0.2">
      <c r="B26" s="82">
        <v>2035</v>
      </c>
      <c r="C26" s="83">
        <v>0</v>
      </c>
      <c r="D26" s="89">
        <v>0</v>
      </c>
      <c r="E26" s="83">
        <v>0</v>
      </c>
      <c r="F26" s="83">
        <v>0</v>
      </c>
      <c r="G26" s="83">
        <v>-6380075.8508852692</v>
      </c>
      <c r="H26" s="83">
        <v>-506910.91188884707</v>
      </c>
      <c r="I26" s="83">
        <v>0</v>
      </c>
      <c r="J26" s="83">
        <v>-644212.01875003718</v>
      </c>
      <c r="K26" s="83">
        <v>-297838.04540265969</v>
      </c>
      <c r="L26" s="83">
        <v>-198584.00000000061</v>
      </c>
      <c r="M26" s="83">
        <v>-34298.515705898761</v>
      </c>
      <c r="N26" s="84">
        <v>0</v>
      </c>
      <c r="O26" s="58">
        <v>0</v>
      </c>
      <c r="P26" s="58">
        <v>0</v>
      </c>
      <c r="Q26" s="89">
        <v>0</v>
      </c>
      <c r="R26" s="89">
        <v>0</v>
      </c>
      <c r="S26" s="89">
        <v>0</v>
      </c>
      <c r="T26" s="84">
        <v>-8061919.3426327128</v>
      </c>
      <c r="U26" s="85">
        <v>-8061919.3426327128</v>
      </c>
      <c r="V26" s="89">
        <v>0</v>
      </c>
      <c r="W26" s="34"/>
      <c r="X26" s="86">
        <v>198584.00000000061</v>
      </c>
      <c r="Y26" s="87">
        <v>22.669406392694135</v>
      </c>
      <c r="Z26" s="90">
        <v>0.49067979204965656</v>
      </c>
      <c r="AA26" s="87">
        <v>46.2</v>
      </c>
      <c r="AB26" s="15"/>
      <c r="AC26" s="138">
        <v>0.14593584936919879</v>
      </c>
      <c r="AD26" s="83">
        <v>0</v>
      </c>
      <c r="AE26" s="89">
        <v>0</v>
      </c>
      <c r="AF26" s="83">
        <v>0</v>
      </c>
      <c r="AG26" s="83">
        <v>0</v>
      </c>
      <c r="AH26" s="83">
        <v>-43718358.980763555</v>
      </c>
      <c r="AI26" s="83">
        <v>-3473518.7692396827</v>
      </c>
      <c r="AJ26" s="83">
        <v>0</v>
      </c>
      <c r="AK26" s="83">
        <v>-4414350.6995341787</v>
      </c>
      <c r="AL26" s="83">
        <v>-2040883.3517607318</v>
      </c>
      <c r="AM26" s="83">
        <v>-1360762.2860206803</v>
      </c>
      <c r="AN26" s="83">
        <v>-235024.60741587874</v>
      </c>
      <c r="AO26" s="84">
        <v>0</v>
      </c>
      <c r="AP26" s="58">
        <v>0</v>
      </c>
      <c r="AQ26" s="58">
        <v>0</v>
      </c>
      <c r="AR26" s="89">
        <v>0</v>
      </c>
      <c r="AS26" s="89">
        <v>0</v>
      </c>
      <c r="AT26" s="89">
        <v>0</v>
      </c>
      <c r="AU26" s="84">
        <v>-55242898.6947347</v>
      </c>
      <c r="AV26" s="85">
        <v>-55242898.6947347</v>
      </c>
      <c r="AW26" s="89">
        <v>0</v>
      </c>
      <c r="AX26" s="85">
        <v>-55242898.694734707</v>
      </c>
      <c r="BA26" s="17">
        <v>-9732712.2196370121</v>
      </c>
      <c r="BB26" s="17">
        <v>-8284688.9255755749</v>
      </c>
      <c r="BC26" s="17">
        <v>-1448023.2940614372</v>
      </c>
      <c r="BD26" s="17">
        <v>17457747.871784057</v>
      </c>
      <c r="BE26" s="17">
        <v>-1524854.241860904</v>
      </c>
      <c r="BF26" s="17">
        <v>-1245138.097146228</v>
      </c>
    </row>
    <row r="27" spans="2:58" x14ac:dyDescent="0.2">
      <c r="B27" s="82">
        <v>2036</v>
      </c>
      <c r="C27" s="83">
        <v>0</v>
      </c>
      <c r="D27" s="89">
        <v>0</v>
      </c>
      <c r="E27" s="83">
        <v>0</v>
      </c>
      <c r="F27" s="83">
        <v>0</v>
      </c>
      <c r="G27" s="83">
        <v>-6174589.0597335063</v>
      </c>
      <c r="H27" s="83">
        <v>-592434.62919224857</v>
      </c>
      <c r="I27" s="83">
        <v>0</v>
      </c>
      <c r="J27" s="83">
        <v>-798687.18314220174</v>
      </c>
      <c r="K27" s="83">
        <v>-283413.39522472949</v>
      </c>
      <c r="L27" s="83">
        <v>-199331.25103338799</v>
      </c>
      <c r="M27" s="83">
        <v>-29629.12472311993</v>
      </c>
      <c r="N27" s="84">
        <v>0</v>
      </c>
      <c r="O27" s="58">
        <v>0</v>
      </c>
      <c r="P27" s="58">
        <v>0</v>
      </c>
      <c r="Q27" s="89">
        <v>0</v>
      </c>
      <c r="R27" s="89">
        <v>0</v>
      </c>
      <c r="S27" s="89">
        <v>0</v>
      </c>
      <c r="T27" s="84">
        <v>-8078084.6430491945</v>
      </c>
      <c r="U27" s="85">
        <v>-8078084.6430491945</v>
      </c>
      <c r="V27" s="89">
        <v>0</v>
      </c>
      <c r="W27" s="34"/>
      <c r="X27" s="86">
        <v>199331.25103338799</v>
      </c>
      <c r="Y27" s="87">
        <v>22.692537685950363</v>
      </c>
      <c r="Z27" s="90">
        <v>0.49118046939286497</v>
      </c>
      <c r="AA27" s="87">
        <v>46.2</v>
      </c>
      <c r="AB27" s="15"/>
      <c r="AC27" s="138">
        <v>0.14593584936919879</v>
      </c>
      <c r="AD27" s="83">
        <v>0</v>
      </c>
      <c r="AE27" s="89">
        <v>0</v>
      </c>
      <c r="AF27" s="83">
        <v>0</v>
      </c>
      <c r="AG27" s="83">
        <v>0</v>
      </c>
      <c r="AH27" s="83">
        <v>-42310296.520168915</v>
      </c>
      <c r="AI27" s="83">
        <v>-4059555.1521646045</v>
      </c>
      <c r="AJ27" s="83">
        <v>0</v>
      </c>
      <c r="AK27" s="83">
        <v>-5472864.8690125933</v>
      </c>
      <c r="AL27" s="83">
        <v>-1942040.9477847375</v>
      </c>
      <c r="AM27" s="83">
        <v>-1365882.6936286625</v>
      </c>
      <c r="AN27" s="83">
        <v>-203028.41865922941</v>
      </c>
      <c r="AO27" s="84">
        <v>0</v>
      </c>
      <c r="AP27" s="58">
        <v>0</v>
      </c>
      <c r="AQ27" s="58">
        <v>0</v>
      </c>
      <c r="AR27" s="89">
        <v>0</v>
      </c>
      <c r="AS27" s="89">
        <v>0</v>
      </c>
      <c r="AT27" s="89">
        <v>0</v>
      </c>
      <c r="AU27" s="84">
        <v>-55353668.601418748</v>
      </c>
      <c r="AV27" s="85">
        <v>-55353668.601418748</v>
      </c>
      <c r="AW27" s="89">
        <v>0</v>
      </c>
      <c r="AX27" s="85">
        <v>-55353668.601418741</v>
      </c>
      <c r="BA27" s="17">
        <v>-10339352.603971846</v>
      </c>
      <c r="BB27" s="17">
        <v>-8248989.7394449357</v>
      </c>
      <c r="BC27" s="17">
        <v>-2090362.8645269107</v>
      </c>
      <c r="BD27" s="17">
        <v>15367385.007257147</v>
      </c>
      <c r="BE27" s="17">
        <v>-1451548.3308526585</v>
      </c>
      <c r="BF27" s="17">
        <v>-1126355.9896100787</v>
      </c>
    </row>
    <row r="28" spans="2:58" x14ac:dyDescent="0.2">
      <c r="B28" s="82">
        <v>2037</v>
      </c>
      <c r="C28" s="83">
        <v>0</v>
      </c>
      <c r="D28" s="89">
        <v>0</v>
      </c>
      <c r="E28" s="83">
        <v>0</v>
      </c>
      <c r="F28" s="83">
        <v>0</v>
      </c>
      <c r="G28" s="83">
        <v>-5969102.2685817443</v>
      </c>
      <c r="H28" s="83">
        <v>-713350.30085817911</v>
      </c>
      <c r="I28" s="83">
        <v>0</v>
      </c>
      <c r="J28" s="83">
        <v>-816258.30117133027</v>
      </c>
      <c r="K28" s="83">
        <v>-272060.53198116529</v>
      </c>
      <c r="L28" s="83">
        <v>-198584.00000000061</v>
      </c>
      <c r="M28" s="83">
        <v>-6576.3920324724477</v>
      </c>
      <c r="N28" s="84">
        <v>0</v>
      </c>
      <c r="O28" s="58">
        <v>0</v>
      </c>
      <c r="P28" s="58">
        <v>0</v>
      </c>
      <c r="Q28" s="89">
        <v>0</v>
      </c>
      <c r="R28" s="89">
        <v>0</v>
      </c>
      <c r="S28" s="89">
        <v>0</v>
      </c>
      <c r="T28" s="84">
        <v>-7975931.794624893</v>
      </c>
      <c r="U28" s="85">
        <v>-7975931.794624893</v>
      </c>
      <c r="V28" s="89">
        <v>0</v>
      </c>
      <c r="W28" s="34"/>
      <c r="X28" s="86">
        <v>198584.00000000061</v>
      </c>
      <c r="Y28" s="87">
        <v>22.669406392694135</v>
      </c>
      <c r="Z28" s="90">
        <v>0.49067979204965656</v>
      </c>
      <c r="AA28" s="87">
        <v>46.2</v>
      </c>
      <c r="AB28" s="15"/>
      <c r="AC28" s="138">
        <v>0.14593584936919879</v>
      </c>
      <c r="AD28" s="83">
        <v>0</v>
      </c>
      <c r="AE28" s="89">
        <v>0</v>
      </c>
      <c r="AF28" s="83">
        <v>0</v>
      </c>
      <c r="AG28" s="83">
        <v>0</v>
      </c>
      <c r="AH28" s="83">
        <v>-40902234.059574276</v>
      </c>
      <c r="AI28" s="83">
        <v>-4888108.7405295139</v>
      </c>
      <c r="AJ28" s="83">
        <v>0</v>
      </c>
      <c r="AK28" s="83">
        <v>-5593267.896130871</v>
      </c>
      <c r="AL28" s="83">
        <v>-1864247.4289705704</v>
      </c>
      <c r="AM28" s="83">
        <v>-1360762.2860206803</v>
      </c>
      <c r="AN28" s="83">
        <v>-45063.581435943321</v>
      </c>
      <c r="AO28" s="84">
        <v>0</v>
      </c>
      <c r="AP28" s="58">
        <v>0</v>
      </c>
      <c r="AQ28" s="58">
        <v>0</v>
      </c>
      <c r="AR28" s="89">
        <v>0</v>
      </c>
      <c r="AS28" s="89">
        <v>0</v>
      </c>
      <c r="AT28" s="89">
        <v>0</v>
      </c>
      <c r="AU28" s="84">
        <v>-54653683.992661849</v>
      </c>
      <c r="AV28" s="85">
        <v>-54653683.992661849</v>
      </c>
      <c r="AW28" s="89">
        <v>0</v>
      </c>
      <c r="AX28" s="85">
        <v>-54653683.992661864</v>
      </c>
      <c r="BA28" s="17">
        <v>-10858062.161687165</v>
      </c>
      <c r="BB28" s="17">
        <v>-8310081.99634434</v>
      </c>
      <c r="BC28" s="17">
        <v>-2547980.1653428255</v>
      </c>
      <c r="BD28" s="17">
        <v>12819404.841914322</v>
      </c>
      <c r="BE28" s="17">
        <v>-1377280.5915548033</v>
      </c>
      <c r="BF28" s="17">
        <v>-1008496.4666379052</v>
      </c>
    </row>
    <row r="29" spans="2:58" x14ac:dyDescent="0.2">
      <c r="B29" s="82">
        <v>2038</v>
      </c>
      <c r="C29" s="83">
        <v>0</v>
      </c>
      <c r="D29" s="89">
        <v>0</v>
      </c>
      <c r="E29" s="83">
        <v>0</v>
      </c>
      <c r="F29" s="83">
        <v>0</v>
      </c>
      <c r="G29" s="83">
        <v>-5763615.4682994345</v>
      </c>
      <c r="H29" s="83">
        <v>-834121.17820422433</v>
      </c>
      <c r="I29" s="83">
        <v>0</v>
      </c>
      <c r="J29" s="83">
        <v>-834215.98379709956</v>
      </c>
      <c r="K29" s="83">
        <v>-260221.23712513162</v>
      </c>
      <c r="L29" s="83">
        <v>-198584.00000000061</v>
      </c>
      <c r="M29" s="83">
        <v>-6182.0519611862001</v>
      </c>
      <c r="N29" s="84">
        <v>0</v>
      </c>
      <c r="O29" s="58">
        <v>0</v>
      </c>
      <c r="P29" s="58">
        <v>0</v>
      </c>
      <c r="Q29" s="89">
        <v>0</v>
      </c>
      <c r="R29" s="89">
        <v>0</v>
      </c>
      <c r="S29" s="89">
        <v>0</v>
      </c>
      <c r="T29" s="84">
        <v>-7896939.919387077</v>
      </c>
      <c r="U29" s="85">
        <v>-7896939.919387077</v>
      </c>
      <c r="V29" s="89">
        <v>0</v>
      </c>
      <c r="W29" s="34"/>
      <c r="X29" s="86">
        <v>198584.00000000061</v>
      </c>
      <c r="Y29" s="87">
        <v>22.669406392694135</v>
      </c>
      <c r="Z29" s="90">
        <v>0.49067979204965656</v>
      </c>
      <c r="AA29" s="87">
        <v>46.2</v>
      </c>
      <c r="AB29" s="15"/>
      <c r="AC29" s="138">
        <v>0.14593584936919879</v>
      </c>
      <c r="AD29" s="83">
        <v>0</v>
      </c>
      <c r="AE29" s="89">
        <v>0</v>
      </c>
      <c r="AF29" s="83">
        <v>0</v>
      </c>
      <c r="AG29" s="83">
        <v>0</v>
      </c>
      <c r="AH29" s="83">
        <v>-39494171.536414154</v>
      </c>
      <c r="AI29" s="83">
        <v>-5715670.1510264678</v>
      </c>
      <c r="AJ29" s="83">
        <v>0</v>
      </c>
      <c r="AK29" s="83">
        <v>-5716319.7898457507</v>
      </c>
      <c r="AL29" s="83">
        <v>-1783120.722220937</v>
      </c>
      <c r="AM29" s="83">
        <v>-1360762.2860206803</v>
      </c>
      <c r="AN29" s="83">
        <v>-42361.434753063382</v>
      </c>
      <c r="AO29" s="84">
        <v>0</v>
      </c>
      <c r="AP29" s="58">
        <v>0</v>
      </c>
      <c r="AQ29" s="58">
        <v>0</v>
      </c>
      <c r="AR29" s="89">
        <v>0</v>
      </c>
      <c r="AS29" s="89">
        <v>0</v>
      </c>
      <c r="AT29" s="89">
        <v>0</v>
      </c>
      <c r="AU29" s="84">
        <v>-54112405.920281045</v>
      </c>
      <c r="AV29" s="85">
        <v>-54112405.920281045</v>
      </c>
      <c r="AW29" s="89">
        <v>0</v>
      </c>
      <c r="AX29" s="85">
        <v>-54112405.920281053</v>
      </c>
      <c r="BA29" s="17">
        <v>-11190854.80681579</v>
      </c>
      <c r="BB29" s="17">
        <v>-8348909.624683355</v>
      </c>
      <c r="BC29" s="17">
        <v>-2841945.182132435</v>
      </c>
      <c r="BD29" s="17">
        <v>9977459.6597818881</v>
      </c>
      <c r="BE29" s="17">
        <v>-1302054.5511703265</v>
      </c>
      <c r="BF29" s="17">
        <v>-978526.39103475702</v>
      </c>
    </row>
    <row r="30" spans="2:58" x14ac:dyDescent="0.2">
      <c r="B30" s="82">
        <v>2039</v>
      </c>
      <c r="C30" s="83">
        <v>0</v>
      </c>
      <c r="D30" s="89">
        <v>0</v>
      </c>
      <c r="E30" s="83">
        <v>0</v>
      </c>
      <c r="F30" s="83">
        <v>0</v>
      </c>
      <c r="G30" s="83">
        <v>-5558128.6771476753</v>
      </c>
      <c r="H30" s="83">
        <v>-956247.97457391897</v>
      </c>
      <c r="I30" s="83">
        <v>0</v>
      </c>
      <c r="J30" s="83">
        <v>-852568.73544063594</v>
      </c>
      <c r="K30" s="83">
        <v>-247976.44616529523</v>
      </c>
      <c r="L30" s="83">
        <v>-198584.00000000061</v>
      </c>
      <c r="M30" s="83">
        <v>-6622.8097273075582</v>
      </c>
      <c r="N30" s="84">
        <v>0</v>
      </c>
      <c r="O30" s="58">
        <v>0</v>
      </c>
      <c r="P30" s="58">
        <v>0</v>
      </c>
      <c r="Q30" s="89">
        <v>0</v>
      </c>
      <c r="R30" s="89">
        <v>0</v>
      </c>
      <c r="S30" s="89">
        <v>0</v>
      </c>
      <c r="T30" s="84">
        <v>-7820128.6430548336</v>
      </c>
      <c r="U30" s="85">
        <v>-7820128.6430548336</v>
      </c>
      <c r="V30" s="89">
        <v>0</v>
      </c>
      <c r="W30" s="34"/>
      <c r="X30" s="86">
        <v>198584.00000000061</v>
      </c>
      <c r="Y30" s="87">
        <v>22.669406392694135</v>
      </c>
      <c r="Z30" s="90">
        <v>0.49067979204965656</v>
      </c>
      <c r="AA30" s="87">
        <v>46.2</v>
      </c>
      <c r="AB30" s="15"/>
      <c r="AC30" s="138">
        <v>0.14593584936919879</v>
      </c>
      <c r="AD30" s="83">
        <v>0</v>
      </c>
      <c r="AE30" s="89">
        <v>0</v>
      </c>
      <c r="AF30" s="83">
        <v>0</v>
      </c>
      <c r="AG30" s="83">
        <v>0</v>
      </c>
      <c r="AH30" s="83">
        <v>-38086109.075819537</v>
      </c>
      <c r="AI30" s="83">
        <v>-6552522.7605640301</v>
      </c>
      <c r="AJ30" s="83">
        <v>0</v>
      </c>
      <c r="AK30" s="83">
        <v>-5842078.8252223581</v>
      </c>
      <c r="AL30" s="83">
        <v>-1699215.424017898</v>
      </c>
      <c r="AM30" s="83">
        <v>-1360762.2860206803</v>
      </c>
      <c r="AN30" s="83">
        <v>-45381.650608362223</v>
      </c>
      <c r="AO30" s="84">
        <v>0</v>
      </c>
      <c r="AP30" s="58">
        <v>0</v>
      </c>
      <c r="AQ30" s="58">
        <v>0</v>
      </c>
      <c r="AR30" s="89">
        <v>0</v>
      </c>
      <c r="AS30" s="89">
        <v>0</v>
      </c>
      <c r="AT30" s="89">
        <v>0</v>
      </c>
      <c r="AU30" s="84">
        <v>-53586070.022252865</v>
      </c>
      <c r="AV30" s="85">
        <v>-53586070.022252865</v>
      </c>
      <c r="AW30" s="89">
        <v>0</v>
      </c>
      <c r="AX30" s="85">
        <v>-53586070.022252873</v>
      </c>
      <c r="BA30" s="17">
        <v>-11563466.044029735</v>
      </c>
      <c r="BB30" s="17">
        <v>-8289945.5088377455</v>
      </c>
      <c r="BC30" s="17">
        <v>-3273520.5351919895</v>
      </c>
      <c r="BD30" s="17">
        <v>6703939.1245898986</v>
      </c>
      <c r="BE30" s="17">
        <v>-1225754.7075786025</v>
      </c>
      <c r="BF30" s="17">
        <v>-926084.33917406749</v>
      </c>
    </row>
    <row r="31" spans="2:58" x14ac:dyDescent="0.2">
      <c r="B31" s="82">
        <v>2040</v>
      </c>
      <c r="C31" s="83">
        <v>0</v>
      </c>
      <c r="D31" s="89">
        <v>0</v>
      </c>
      <c r="E31" s="83">
        <v>0</v>
      </c>
      <c r="F31" s="83">
        <v>0</v>
      </c>
      <c r="G31" s="83">
        <v>-5352641.8768653683</v>
      </c>
      <c r="H31" s="83">
        <v>-1080678.167764253</v>
      </c>
      <c r="I31" s="83">
        <v>0</v>
      </c>
      <c r="J31" s="83">
        <v>-871325.24762032984</v>
      </c>
      <c r="K31" s="83">
        <v>-235356.09281001941</v>
      </c>
      <c r="L31" s="83">
        <v>-199331.25103338799</v>
      </c>
      <c r="M31" s="83">
        <v>-28303.725857545014</v>
      </c>
      <c r="N31" s="84">
        <v>0</v>
      </c>
      <c r="O31" s="58">
        <v>0</v>
      </c>
      <c r="P31" s="58">
        <v>0</v>
      </c>
      <c r="Q31" s="89">
        <v>0</v>
      </c>
      <c r="R31" s="89">
        <v>0</v>
      </c>
      <c r="S31" s="89">
        <v>0</v>
      </c>
      <c r="T31" s="84">
        <v>-7767636.3619509041</v>
      </c>
      <c r="U31" s="85">
        <v>-7767636.3619509041</v>
      </c>
      <c r="V31" s="89">
        <v>0</v>
      </c>
      <c r="W31" s="34"/>
      <c r="X31" s="86">
        <v>199331.25103338799</v>
      </c>
      <c r="Y31" s="87">
        <v>22.692537685950363</v>
      </c>
      <c r="Z31" s="90">
        <v>0.49118046939286497</v>
      </c>
      <c r="AA31" s="87">
        <v>46.2</v>
      </c>
      <c r="AB31" s="15"/>
      <c r="AC31" s="138">
        <v>0.14593584936919879</v>
      </c>
      <c r="AD31" s="83">
        <v>0</v>
      </c>
      <c r="AE31" s="89">
        <v>0</v>
      </c>
      <c r="AF31" s="83">
        <v>0</v>
      </c>
      <c r="AG31" s="83">
        <v>0</v>
      </c>
      <c r="AH31" s="83">
        <v>-36678046.552659437</v>
      </c>
      <c r="AI31" s="83">
        <v>-7405158.9957877807</v>
      </c>
      <c r="AJ31" s="83">
        <v>0</v>
      </c>
      <c r="AK31" s="83">
        <v>-5970604.5593772503</v>
      </c>
      <c r="AL31" s="83">
        <v>-1612736.6498864784</v>
      </c>
      <c r="AM31" s="83">
        <v>-1365882.6936286625</v>
      </c>
      <c r="AN31" s="83">
        <v>-193946.35368818976</v>
      </c>
      <c r="AO31" s="84">
        <v>0</v>
      </c>
      <c r="AP31" s="58">
        <v>0</v>
      </c>
      <c r="AQ31" s="58">
        <v>0</v>
      </c>
      <c r="AR31" s="89">
        <v>0</v>
      </c>
      <c r="AS31" s="89">
        <v>0</v>
      </c>
      <c r="AT31" s="89">
        <v>0</v>
      </c>
      <c r="AU31" s="84">
        <v>-53226375.805027805</v>
      </c>
      <c r="AV31" s="85">
        <v>-53226375.805027805</v>
      </c>
      <c r="AW31" s="89">
        <v>0</v>
      </c>
      <c r="AX31" s="85">
        <v>-53226375.805027798</v>
      </c>
      <c r="BA31" s="17">
        <v>-11892512.631382123</v>
      </c>
      <c r="BB31" s="17">
        <v>-8529388.3902514391</v>
      </c>
      <c r="BC31" s="17">
        <v>-3363124.2411306836</v>
      </c>
      <c r="BD31" s="17">
        <v>3340814.8834592151</v>
      </c>
      <c r="BE31" s="17">
        <v>-1148246.7343307806</v>
      </c>
      <c r="BF31" s="17">
        <v>-759699.10562610067</v>
      </c>
    </row>
    <row r="32" spans="2:58" x14ac:dyDescent="0.2">
      <c r="B32" s="82">
        <v>2041</v>
      </c>
      <c r="C32" s="83">
        <v>0</v>
      </c>
      <c r="D32" s="89">
        <v>0</v>
      </c>
      <c r="E32" s="83">
        <v>0</v>
      </c>
      <c r="F32" s="83">
        <v>0</v>
      </c>
      <c r="G32" s="83">
        <v>-5147155.0857136063</v>
      </c>
      <c r="H32" s="83">
        <v>-1208455.1341433655</v>
      </c>
      <c r="I32" s="83">
        <v>0</v>
      </c>
      <c r="J32" s="83">
        <v>-891365.72831559693</v>
      </c>
      <c r="K32" s="83">
        <v>-222325.60994926203</v>
      </c>
      <c r="L32" s="83">
        <v>-198584.00000000061</v>
      </c>
      <c r="M32" s="83">
        <v>-28747.474740430756</v>
      </c>
      <c r="N32" s="84">
        <v>0</v>
      </c>
      <c r="O32" s="58">
        <v>0</v>
      </c>
      <c r="P32" s="58">
        <v>0</v>
      </c>
      <c r="Q32" s="89">
        <v>0</v>
      </c>
      <c r="R32" s="89">
        <v>0</v>
      </c>
      <c r="S32" s="89">
        <v>0</v>
      </c>
      <c r="T32" s="84">
        <v>-7696633.0328622628</v>
      </c>
      <c r="U32" s="85">
        <v>-7696633.0328622628</v>
      </c>
      <c r="V32" s="89">
        <v>0</v>
      </c>
      <c r="W32" s="34"/>
      <c r="X32" s="86">
        <v>198584.00000000061</v>
      </c>
      <c r="Y32" s="87">
        <v>22.669406392694135</v>
      </c>
      <c r="Z32" s="90">
        <v>0.49067979204965656</v>
      </c>
      <c r="AA32" s="87">
        <v>46.2</v>
      </c>
      <c r="AB32" s="15"/>
      <c r="AC32" s="138">
        <v>0.14593584936919879</v>
      </c>
      <c r="AD32" s="83">
        <v>0</v>
      </c>
      <c r="AE32" s="89">
        <v>0</v>
      </c>
      <c r="AF32" s="83">
        <v>0</v>
      </c>
      <c r="AG32" s="83">
        <v>0</v>
      </c>
      <c r="AH32" s="83">
        <v>-35269984.092064798</v>
      </c>
      <c r="AI32" s="83">
        <v>-8280728.4116059151</v>
      </c>
      <c r="AJ32" s="83">
        <v>0</v>
      </c>
      <c r="AK32" s="83">
        <v>-6107928.4642429231</v>
      </c>
      <c r="AL32" s="83">
        <v>-1523447.5347233361</v>
      </c>
      <c r="AM32" s="83">
        <v>-1360762.2860206803</v>
      </c>
      <c r="AN32" s="83">
        <v>-196987.06565035554</v>
      </c>
      <c r="AO32" s="84">
        <v>0</v>
      </c>
      <c r="AP32" s="58">
        <v>0</v>
      </c>
      <c r="AQ32" s="58">
        <v>0</v>
      </c>
      <c r="AR32" s="89">
        <v>0</v>
      </c>
      <c r="AS32" s="89">
        <v>0</v>
      </c>
      <c r="AT32" s="89">
        <v>0</v>
      </c>
      <c r="AU32" s="84">
        <v>-52739837.854308009</v>
      </c>
      <c r="AV32" s="85">
        <v>-52739837.854308009</v>
      </c>
      <c r="AW32" s="89">
        <v>0</v>
      </c>
      <c r="AX32" s="85">
        <v>-52739837.854308017</v>
      </c>
      <c r="BA32" s="17">
        <v>-12262289.330850232</v>
      </c>
      <c r="BB32" s="17">
        <v>-8609574.0223329682</v>
      </c>
      <c r="BC32" s="17">
        <v>-3652715.3085172642</v>
      </c>
      <c r="BD32" s="17">
        <v>-311900.42505804915</v>
      </c>
      <c r="BE32" s="17">
        <v>-1069372.8891420695</v>
      </c>
      <c r="BF32" s="17">
        <v>-909960.02127381787</v>
      </c>
    </row>
    <row r="33" spans="2:58" x14ac:dyDescent="0.2">
      <c r="B33" s="82">
        <v>2042</v>
      </c>
      <c r="C33" s="83">
        <v>0</v>
      </c>
      <c r="D33" s="89">
        <v>0</v>
      </c>
      <c r="E33" s="83">
        <v>0</v>
      </c>
      <c r="F33" s="83">
        <v>0</v>
      </c>
      <c r="G33" s="83">
        <v>-4941668.2945618453</v>
      </c>
      <c r="H33" s="83">
        <v>-1341137.6566355156</v>
      </c>
      <c r="I33" s="83">
        <v>0</v>
      </c>
      <c r="J33" s="83">
        <v>-911867.1400668557</v>
      </c>
      <c r="K33" s="83">
        <v>-208892.7107664888</v>
      </c>
      <c r="L33" s="83">
        <v>-198584.00000000061</v>
      </c>
      <c r="M33" s="83">
        <v>-29308.050497869164</v>
      </c>
      <c r="N33" s="84">
        <v>0</v>
      </c>
      <c r="O33" s="58">
        <v>0</v>
      </c>
      <c r="P33" s="58">
        <v>0</v>
      </c>
      <c r="Q33" s="89">
        <v>0</v>
      </c>
      <c r="R33" s="89">
        <v>0</v>
      </c>
      <c r="S33" s="89">
        <v>0</v>
      </c>
      <c r="T33" s="84">
        <v>-7631457.8525285749</v>
      </c>
      <c r="U33" s="85">
        <v>-7631457.8525285749</v>
      </c>
      <c r="V33" s="89">
        <v>0</v>
      </c>
      <c r="W33" s="34"/>
      <c r="X33" s="86">
        <v>198584.00000000061</v>
      </c>
      <c r="Y33" s="87">
        <v>22.669406392694135</v>
      </c>
      <c r="Z33" s="90">
        <v>0.49067979204965656</v>
      </c>
      <c r="AA33" s="87">
        <v>46.2</v>
      </c>
      <c r="AB33" s="15"/>
      <c r="AC33" s="138">
        <v>0.14593584936919879</v>
      </c>
      <c r="AD33" s="83">
        <v>0</v>
      </c>
      <c r="AE33" s="89">
        <v>0</v>
      </c>
      <c r="AF33" s="83">
        <v>0</v>
      </c>
      <c r="AG33" s="83">
        <v>0</v>
      </c>
      <c r="AH33" s="83">
        <v>-33861921.631470174</v>
      </c>
      <c r="AI33" s="83">
        <v>-9189912.2966188453</v>
      </c>
      <c r="AJ33" s="83">
        <v>0</v>
      </c>
      <c r="AK33" s="83">
        <v>-6248410.8189205108</v>
      </c>
      <c r="AL33" s="83">
        <v>-1431400.9317752852</v>
      </c>
      <c r="AM33" s="83">
        <v>-1360762.2860206803</v>
      </c>
      <c r="AN33" s="83">
        <v>-200828.3134305375</v>
      </c>
      <c r="AO33" s="84">
        <v>0</v>
      </c>
      <c r="AP33" s="58">
        <v>0</v>
      </c>
      <c r="AQ33" s="58">
        <v>0</v>
      </c>
      <c r="AR33" s="89">
        <v>0</v>
      </c>
      <c r="AS33" s="89">
        <v>0</v>
      </c>
      <c r="AT33" s="89">
        <v>0</v>
      </c>
      <c r="AU33" s="84">
        <v>-52293236.278236039</v>
      </c>
      <c r="AV33" s="85">
        <v>-52293236.278236039</v>
      </c>
      <c r="AW33" s="89">
        <v>0</v>
      </c>
      <c r="AX33" s="85">
        <v>-52293236.278236032</v>
      </c>
      <c r="BA33" s="17">
        <v>-12645335.154265376</v>
      </c>
      <c r="BB33" s="17">
        <v>-8831342.5960570332</v>
      </c>
      <c r="BC33" s="17">
        <v>-3813992.5582083426</v>
      </c>
      <c r="BD33" s="17">
        <v>-4125892.9832663918</v>
      </c>
      <c r="BE33" s="17">
        <v>-988945.81108615256</v>
      </c>
      <c r="BF33" s="17">
        <v>-890295.76897888887</v>
      </c>
    </row>
    <row r="34" spans="2:58" ht="13.5" thickBot="1" x14ac:dyDescent="0.25">
      <c r="B34" s="91">
        <v>2043</v>
      </c>
      <c r="C34" s="92">
        <v>0</v>
      </c>
      <c r="D34" s="93">
        <v>0</v>
      </c>
      <c r="E34" s="92">
        <v>0</v>
      </c>
      <c r="F34" s="92">
        <v>0</v>
      </c>
      <c r="G34" s="92">
        <v>-4736181.4942795346</v>
      </c>
      <c r="H34" s="92">
        <v>-1480285.000736041</v>
      </c>
      <c r="I34" s="92">
        <v>0</v>
      </c>
      <c r="J34" s="92">
        <v>-932840.08428839291</v>
      </c>
      <c r="K34" s="92">
        <v>-195053.64424173607</v>
      </c>
      <c r="L34" s="92">
        <v>-198584.00000000061</v>
      </c>
      <c r="M34" s="92">
        <v>-29879.557482577613</v>
      </c>
      <c r="N34" s="94">
        <v>0</v>
      </c>
      <c r="O34" s="95">
        <v>0</v>
      </c>
      <c r="P34" s="95">
        <v>0</v>
      </c>
      <c r="Q34" s="93">
        <v>0</v>
      </c>
      <c r="R34" s="93">
        <v>0</v>
      </c>
      <c r="S34" s="93">
        <v>0</v>
      </c>
      <c r="T34" s="94">
        <v>-7572823.7810282838</v>
      </c>
      <c r="U34" s="96">
        <v>-7572823.7810282838</v>
      </c>
      <c r="V34" s="93">
        <v>0</v>
      </c>
      <c r="W34" s="34"/>
      <c r="X34" s="97">
        <v>198584.00000000061</v>
      </c>
      <c r="Y34" s="98">
        <v>22.669406392694135</v>
      </c>
      <c r="Z34" s="99">
        <v>0.49067979204965656</v>
      </c>
      <c r="AA34" s="98">
        <v>46.2</v>
      </c>
      <c r="AB34" s="15"/>
      <c r="AC34" s="138">
        <v>0.14593584936919879</v>
      </c>
      <c r="AD34" s="92">
        <v>0</v>
      </c>
      <c r="AE34" s="93">
        <v>0</v>
      </c>
      <c r="AF34" s="92">
        <v>0</v>
      </c>
      <c r="AG34" s="92">
        <v>0</v>
      </c>
      <c r="AH34" s="92">
        <v>-32453859.108310044</v>
      </c>
      <c r="AI34" s="92">
        <v>-10143395.24616129</v>
      </c>
      <c r="AJ34" s="92">
        <v>0</v>
      </c>
      <c r="AK34" s="92">
        <v>-6392124.2677556789</v>
      </c>
      <c r="AL34" s="92">
        <v>-1336571.1378310865</v>
      </c>
      <c r="AM34" s="92">
        <v>-1360762.2860206803</v>
      </c>
      <c r="AN34" s="92">
        <v>-204744.465542433</v>
      </c>
      <c r="AO34" s="94">
        <v>0</v>
      </c>
      <c r="AP34" s="95">
        <v>0</v>
      </c>
      <c r="AQ34" s="95">
        <v>0</v>
      </c>
      <c r="AR34" s="93">
        <v>0</v>
      </c>
      <c r="AS34" s="93">
        <v>0</v>
      </c>
      <c r="AT34" s="93">
        <v>0</v>
      </c>
      <c r="AU34" s="94">
        <v>-51891456.511621214</v>
      </c>
      <c r="AV34" s="96">
        <v>-51891456.511621214</v>
      </c>
      <c r="AW34" s="93">
        <v>0</v>
      </c>
      <c r="AX34" s="96">
        <v>-51891456.511621222</v>
      </c>
      <c r="BA34" s="17">
        <v>-13073484.669230474</v>
      </c>
      <c r="BB34" s="17">
        <v>-8806926.0355710834</v>
      </c>
      <c r="BC34" s="17">
        <v>-4266558.6336593907</v>
      </c>
      <c r="BD34" s="17">
        <v>-8392451.6169257835</v>
      </c>
      <c r="BE34" s="17">
        <v>-906739.93064816215</v>
      </c>
      <c r="BF34" s="17">
        <v>-886323.436119091</v>
      </c>
    </row>
    <row r="35" spans="2:58" x14ac:dyDescent="0.2">
      <c r="B35" s="100">
        <v>2044</v>
      </c>
      <c r="C35" s="101">
        <v>0</v>
      </c>
      <c r="D35" s="101">
        <v>0</v>
      </c>
      <c r="E35" s="101">
        <v>0</v>
      </c>
      <c r="F35" s="102">
        <v>0</v>
      </c>
      <c r="G35" s="102">
        <v>-4530694.7031277772</v>
      </c>
      <c r="H35" s="102">
        <v>-1627629.3607946492</v>
      </c>
      <c r="I35" s="102">
        <v>0</v>
      </c>
      <c r="J35" s="102">
        <v>-954295.40622702625</v>
      </c>
      <c r="K35" s="102">
        <v>-180746.31249161309</v>
      </c>
      <c r="L35" s="102">
        <v>-199331.25103338799</v>
      </c>
      <c r="M35" s="101">
        <v>-30576.834991772081</v>
      </c>
      <c r="N35" s="103">
        <v>0</v>
      </c>
      <c r="O35" s="104">
        <v>0</v>
      </c>
      <c r="P35" s="104">
        <v>0</v>
      </c>
      <c r="Q35" s="101">
        <v>0</v>
      </c>
      <c r="R35" s="101">
        <v>0</v>
      </c>
      <c r="S35" s="101">
        <v>0</v>
      </c>
      <c r="T35" s="105">
        <v>-7523273.868666226</v>
      </c>
      <c r="U35" s="106">
        <v>-7523273.868666226</v>
      </c>
      <c r="V35" s="101">
        <v>0</v>
      </c>
      <c r="W35" s="34"/>
      <c r="X35" s="107">
        <v>199331.25103338799</v>
      </c>
      <c r="Y35" s="108">
        <v>22.692537685950363</v>
      </c>
      <c r="Z35" s="109">
        <v>0.49118046939286497</v>
      </c>
      <c r="AA35" s="108">
        <v>46.2</v>
      </c>
      <c r="AB35" s="15"/>
      <c r="AC35" s="138">
        <v>0.14593584936919879</v>
      </c>
      <c r="AD35" s="101">
        <v>0</v>
      </c>
      <c r="AE35" s="101">
        <v>0</v>
      </c>
      <c r="AF35" s="101">
        <v>0</v>
      </c>
      <c r="AG35" s="102">
        <v>0</v>
      </c>
      <c r="AH35" s="102">
        <v>-31045796.647715442</v>
      </c>
      <c r="AI35" s="102">
        <v>-11153046.820435176</v>
      </c>
      <c r="AJ35" s="102">
        <v>0</v>
      </c>
      <c r="AK35" s="102">
        <v>-6539143.1259140624</v>
      </c>
      <c r="AL35" s="102">
        <v>-1238532.6379562046</v>
      </c>
      <c r="AM35" s="102">
        <v>-1365882.6936286625</v>
      </c>
      <c r="AN35" s="101">
        <v>-209522.43827640082</v>
      </c>
      <c r="AO35" s="103">
        <v>0</v>
      </c>
      <c r="AP35" s="104">
        <v>0</v>
      </c>
      <c r="AQ35" s="104">
        <v>0</v>
      </c>
      <c r="AR35" s="101">
        <v>0</v>
      </c>
      <c r="AS35" s="101">
        <v>0</v>
      </c>
      <c r="AT35" s="101">
        <v>0</v>
      </c>
      <c r="AU35" s="105">
        <v>-51551924.363925941</v>
      </c>
      <c r="AV35" s="106">
        <v>-51551924.363925941</v>
      </c>
      <c r="AW35" s="101">
        <v>0</v>
      </c>
      <c r="AX35" s="106">
        <v>-51551924.363925949</v>
      </c>
      <c r="BA35" s="17">
        <v>-13453258.40880996</v>
      </c>
      <c r="BB35" s="17">
        <v>-9003811.1755004171</v>
      </c>
      <c r="BC35" s="17">
        <v>-4449447.2333095428</v>
      </c>
      <c r="BD35" s="17">
        <v>-12841898.850235326</v>
      </c>
      <c r="BE35" s="17">
        <v>-822479.21945613564</v>
      </c>
      <c r="BF35" s="17">
        <v>-747748.10701397911</v>
      </c>
    </row>
    <row r="36" spans="2:58" x14ac:dyDescent="0.2">
      <c r="B36" s="82">
        <v>2045</v>
      </c>
      <c r="C36" s="89">
        <v>0</v>
      </c>
      <c r="D36" s="89">
        <v>0</v>
      </c>
      <c r="E36" s="89">
        <v>0</v>
      </c>
      <c r="F36" s="83">
        <v>0</v>
      </c>
      <c r="G36" s="83">
        <v>-4325207.9028454665</v>
      </c>
      <c r="H36" s="83">
        <v>-1785626.5638276292</v>
      </c>
      <c r="I36" s="83">
        <v>0</v>
      </c>
      <c r="J36" s="83">
        <v>-976244.20057024772</v>
      </c>
      <c r="K36" s="83">
        <v>-165894.55048230093</v>
      </c>
      <c r="L36" s="83">
        <v>-198584.00000000061</v>
      </c>
      <c r="M36" s="89">
        <v>-31056.2219261309</v>
      </c>
      <c r="N36" s="110">
        <v>0</v>
      </c>
      <c r="O36" s="58">
        <v>0</v>
      </c>
      <c r="P36" s="58">
        <v>0</v>
      </c>
      <c r="Q36" s="89">
        <v>0</v>
      </c>
      <c r="R36" s="89">
        <v>0</v>
      </c>
      <c r="S36" s="89">
        <v>0</v>
      </c>
      <c r="T36" s="84">
        <v>-7482613.439651777</v>
      </c>
      <c r="U36" s="85">
        <v>-7482613.439651777</v>
      </c>
      <c r="V36" s="89">
        <v>0</v>
      </c>
      <c r="W36" s="34"/>
      <c r="X36" s="86">
        <v>198584.00000000061</v>
      </c>
      <c r="Y36" s="87">
        <v>22.669406392694135</v>
      </c>
      <c r="Z36" s="90">
        <v>0.49067979204965656</v>
      </c>
      <c r="AA36" s="87">
        <v>46.2</v>
      </c>
      <c r="AB36" s="15"/>
      <c r="AC36" s="138">
        <v>0.14593584936919879</v>
      </c>
      <c r="AD36" s="89">
        <v>0</v>
      </c>
      <c r="AE36" s="89">
        <v>0</v>
      </c>
      <c r="AF36" s="89">
        <v>0</v>
      </c>
      <c r="AG36" s="83">
        <v>0</v>
      </c>
      <c r="AH36" s="83">
        <v>-29637734.124555312</v>
      </c>
      <c r="AI36" s="83">
        <v>-12235695.146503896</v>
      </c>
      <c r="AJ36" s="83">
        <v>0</v>
      </c>
      <c r="AK36" s="83">
        <v>-6689543.4178100843</v>
      </c>
      <c r="AL36" s="83">
        <v>-1136763.5245169213</v>
      </c>
      <c r="AM36" s="83">
        <v>-1360762.2860206803</v>
      </c>
      <c r="AN36" s="89">
        <v>-212807.35378161047</v>
      </c>
      <c r="AO36" s="110">
        <v>0</v>
      </c>
      <c r="AP36" s="58">
        <v>0</v>
      </c>
      <c r="AQ36" s="58">
        <v>0</v>
      </c>
      <c r="AR36" s="89">
        <v>0</v>
      </c>
      <c r="AS36" s="89">
        <v>0</v>
      </c>
      <c r="AT36" s="89">
        <v>0</v>
      </c>
      <c r="AU36" s="84">
        <v>-51273305.8531885</v>
      </c>
      <c r="AV36" s="85">
        <v>-51273305.8531885</v>
      </c>
      <c r="AW36" s="89">
        <v>0</v>
      </c>
      <c r="AX36" s="85">
        <v>-51273305.853188507</v>
      </c>
      <c r="BA36" s="17">
        <v>-13879197.409505362</v>
      </c>
      <c r="BB36" s="17">
        <v>-9117763.0276889857</v>
      </c>
      <c r="BC36" s="17">
        <v>-4761434.381816376</v>
      </c>
      <c r="BD36" s="17">
        <v>-17603333.2320517</v>
      </c>
      <c r="BE36" s="17">
        <v>-735819.09141175961</v>
      </c>
      <c r="BF36" s="17">
        <v>-847449.05046249402</v>
      </c>
    </row>
    <row r="37" spans="2:58" x14ac:dyDescent="0.2">
      <c r="B37" s="82">
        <v>2046</v>
      </c>
      <c r="C37" s="89">
        <v>0</v>
      </c>
      <c r="D37" s="89">
        <v>0</v>
      </c>
      <c r="E37" s="89">
        <v>0</v>
      </c>
      <c r="F37" s="83">
        <v>0</v>
      </c>
      <c r="G37" s="83">
        <v>-4119721.1116937059</v>
      </c>
      <c r="H37" s="83">
        <v>-1957882.1411915116</v>
      </c>
      <c r="I37" s="83">
        <v>0</v>
      </c>
      <c r="J37" s="83">
        <v>-998697.8171833636</v>
      </c>
      <c r="K37" s="83">
        <v>-150403.07185466637</v>
      </c>
      <c r="L37" s="83">
        <v>-198584.00000000061</v>
      </c>
      <c r="M37" s="89">
        <v>-31661.81825369045</v>
      </c>
      <c r="N37" s="110">
        <v>0</v>
      </c>
      <c r="O37" s="58">
        <v>0</v>
      </c>
      <c r="P37" s="58">
        <v>0</v>
      </c>
      <c r="Q37" s="89">
        <v>0</v>
      </c>
      <c r="R37" s="89">
        <v>0</v>
      </c>
      <c r="S37" s="89">
        <v>0</v>
      </c>
      <c r="T37" s="84">
        <v>-7456949.9601769391</v>
      </c>
      <c r="U37" s="85">
        <v>-7456949.9601769391</v>
      </c>
      <c r="V37" s="89">
        <v>0</v>
      </c>
      <c r="W37" s="34"/>
      <c r="X37" s="86">
        <v>198584.00000000061</v>
      </c>
      <c r="Y37" s="87">
        <v>22.669406392694135</v>
      </c>
      <c r="Z37" s="90">
        <v>0.49067979204965656</v>
      </c>
      <c r="AA37" s="87">
        <v>46.2</v>
      </c>
      <c r="AB37" s="15"/>
      <c r="AC37" s="138">
        <v>0.14593584936919879</v>
      </c>
      <c r="AD37" s="89">
        <v>0</v>
      </c>
      <c r="AE37" s="89">
        <v>0</v>
      </c>
      <c r="AF37" s="89">
        <v>0</v>
      </c>
      <c r="AG37" s="83">
        <v>0</v>
      </c>
      <c r="AH37" s="83">
        <v>-28229671.663960684</v>
      </c>
      <c r="AI37" s="83">
        <v>-13416046.5002559</v>
      </c>
      <c r="AJ37" s="83">
        <v>0</v>
      </c>
      <c r="AK37" s="83">
        <v>-6843402.9164197175</v>
      </c>
      <c r="AL37" s="83">
        <v>-1030610.8643268734</v>
      </c>
      <c r="AM37" s="83">
        <v>-1360762.2860206803</v>
      </c>
      <c r="AN37" s="89">
        <v>-216957.09718035185</v>
      </c>
      <c r="AO37" s="110">
        <v>0</v>
      </c>
      <c r="AP37" s="58">
        <v>0</v>
      </c>
      <c r="AQ37" s="58">
        <v>0</v>
      </c>
      <c r="AR37" s="89">
        <v>0</v>
      </c>
      <c r="AS37" s="89">
        <v>0</v>
      </c>
      <c r="AT37" s="89">
        <v>0</v>
      </c>
      <c r="AU37" s="84">
        <v>-51097451.328164205</v>
      </c>
      <c r="AV37" s="85">
        <v>-51097451.328164205</v>
      </c>
      <c r="AW37" s="89">
        <v>0</v>
      </c>
      <c r="AX37" s="85">
        <v>-51097451.328164212</v>
      </c>
      <c r="BA37" s="17">
        <v>-14320530.239418142</v>
      </c>
      <c r="BB37" s="17">
        <v>-9214383.9751474466</v>
      </c>
      <c r="BC37" s="17">
        <v>-5106146.2642706949</v>
      </c>
      <c r="BD37" s="17">
        <v>-22709479.496322393</v>
      </c>
      <c r="BE37" s="17">
        <v>-646318.47652977635</v>
      </c>
      <c r="BF37" s="17">
        <v>-854335.04445997404</v>
      </c>
    </row>
    <row r="38" spans="2:58" x14ac:dyDescent="0.2">
      <c r="B38" s="82">
        <v>2047</v>
      </c>
      <c r="C38" s="89">
        <v>0</v>
      </c>
      <c r="D38" s="89">
        <v>0</v>
      </c>
      <c r="E38" s="89">
        <v>0</v>
      </c>
      <c r="F38" s="83">
        <v>0</v>
      </c>
      <c r="G38" s="83">
        <v>-3914234.3114113952</v>
      </c>
      <c r="H38" s="83">
        <v>-2149930.1066753184</v>
      </c>
      <c r="I38" s="83">
        <v>0</v>
      </c>
      <c r="J38" s="83">
        <v>-1019670.4713442139</v>
      </c>
      <c r="K38" s="83">
        <v>-134149.67009417896</v>
      </c>
      <c r="L38" s="83">
        <v>-198584.00000000061</v>
      </c>
      <c r="M38" s="89">
        <v>-32279.223709637419</v>
      </c>
      <c r="N38" s="110">
        <v>0</v>
      </c>
      <c r="O38" s="58">
        <v>0</v>
      </c>
      <c r="P38" s="58">
        <v>0</v>
      </c>
      <c r="Q38" s="89">
        <v>0</v>
      </c>
      <c r="R38" s="89">
        <v>0</v>
      </c>
      <c r="S38" s="89">
        <v>0</v>
      </c>
      <c r="T38" s="84">
        <v>-7448847.7832347443</v>
      </c>
      <c r="U38" s="85">
        <v>-7448847.7832347443</v>
      </c>
      <c r="V38" s="89">
        <v>0</v>
      </c>
      <c r="W38" s="34"/>
      <c r="X38" s="86">
        <v>198584.00000000061</v>
      </c>
      <c r="Y38" s="87">
        <v>22.669406392694135</v>
      </c>
      <c r="Z38" s="90">
        <v>0.49067979204965656</v>
      </c>
      <c r="AA38" s="87">
        <v>46.2</v>
      </c>
      <c r="AB38" s="15"/>
      <c r="AC38" s="138">
        <v>0.14593584936919879</v>
      </c>
      <c r="AD38" s="89">
        <v>0</v>
      </c>
      <c r="AE38" s="89">
        <v>0</v>
      </c>
      <c r="AF38" s="89">
        <v>0</v>
      </c>
      <c r="AG38" s="83">
        <v>0</v>
      </c>
      <c r="AH38" s="83">
        <v>-26821609.140800554</v>
      </c>
      <c r="AI38" s="83">
        <v>-14732021.747694591</v>
      </c>
      <c r="AJ38" s="83">
        <v>0</v>
      </c>
      <c r="AK38" s="83">
        <v>-6987114.3776645297</v>
      </c>
      <c r="AL38" s="83">
        <v>-919237.25852170622</v>
      </c>
      <c r="AM38" s="83">
        <v>-1360762.2860206803</v>
      </c>
      <c r="AN38" s="89">
        <v>-221187.76057536874</v>
      </c>
      <c r="AO38" s="110">
        <v>0</v>
      </c>
      <c r="AP38" s="58">
        <v>0</v>
      </c>
      <c r="AQ38" s="58">
        <v>0</v>
      </c>
      <c r="AR38" s="89">
        <v>0</v>
      </c>
      <c r="AS38" s="89">
        <v>0</v>
      </c>
      <c r="AT38" s="89">
        <v>0</v>
      </c>
      <c r="AU38" s="84">
        <v>-51041932.571277432</v>
      </c>
      <c r="AV38" s="85">
        <v>-51041932.571277432</v>
      </c>
      <c r="AW38" s="89">
        <v>0</v>
      </c>
      <c r="AX38" s="85">
        <v>-51041932.571277432</v>
      </c>
      <c r="BA38" s="17">
        <v>-14813049.789307997</v>
      </c>
      <c r="BB38" s="17">
        <v>-9204171.7136554029</v>
      </c>
      <c r="BC38" s="17">
        <v>-5608878.0756525937</v>
      </c>
      <c r="BD38" s="17">
        <v>-28318357.571974985</v>
      </c>
      <c r="BE38" s="17">
        <v>-553394.30903802509</v>
      </c>
      <c r="BF38" s="17">
        <v>-840706.3343307717</v>
      </c>
    </row>
    <row r="39" spans="2:58" x14ac:dyDescent="0.2">
      <c r="B39" s="111">
        <v>2048</v>
      </c>
      <c r="C39" s="112">
        <v>0</v>
      </c>
      <c r="D39" s="112">
        <v>0</v>
      </c>
      <c r="E39" s="112">
        <v>0</v>
      </c>
      <c r="F39" s="113">
        <v>0</v>
      </c>
      <c r="G39" s="113">
        <v>-3708747.5202596341</v>
      </c>
      <c r="H39" s="113">
        <v>-2370776.5292177945</v>
      </c>
      <c r="I39" s="113">
        <v>0</v>
      </c>
      <c r="J39" s="113">
        <v>-1041083.5512424423</v>
      </c>
      <c r="K39" s="113">
        <v>-116972.50818280345</v>
      </c>
      <c r="L39" s="113">
        <v>-199331.25103338799</v>
      </c>
      <c r="M39" s="112">
        <v>-33032.500484907971</v>
      </c>
      <c r="N39" s="114">
        <v>0</v>
      </c>
      <c r="O39" s="58">
        <v>0</v>
      </c>
      <c r="P39" s="58">
        <v>0</v>
      </c>
      <c r="Q39" s="112">
        <v>0</v>
      </c>
      <c r="R39" s="112">
        <v>0</v>
      </c>
      <c r="S39" s="112">
        <v>0</v>
      </c>
      <c r="T39" s="115">
        <v>-7469943.8604209702</v>
      </c>
      <c r="U39" s="85">
        <v>-7469943.8604209702</v>
      </c>
      <c r="V39" s="112">
        <v>0</v>
      </c>
      <c r="W39" s="34"/>
      <c r="X39" s="116">
        <v>199331.25103338799</v>
      </c>
      <c r="Y39" s="87">
        <v>22.692537685950363</v>
      </c>
      <c r="Z39" s="90">
        <v>0.49118046939286497</v>
      </c>
      <c r="AA39" s="87">
        <v>46.2</v>
      </c>
      <c r="AB39" s="15"/>
      <c r="AC39" s="138">
        <v>0.14593584936919879</v>
      </c>
      <c r="AD39" s="112">
        <v>0</v>
      </c>
      <c r="AE39" s="112">
        <v>0</v>
      </c>
      <c r="AF39" s="112">
        <v>0</v>
      </c>
      <c r="AG39" s="113">
        <v>0</v>
      </c>
      <c r="AH39" s="113">
        <v>-25413546.680205926</v>
      </c>
      <c r="AI39" s="113">
        <v>-16245333.408243215</v>
      </c>
      <c r="AJ39" s="113">
        <v>0</v>
      </c>
      <c r="AK39" s="113">
        <v>-7133843.779595484</v>
      </c>
      <c r="AL39" s="113">
        <v>-801533.74711156928</v>
      </c>
      <c r="AM39" s="113">
        <v>-1365882.6936286625</v>
      </c>
      <c r="AN39" s="112">
        <v>-226349.45853050833</v>
      </c>
      <c r="AO39" s="114">
        <v>0</v>
      </c>
      <c r="AP39" s="58">
        <v>0</v>
      </c>
      <c r="AQ39" s="58">
        <v>0</v>
      </c>
      <c r="AR39" s="112">
        <v>0</v>
      </c>
      <c r="AS39" s="112">
        <v>0</v>
      </c>
      <c r="AT39" s="112">
        <v>0</v>
      </c>
      <c r="AU39" s="115">
        <v>-51186489.767315365</v>
      </c>
      <c r="AV39" s="85">
        <v>-51186489.767315365</v>
      </c>
      <c r="AW39" s="112">
        <v>0</v>
      </c>
      <c r="AX39" s="85">
        <v>-51186489.767315365</v>
      </c>
      <c r="BA39" s="17">
        <v>-15251735.378848277</v>
      </c>
      <c r="BB39" s="17">
        <v>-11640340.453693993</v>
      </c>
      <c r="BC39" s="17">
        <v>-3611394.9251542836</v>
      </c>
      <c r="BD39" s="17">
        <v>-31929752.497129269</v>
      </c>
      <c r="BE39" s="17">
        <v>-456241.87838063971</v>
      </c>
      <c r="BF39" s="17">
        <v>-707528.72943411651</v>
      </c>
    </row>
    <row r="40" spans="2:58" x14ac:dyDescent="0.2">
      <c r="B40" s="111">
        <v>2049</v>
      </c>
      <c r="C40" s="112">
        <v>0</v>
      </c>
      <c r="D40" s="112">
        <v>0</v>
      </c>
      <c r="E40" s="112">
        <v>0</v>
      </c>
      <c r="F40" s="113">
        <v>0</v>
      </c>
      <c r="G40" s="113">
        <v>-3503260.729107874</v>
      </c>
      <c r="H40" s="113">
        <v>-2636314.1649531634</v>
      </c>
      <c r="I40" s="113">
        <v>0</v>
      </c>
      <c r="J40" s="113">
        <v>-1062946.3058185333</v>
      </c>
      <c r="K40" s="113">
        <v>-98647.874091252394</v>
      </c>
      <c r="L40" s="113">
        <v>-198584.00000000061</v>
      </c>
      <c r="M40" s="112">
        <v>-33550.387609128869</v>
      </c>
      <c r="N40" s="114">
        <v>0</v>
      </c>
      <c r="O40" s="58">
        <v>0</v>
      </c>
      <c r="P40" s="58">
        <v>0</v>
      </c>
      <c r="Q40" s="112">
        <v>0</v>
      </c>
      <c r="R40" s="112">
        <v>0</v>
      </c>
      <c r="S40" s="112">
        <v>0</v>
      </c>
      <c r="T40" s="115">
        <v>-7533303.4615799533</v>
      </c>
      <c r="U40" s="85">
        <v>-7533303.4615799533</v>
      </c>
      <c r="V40" s="112">
        <v>0</v>
      </c>
      <c r="W40" s="34"/>
      <c r="X40" s="116">
        <v>198584.00000000061</v>
      </c>
      <c r="Y40" s="87">
        <v>22.669406392694135</v>
      </c>
      <c r="Z40" s="90">
        <v>0.49067979204965656</v>
      </c>
      <c r="AA40" s="87">
        <v>46.2</v>
      </c>
      <c r="AB40" s="15"/>
      <c r="AC40" s="138">
        <v>0.14593584936919879</v>
      </c>
      <c r="AD40" s="112">
        <v>0</v>
      </c>
      <c r="AE40" s="112">
        <v>0</v>
      </c>
      <c r="AF40" s="112">
        <v>0</v>
      </c>
      <c r="AG40" s="113">
        <v>0</v>
      </c>
      <c r="AH40" s="113">
        <v>-24005484.219611306</v>
      </c>
      <c r="AI40" s="113">
        <v>-18064883.826342285</v>
      </c>
      <c r="AJ40" s="113">
        <v>0</v>
      </c>
      <c r="AK40" s="113">
        <v>-7283654.4989669872</v>
      </c>
      <c r="AL40" s="113">
        <v>-675967.38236460357</v>
      </c>
      <c r="AM40" s="113">
        <v>-1360762.2860206803</v>
      </c>
      <c r="AN40" s="112">
        <v>-229898.18988376693</v>
      </c>
      <c r="AO40" s="114">
        <v>0</v>
      </c>
      <c r="AP40" s="58">
        <v>0</v>
      </c>
      <c r="AQ40" s="58">
        <v>0</v>
      </c>
      <c r="AR40" s="112">
        <v>0</v>
      </c>
      <c r="AS40" s="112">
        <v>0</v>
      </c>
      <c r="AT40" s="112">
        <v>0</v>
      </c>
      <c r="AU40" s="115">
        <v>-51620650.403189622</v>
      </c>
      <c r="AV40" s="85">
        <v>-51620650.403189622</v>
      </c>
      <c r="AW40" s="112">
        <v>0</v>
      </c>
      <c r="AX40" s="85">
        <v>-51620650.403189637</v>
      </c>
      <c r="BA40" s="17">
        <v>-15742844.413410787</v>
      </c>
      <c r="BB40" s="17">
        <v>-14429940.025810717</v>
      </c>
      <c r="BC40" s="17">
        <v>-1312904.3876000699</v>
      </c>
      <c r="BD40" s="17">
        <v>-33242656.884729341</v>
      </c>
      <c r="BE40" s="17">
        <v>-353681.21641842159</v>
      </c>
      <c r="BF40" s="17">
        <v>-799326.89578936331</v>
      </c>
    </row>
    <row r="41" spans="2:58" x14ac:dyDescent="0.2">
      <c r="B41" s="111">
        <v>2050</v>
      </c>
      <c r="C41" s="112">
        <v>0</v>
      </c>
      <c r="D41" s="112">
        <v>0</v>
      </c>
      <c r="E41" s="112">
        <v>0</v>
      </c>
      <c r="F41" s="113">
        <v>0</v>
      </c>
      <c r="G41" s="113">
        <v>-3297773.9288255651</v>
      </c>
      <c r="H41" s="113">
        <v>-2926824.3670147615</v>
      </c>
      <c r="I41" s="113">
        <v>0</v>
      </c>
      <c r="J41" s="113">
        <v>-1085268.1782407225</v>
      </c>
      <c r="K41" s="113">
        <v>-78847.278879039121</v>
      </c>
      <c r="L41" s="113">
        <v>-198584.00000000061</v>
      </c>
      <c r="M41" s="112">
        <v>-34204.620167506881</v>
      </c>
      <c r="N41" s="114">
        <v>0</v>
      </c>
      <c r="O41" s="58">
        <v>0</v>
      </c>
      <c r="P41" s="58">
        <v>0</v>
      </c>
      <c r="Q41" s="112">
        <v>0</v>
      </c>
      <c r="R41" s="112">
        <v>0</v>
      </c>
      <c r="S41" s="112">
        <v>0</v>
      </c>
      <c r="T41" s="115">
        <v>-7621502.3731275955</v>
      </c>
      <c r="U41" s="85">
        <v>-7621502.3731275955</v>
      </c>
      <c r="V41" s="112">
        <v>0</v>
      </c>
      <c r="W41" s="34"/>
      <c r="X41" s="116">
        <v>198584.00000000061</v>
      </c>
      <c r="Y41" s="87">
        <v>22.669406392694135</v>
      </c>
      <c r="Z41" s="90">
        <v>0.49067979204965656</v>
      </c>
      <c r="AA41" s="87">
        <v>46.2</v>
      </c>
      <c r="AB41" s="15"/>
      <c r="AC41" s="138">
        <v>0.14593584936919879</v>
      </c>
      <c r="AD41" s="112">
        <v>0</v>
      </c>
      <c r="AE41" s="112">
        <v>0</v>
      </c>
      <c r="AF41" s="112">
        <v>0</v>
      </c>
      <c r="AG41" s="113">
        <v>0</v>
      </c>
      <c r="AH41" s="113">
        <v>-22597421.696451187</v>
      </c>
      <c r="AI41" s="113">
        <v>-20055554.407404553</v>
      </c>
      <c r="AJ41" s="113">
        <v>0</v>
      </c>
      <c r="AK41" s="113">
        <v>-7436611.243445294</v>
      </c>
      <c r="AL41" s="113">
        <v>-540287.25100688403</v>
      </c>
      <c r="AM41" s="113">
        <v>-1360762.2860206803</v>
      </c>
      <c r="AN41" s="112">
        <v>-234381.20458650036</v>
      </c>
      <c r="AO41" s="114">
        <v>0</v>
      </c>
      <c r="AP41" s="58">
        <v>0</v>
      </c>
      <c r="AQ41" s="58">
        <v>0</v>
      </c>
      <c r="AR41" s="112">
        <v>0</v>
      </c>
      <c r="AS41" s="112">
        <v>0</v>
      </c>
      <c r="AT41" s="112">
        <v>0</v>
      </c>
      <c r="AU41" s="115">
        <v>-52225018.088915102</v>
      </c>
      <c r="AV41" s="85">
        <v>-52225018.088915102</v>
      </c>
      <c r="AW41" s="112">
        <v>0</v>
      </c>
      <c r="AX41" s="85">
        <v>-52225018.088915095</v>
      </c>
      <c r="BA41" s="17">
        <v>-16251822.557550825</v>
      </c>
      <c r="BB41" s="17">
        <v>-14677641.184750583</v>
      </c>
      <c r="BC41" s="17">
        <v>-1574181.3728002422</v>
      </c>
      <c r="BD41" s="17">
        <v>-34816838.257529587</v>
      </c>
      <c r="BE41" s="17">
        <v>-243815.73023500221</v>
      </c>
      <c r="BF41" s="17">
        <v>-3276796.7499870718</v>
      </c>
    </row>
    <row r="42" spans="2:58" x14ac:dyDescent="0.2">
      <c r="B42" s="111">
        <v>2051</v>
      </c>
      <c r="C42" s="112">
        <v>0</v>
      </c>
      <c r="D42" s="112">
        <v>0</v>
      </c>
      <c r="E42" s="112">
        <v>0</v>
      </c>
      <c r="F42" s="113">
        <v>0</v>
      </c>
      <c r="G42" s="113">
        <v>-3092287.1376738045</v>
      </c>
      <c r="H42" s="113">
        <v>-3218218.6774923471</v>
      </c>
      <c r="I42" s="113">
        <v>0</v>
      </c>
      <c r="J42" s="113">
        <v>-1108058.8099837776</v>
      </c>
      <c r="K42" s="113">
        <v>-55547.27640579993</v>
      </c>
      <c r="L42" s="113">
        <v>-198584.00000000061</v>
      </c>
      <c r="M42" s="112">
        <v>-34871.610260773268</v>
      </c>
      <c r="N42" s="114">
        <v>0</v>
      </c>
      <c r="O42" s="58">
        <v>0</v>
      </c>
      <c r="P42" s="58">
        <v>0</v>
      </c>
      <c r="Q42" s="112">
        <v>0</v>
      </c>
      <c r="R42" s="112">
        <v>0</v>
      </c>
      <c r="S42" s="112">
        <v>0</v>
      </c>
      <c r="T42" s="115">
        <v>-7707567.5118165035</v>
      </c>
      <c r="U42" s="85">
        <v>-7707567.5118165035</v>
      </c>
      <c r="V42" s="112">
        <v>0</v>
      </c>
      <c r="W42" s="34"/>
      <c r="X42" s="116">
        <v>198584.00000000061</v>
      </c>
      <c r="Y42" s="87">
        <v>22.669406392694135</v>
      </c>
      <c r="Z42" s="90">
        <v>0.49067979204965656</v>
      </c>
      <c r="AA42" s="87">
        <v>46.2</v>
      </c>
      <c r="AB42" s="15"/>
      <c r="AC42" s="138">
        <v>0.14593584936919879</v>
      </c>
      <c r="AD42" s="112">
        <v>0</v>
      </c>
      <c r="AE42" s="112">
        <v>0</v>
      </c>
      <c r="AF42" s="112">
        <v>0</v>
      </c>
      <c r="AG42" s="113">
        <v>0</v>
      </c>
      <c r="AH42" s="113">
        <v>-21189359.235856563</v>
      </c>
      <c r="AI42" s="113">
        <v>-22052283.187461846</v>
      </c>
      <c r="AJ42" s="113">
        <v>0</v>
      </c>
      <c r="AK42" s="113">
        <v>-7592780.0795576442</v>
      </c>
      <c r="AL42" s="113">
        <v>-380628.04064868612</v>
      </c>
      <c r="AM42" s="113">
        <v>-1360762.2860206803</v>
      </c>
      <c r="AN42" s="112">
        <v>-238951.63807593714</v>
      </c>
      <c r="AO42" s="114">
        <v>0</v>
      </c>
      <c r="AP42" s="58">
        <v>0</v>
      </c>
      <c r="AQ42" s="58">
        <v>0</v>
      </c>
      <c r="AR42" s="112">
        <v>0</v>
      </c>
      <c r="AS42" s="112">
        <v>0</v>
      </c>
      <c r="AT42" s="112">
        <v>0</v>
      </c>
      <c r="AU42" s="115">
        <v>-52814764.467621356</v>
      </c>
      <c r="AV42" s="85">
        <v>-52814764.467621356</v>
      </c>
      <c r="AW42" s="112">
        <v>0</v>
      </c>
      <c r="AX42" s="85">
        <v>-52814764.467621364</v>
      </c>
      <c r="BA42" s="17">
        <v>-16818995.92887333</v>
      </c>
      <c r="BB42" s="17">
        <v>-14991165.071788836</v>
      </c>
      <c r="BC42" s="17">
        <v>-1827830.8570844941</v>
      </c>
      <c r="BD42" s="17">
        <v>-36644669.114614084</v>
      </c>
      <c r="BE42" s="17">
        <v>-123076.36582689242</v>
      </c>
      <c r="BF42" s="17">
        <v>-3322969.6613040352</v>
      </c>
    </row>
    <row r="43" spans="2:58" x14ac:dyDescent="0.2">
      <c r="B43" s="82">
        <v>2052</v>
      </c>
      <c r="C43" s="89">
        <v>0</v>
      </c>
      <c r="D43" s="89">
        <v>0</v>
      </c>
      <c r="E43" s="89">
        <v>0</v>
      </c>
      <c r="F43" s="83">
        <v>0</v>
      </c>
      <c r="G43" s="83">
        <v>-2886800.3373914943</v>
      </c>
      <c r="H43" s="83">
        <v>-3485794.1680324115</v>
      </c>
      <c r="I43" s="83">
        <v>0</v>
      </c>
      <c r="J43" s="83">
        <v>-1131328.0449934367</v>
      </c>
      <c r="K43" s="83">
        <v>-28343.626636581084</v>
      </c>
      <c r="L43" s="83">
        <v>-187759.43538907322</v>
      </c>
      <c r="M43" s="89">
        <v>-33613.7332001428</v>
      </c>
      <c r="N43" s="110">
        <v>0</v>
      </c>
      <c r="O43" s="58">
        <v>0</v>
      </c>
      <c r="P43" s="58">
        <v>0</v>
      </c>
      <c r="Q43" s="89">
        <v>0</v>
      </c>
      <c r="R43" s="89">
        <v>0</v>
      </c>
      <c r="S43" s="89">
        <v>0</v>
      </c>
      <c r="T43" s="84">
        <v>-7753639.3456431404</v>
      </c>
      <c r="U43" s="85">
        <v>-7753639.3456431404</v>
      </c>
      <c r="V43" s="89">
        <v>1.3642420526593924E-9</v>
      </c>
      <c r="W43" s="117"/>
      <c r="X43" s="86">
        <v>187759.43538907322</v>
      </c>
      <c r="Y43" s="87">
        <v>21.375163409502871</v>
      </c>
      <c r="Z43" s="90">
        <v>0.46266587466456427</v>
      </c>
      <c r="AA43" s="87">
        <v>46.2</v>
      </c>
      <c r="AB43" s="15"/>
      <c r="AC43" s="138">
        <v>0.14593584936919879</v>
      </c>
      <c r="AD43" s="89">
        <v>0</v>
      </c>
      <c r="AE43" s="89">
        <v>0</v>
      </c>
      <c r="AF43" s="89">
        <v>0</v>
      </c>
      <c r="AG43" s="83">
        <v>0</v>
      </c>
      <c r="AH43" s="83">
        <v>-19781296.712696437</v>
      </c>
      <c r="AI43" s="83">
        <v>-23885797.650814392</v>
      </c>
      <c r="AJ43" s="83">
        <v>0</v>
      </c>
      <c r="AK43" s="83">
        <v>-7752228.461228353</v>
      </c>
      <c r="AL43" s="83">
        <v>-194219.76682970737</v>
      </c>
      <c r="AM43" s="83">
        <v>-1286588.841608522</v>
      </c>
      <c r="AN43" s="89">
        <v>-230332.25451756141</v>
      </c>
      <c r="AO43" s="110">
        <v>0</v>
      </c>
      <c r="AP43" s="58">
        <v>0</v>
      </c>
      <c r="AQ43" s="58">
        <v>0</v>
      </c>
      <c r="AR43" s="89">
        <v>0</v>
      </c>
      <c r="AS43" s="89">
        <v>0</v>
      </c>
      <c r="AT43" s="89">
        <v>0</v>
      </c>
      <c r="AU43" s="84">
        <v>-53130463.687694982</v>
      </c>
      <c r="AV43" s="85">
        <v>-53130463.687694982</v>
      </c>
      <c r="AW43" s="89">
        <v>9.3482311478383674E-9</v>
      </c>
      <c r="AX43" s="85">
        <v>-53130463.687694982</v>
      </c>
      <c r="BA43" s="17">
        <v>-17326133.810306054</v>
      </c>
      <c r="BB43" s="17">
        <v>-19003192.042130392</v>
      </c>
      <c r="BC43" s="17">
        <v>1677058.2318243384</v>
      </c>
      <c r="BD43" s="17">
        <v>-34967610.882789746</v>
      </c>
      <c r="BE43" s="17">
        <v>28779.363410989248</v>
      </c>
      <c r="BF43" s="17">
        <v>-3413514.7386295279</v>
      </c>
    </row>
    <row r="44" spans="2:58" ht="13.5" thickBot="1" x14ac:dyDescent="0.25">
      <c r="B44" s="91">
        <v>2053</v>
      </c>
      <c r="C44" s="93">
        <v>0</v>
      </c>
      <c r="D44" s="93">
        <v>0</v>
      </c>
      <c r="E44" s="93">
        <v>0</v>
      </c>
      <c r="F44" s="92">
        <v>0</v>
      </c>
      <c r="G44" s="92">
        <v>-1366538.0935970936</v>
      </c>
      <c r="H44" s="92">
        <v>-1773442.2565530147</v>
      </c>
      <c r="I44" s="92">
        <v>0</v>
      </c>
      <c r="J44" s="92">
        <v>-692295.29887906986</v>
      </c>
      <c r="K44" s="92">
        <v>3927.2654958702742</v>
      </c>
      <c r="L44" s="92">
        <v>-114222.55306705603</v>
      </c>
      <c r="M44" s="93">
        <v>-20847.504262017806</v>
      </c>
      <c r="N44" s="118">
        <v>0</v>
      </c>
      <c r="O44" s="95">
        <v>0</v>
      </c>
      <c r="P44" s="95">
        <v>0</v>
      </c>
      <c r="Q44" s="93">
        <v>13148903.824978177</v>
      </c>
      <c r="R44" s="93">
        <v>0</v>
      </c>
      <c r="S44" s="93">
        <v>0</v>
      </c>
      <c r="T44" s="94">
        <v>9185485.3841157947</v>
      </c>
      <c r="U44" s="96">
        <v>9185485.3841157947</v>
      </c>
      <c r="V44" s="93">
        <v>13148903.824978177</v>
      </c>
      <c r="W44" s="117"/>
      <c r="X44" s="97">
        <v>114222.55306705603</v>
      </c>
      <c r="Y44" s="98">
        <v>15.655503435725882</v>
      </c>
      <c r="Z44" s="119">
        <v>0.33886371072999744</v>
      </c>
      <c r="AA44" s="98">
        <v>38.478904109589045</v>
      </c>
      <c r="AB44" s="15"/>
      <c r="AC44" s="138">
        <v>0.1122430014150677</v>
      </c>
      <c r="AD44" s="93">
        <v>0</v>
      </c>
      <c r="AE44" s="93">
        <v>0</v>
      </c>
      <c r="AF44" s="93">
        <v>0</v>
      </c>
      <c r="AG44" s="92">
        <v>0</v>
      </c>
      <c r="AH44" s="92">
        <v>-12174817.818206055</v>
      </c>
      <c r="AI44" s="92">
        <v>-15800025.250527065</v>
      </c>
      <c r="AJ44" s="92">
        <v>0</v>
      </c>
      <c r="AK44" s="92">
        <v>-6167825.9682223266</v>
      </c>
      <c r="AL44" s="92">
        <v>34988.956517186212</v>
      </c>
      <c r="AM44" s="92">
        <v>-1017636.303618326</v>
      </c>
      <c r="AN44" s="93">
        <v>-185735.44897400794</v>
      </c>
      <c r="AO44" s="118">
        <v>0</v>
      </c>
      <c r="AP44" s="95">
        <v>0</v>
      </c>
      <c r="AQ44" s="95">
        <v>0</v>
      </c>
      <c r="AR44" s="93">
        <v>117146758.89995441</v>
      </c>
      <c r="AS44" s="93">
        <v>0</v>
      </c>
      <c r="AT44" s="93">
        <v>0</v>
      </c>
      <c r="AU44" s="94">
        <v>81835707.066923827</v>
      </c>
      <c r="AV44" s="96">
        <v>81835707.066923827</v>
      </c>
      <c r="AW44" s="93">
        <v>117146758.89995441</v>
      </c>
      <c r="AX44" s="96">
        <v>81835707.066923812</v>
      </c>
      <c r="BF44" s="17">
        <v>-7088434.3536176272</v>
      </c>
    </row>
    <row r="45" spans="2:58" x14ac:dyDescent="0.2">
      <c r="B45" s="82">
        <v>2054</v>
      </c>
      <c r="C45" s="89">
        <v>0</v>
      </c>
      <c r="D45" s="89">
        <v>0</v>
      </c>
      <c r="E45" s="89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9">
        <v>0</v>
      </c>
      <c r="N45" s="110">
        <v>0</v>
      </c>
      <c r="O45" s="104">
        <v>0</v>
      </c>
      <c r="P45" s="104">
        <v>0</v>
      </c>
      <c r="Q45" s="89">
        <v>0</v>
      </c>
      <c r="R45" s="89">
        <v>0</v>
      </c>
      <c r="S45" s="89">
        <v>0</v>
      </c>
      <c r="T45" s="84">
        <v>0</v>
      </c>
      <c r="U45" s="85">
        <v>0</v>
      </c>
      <c r="V45" s="89">
        <v>0</v>
      </c>
      <c r="W45" s="34"/>
      <c r="X45" s="86">
        <v>0</v>
      </c>
      <c r="Y45" s="108">
        <v>0</v>
      </c>
      <c r="Z45" s="109">
        <v>0</v>
      </c>
      <c r="AA45" s="108">
        <v>0</v>
      </c>
      <c r="AB45" s="15"/>
      <c r="AC45" s="138">
        <v>0</v>
      </c>
      <c r="AD45" s="89">
        <v>0</v>
      </c>
      <c r="AE45" s="89">
        <v>0</v>
      </c>
      <c r="AF45" s="89">
        <v>0</v>
      </c>
      <c r="AG45" s="83">
        <v>0</v>
      </c>
      <c r="AH45" s="83">
        <v>0</v>
      </c>
      <c r="AI45" s="83">
        <v>0</v>
      </c>
      <c r="AJ45" s="83">
        <v>0</v>
      </c>
      <c r="AK45" s="83">
        <v>0</v>
      </c>
      <c r="AL45" s="83">
        <v>0</v>
      </c>
      <c r="AM45" s="83">
        <v>0</v>
      </c>
      <c r="AN45" s="89">
        <v>0</v>
      </c>
      <c r="AO45" s="110">
        <v>0</v>
      </c>
      <c r="AP45" s="104">
        <v>0</v>
      </c>
      <c r="AQ45" s="104">
        <v>0</v>
      </c>
      <c r="AR45" s="89">
        <v>0</v>
      </c>
      <c r="AS45" s="89">
        <v>0</v>
      </c>
      <c r="AT45" s="89">
        <v>0</v>
      </c>
      <c r="AU45" s="84">
        <v>0</v>
      </c>
      <c r="AV45" s="85">
        <v>0</v>
      </c>
      <c r="AW45" s="89">
        <v>0</v>
      </c>
      <c r="AX45" s="85">
        <v>0</v>
      </c>
    </row>
    <row r="46" spans="2:58" x14ac:dyDescent="0.2">
      <c r="B46" s="82">
        <v>2055</v>
      </c>
      <c r="C46" s="89">
        <v>0</v>
      </c>
      <c r="D46" s="89">
        <v>0</v>
      </c>
      <c r="E46" s="89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9">
        <v>0</v>
      </c>
      <c r="N46" s="110">
        <v>0</v>
      </c>
      <c r="O46" s="58">
        <v>0</v>
      </c>
      <c r="P46" s="58">
        <v>0</v>
      </c>
      <c r="Q46" s="89">
        <v>0</v>
      </c>
      <c r="R46" s="89">
        <v>0</v>
      </c>
      <c r="S46" s="89">
        <v>0</v>
      </c>
      <c r="T46" s="84">
        <v>0</v>
      </c>
      <c r="U46" s="85">
        <v>0</v>
      </c>
      <c r="V46" s="89">
        <v>0</v>
      </c>
      <c r="W46" s="34"/>
      <c r="X46" s="86">
        <v>0</v>
      </c>
      <c r="Y46" s="87">
        <v>0</v>
      </c>
      <c r="Z46" s="90">
        <v>0</v>
      </c>
      <c r="AA46" s="87">
        <v>0</v>
      </c>
      <c r="AB46" s="15"/>
      <c r="AC46" s="138">
        <v>0</v>
      </c>
      <c r="AD46" s="89">
        <v>0</v>
      </c>
      <c r="AE46" s="89">
        <v>0</v>
      </c>
      <c r="AF46" s="89">
        <v>0</v>
      </c>
      <c r="AG46" s="83">
        <v>0</v>
      </c>
      <c r="AH46" s="83">
        <v>0</v>
      </c>
      <c r="AI46" s="83">
        <v>0</v>
      </c>
      <c r="AJ46" s="83">
        <v>0</v>
      </c>
      <c r="AK46" s="83">
        <v>0</v>
      </c>
      <c r="AL46" s="83">
        <v>0</v>
      </c>
      <c r="AM46" s="83">
        <v>0</v>
      </c>
      <c r="AN46" s="89">
        <v>0</v>
      </c>
      <c r="AO46" s="110">
        <v>0</v>
      </c>
      <c r="AP46" s="58">
        <v>0</v>
      </c>
      <c r="AQ46" s="58">
        <v>0</v>
      </c>
      <c r="AR46" s="89">
        <v>0</v>
      </c>
      <c r="AS46" s="89">
        <v>0</v>
      </c>
      <c r="AT46" s="89">
        <v>0</v>
      </c>
      <c r="AU46" s="84">
        <v>0</v>
      </c>
      <c r="AV46" s="85">
        <v>0</v>
      </c>
      <c r="AW46" s="89">
        <v>0</v>
      </c>
      <c r="AX46" s="85">
        <v>0</v>
      </c>
    </row>
    <row r="47" spans="2:58" x14ac:dyDescent="0.2">
      <c r="B47" s="82">
        <v>2056</v>
      </c>
      <c r="C47" s="89">
        <v>0</v>
      </c>
      <c r="D47" s="89">
        <v>0</v>
      </c>
      <c r="E47" s="89">
        <v>0</v>
      </c>
      <c r="F47" s="83">
        <v>0</v>
      </c>
      <c r="G47" s="83">
        <v>0</v>
      </c>
      <c r="H47" s="83">
        <v>0</v>
      </c>
      <c r="I47" s="83">
        <v>0</v>
      </c>
      <c r="J47" s="83">
        <v>0</v>
      </c>
      <c r="K47" s="83">
        <v>0</v>
      </c>
      <c r="L47" s="83">
        <v>0</v>
      </c>
      <c r="M47" s="89">
        <v>0</v>
      </c>
      <c r="N47" s="110">
        <v>0</v>
      </c>
      <c r="O47" s="58">
        <v>0</v>
      </c>
      <c r="P47" s="58">
        <v>0</v>
      </c>
      <c r="Q47" s="89">
        <v>0</v>
      </c>
      <c r="R47" s="89">
        <v>0</v>
      </c>
      <c r="S47" s="89">
        <v>0</v>
      </c>
      <c r="T47" s="84">
        <v>0</v>
      </c>
      <c r="U47" s="85">
        <v>0</v>
      </c>
      <c r="V47" s="89">
        <v>0</v>
      </c>
      <c r="W47" s="34"/>
      <c r="X47" s="86">
        <v>0</v>
      </c>
      <c r="Y47" s="87">
        <v>0</v>
      </c>
      <c r="Z47" s="90">
        <v>0</v>
      </c>
      <c r="AA47" s="87">
        <v>0</v>
      </c>
      <c r="AB47" s="15"/>
      <c r="AC47" s="138">
        <v>0</v>
      </c>
      <c r="AD47" s="89">
        <v>0</v>
      </c>
      <c r="AE47" s="89">
        <v>0</v>
      </c>
      <c r="AF47" s="89">
        <v>0</v>
      </c>
      <c r="AG47" s="83">
        <v>0</v>
      </c>
      <c r="AH47" s="83">
        <v>0</v>
      </c>
      <c r="AI47" s="83">
        <v>0</v>
      </c>
      <c r="AJ47" s="83">
        <v>0</v>
      </c>
      <c r="AK47" s="83">
        <v>0</v>
      </c>
      <c r="AL47" s="83">
        <v>0</v>
      </c>
      <c r="AM47" s="83">
        <v>0</v>
      </c>
      <c r="AN47" s="89">
        <v>0</v>
      </c>
      <c r="AO47" s="110">
        <v>0</v>
      </c>
      <c r="AP47" s="58">
        <v>0</v>
      </c>
      <c r="AQ47" s="58">
        <v>0</v>
      </c>
      <c r="AR47" s="89">
        <v>0</v>
      </c>
      <c r="AS47" s="89">
        <v>0</v>
      </c>
      <c r="AT47" s="89">
        <v>0</v>
      </c>
      <c r="AU47" s="84">
        <v>0</v>
      </c>
      <c r="AV47" s="85">
        <v>0</v>
      </c>
      <c r="AW47" s="89">
        <v>0</v>
      </c>
      <c r="AX47" s="85">
        <v>0</v>
      </c>
    </row>
    <row r="48" spans="2:58" x14ac:dyDescent="0.2">
      <c r="B48" s="82">
        <v>2057</v>
      </c>
      <c r="C48" s="89">
        <v>0</v>
      </c>
      <c r="D48" s="89">
        <v>0</v>
      </c>
      <c r="E48" s="89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9">
        <v>0</v>
      </c>
      <c r="N48" s="110">
        <v>0</v>
      </c>
      <c r="O48" s="58">
        <v>0</v>
      </c>
      <c r="P48" s="58">
        <v>0</v>
      </c>
      <c r="Q48" s="89">
        <v>0</v>
      </c>
      <c r="R48" s="89">
        <v>0</v>
      </c>
      <c r="S48" s="89">
        <v>0</v>
      </c>
      <c r="T48" s="84">
        <v>0</v>
      </c>
      <c r="U48" s="85">
        <v>0</v>
      </c>
      <c r="V48" s="89">
        <v>0</v>
      </c>
      <c r="W48" s="34"/>
      <c r="X48" s="86">
        <v>0</v>
      </c>
      <c r="Y48" s="87">
        <v>0</v>
      </c>
      <c r="Z48" s="90">
        <v>0</v>
      </c>
      <c r="AA48" s="87">
        <v>0</v>
      </c>
      <c r="AB48" s="15"/>
      <c r="AC48" s="138">
        <v>0</v>
      </c>
      <c r="AD48" s="89">
        <v>0</v>
      </c>
      <c r="AE48" s="89">
        <v>0</v>
      </c>
      <c r="AF48" s="89">
        <v>0</v>
      </c>
      <c r="AG48" s="83">
        <v>0</v>
      </c>
      <c r="AH48" s="83">
        <v>0</v>
      </c>
      <c r="AI48" s="83">
        <v>0</v>
      </c>
      <c r="AJ48" s="83">
        <v>0</v>
      </c>
      <c r="AK48" s="83">
        <v>0</v>
      </c>
      <c r="AL48" s="83">
        <v>0</v>
      </c>
      <c r="AM48" s="83">
        <v>0</v>
      </c>
      <c r="AN48" s="89">
        <v>0</v>
      </c>
      <c r="AO48" s="110">
        <v>0</v>
      </c>
      <c r="AP48" s="58">
        <v>0</v>
      </c>
      <c r="AQ48" s="58">
        <v>0</v>
      </c>
      <c r="AR48" s="89">
        <v>0</v>
      </c>
      <c r="AS48" s="89">
        <v>0</v>
      </c>
      <c r="AT48" s="89">
        <v>0</v>
      </c>
      <c r="AU48" s="84">
        <v>0</v>
      </c>
      <c r="AV48" s="85">
        <v>0</v>
      </c>
      <c r="AW48" s="89">
        <v>0</v>
      </c>
      <c r="AX48" s="85">
        <v>0</v>
      </c>
    </row>
    <row r="49" spans="2:50" x14ac:dyDescent="0.2">
      <c r="B49" s="111">
        <v>2058</v>
      </c>
      <c r="C49" s="112">
        <v>0</v>
      </c>
      <c r="D49" s="112">
        <v>0</v>
      </c>
      <c r="E49" s="112">
        <v>0</v>
      </c>
      <c r="F49" s="113">
        <v>0</v>
      </c>
      <c r="G49" s="113">
        <v>0</v>
      </c>
      <c r="H49" s="113">
        <v>0</v>
      </c>
      <c r="I49" s="113">
        <v>0</v>
      </c>
      <c r="J49" s="113">
        <v>0</v>
      </c>
      <c r="K49" s="113">
        <v>0</v>
      </c>
      <c r="L49" s="113">
        <v>0</v>
      </c>
      <c r="M49" s="112">
        <v>0</v>
      </c>
      <c r="N49" s="114">
        <v>0</v>
      </c>
      <c r="O49" s="58">
        <v>0</v>
      </c>
      <c r="P49" s="58">
        <v>0</v>
      </c>
      <c r="Q49" s="112">
        <v>0</v>
      </c>
      <c r="R49" s="112">
        <v>0</v>
      </c>
      <c r="S49" s="112">
        <v>0</v>
      </c>
      <c r="T49" s="115">
        <v>0</v>
      </c>
      <c r="U49" s="85">
        <v>0</v>
      </c>
      <c r="V49" s="112">
        <v>0</v>
      </c>
      <c r="W49" s="34"/>
      <c r="X49" s="116">
        <v>0</v>
      </c>
      <c r="Y49" s="87">
        <v>0</v>
      </c>
      <c r="Z49" s="90">
        <v>0</v>
      </c>
      <c r="AA49" s="87">
        <v>0</v>
      </c>
      <c r="AB49" s="15"/>
      <c r="AC49" s="138">
        <v>0</v>
      </c>
      <c r="AD49" s="112">
        <v>0</v>
      </c>
      <c r="AE49" s="112">
        <v>0</v>
      </c>
      <c r="AF49" s="112">
        <v>0</v>
      </c>
      <c r="AG49" s="113">
        <v>0</v>
      </c>
      <c r="AH49" s="113">
        <v>0</v>
      </c>
      <c r="AI49" s="113">
        <v>0</v>
      </c>
      <c r="AJ49" s="113">
        <v>0</v>
      </c>
      <c r="AK49" s="113">
        <v>0</v>
      </c>
      <c r="AL49" s="113">
        <v>0</v>
      </c>
      <c r="AM49" s="113">
        <v>0</v>
      </c>
      <c r="AN49" s="112">
        <v>0</v>
      </c>
      <c r="AO49" s="114">
        <v>0</v>
      </c>
      <c r="AP49" s="58">
        <v>0</v>
      </c>
      <c r="AQ49" s="58">
        <v>0</v>
      </c>
      <c r="AR49" s="112">
        <v>0</v>
      </c>
      <c r="AS49" s="112">
        <v>0</v>
      </c>
      <c r="AT49" s="112">
        <v>0</v>
      </c>
      <c r="AU49" s="115">
        <v>0</v>
      </c>
      <c r="AV49" s="85">
        <v>0</v>
      </c>
      <c r="AW49" s="112">
        <v>0</v>
      </c>
      <c r="AX49" s="85">
        <v>0</v>
      </c>
    </row>
    <row r="50" spans="2:50" x14ac:dyDescent="0.2">
      <c r="B50" s="111">
        <v>2059</v>
      </c>
      <c r="C50" s="112">
        <v>0</v>
      </c>
      <c r="D50" s="112">
        <v>0</v>
      </c>
      <c r="E50" s="112">
        <v>0</v>
      </c>
      <c r="F50" s="113">
        <v>0</v>
      </c>
      <c r="G50" s="113">
        <v>0</v>
      </c>
      <c r="H50" s="113">
        <v>0</v>
      </c>
      <c r="I50" s="113">
        <v>0</v>
      </c>
      <c r="J50" s="113">
        <v>0</v>
      </c>
      <c r="K50" s="113">
        <v>0</v>
      </c>
      <c r="L50" s="113">
        <v>0</v>
      </c>
      <c r="M50" s="112">
        <v>0</v>
      </c>
      <c r="N50" s="114">
        <v>0</v>
      </c>
      <c r="O50" s="58">
        <v>0</v>
      </c>
      <c r="P50" s="58">
        <v>0</v>
      </c>
      <c r="Q50" s="112">
        <v>0</v>
      </c>
      <c r="R50" s="112">
        <v>0</v>
      </c>
      <c r="S50" s="112">
        <v>0</v>
      </c>
      <c r="T50" s="115">
        <v>0</v>
      </c>
      <c r="U50" s="85">
        <v>0</v>
      </c>
      <c r="V50" s="112">
        <v>0</v>
      </c>
      <c r="W50" s="34"/>
      <c r="X50" s="116">
        <v>0</v>
      </c>
      <c r="Y50" s="87">
        <v>0</v>
      </c>
      <c r="Z50" s="90">
        <v>0</v>
      </c>
      <c r="AA50" s="87">
        <v>0</v>
      </c>
      <c r="AB50" s="15"/>
      <c r="AC50" s="138">
        <v>0</v>
      </c>
      <c r="AD50" s="112">
        <v>0</v>
      </c>
      <c r="AE50" s="112">
        <v>0</v>
      </c>
      <c r="AF50" s="112">
        <v>0</v>
      </c>
      <c r="AG50" s="113">
        <v>0</v>
      </c>
      <c r="AH50" s="113">
        <v>0</v>
      </c>
      <c r="AI50" s="113">
        <v>0</v>
      </c>
      <c r="AJ50" s="113">
        <v>0</v>
      </c>
      <c r="AK50" s="113">
        <v>0</v>
      </c>
      <c r="AL50" s="113">
        <v>0</v>
      </c>
      <c r="AM50" s="113">
        <v>0</v>
      </c>
      <c r="AN50" s="112">
        <v>0</v>
      </c>
      <c r="AO50" s="114">
        <v>0</v>
      </c>
      <c r="AP50" s="58">
        <v>0</v>
      </c>
      <c r="AQ50" s="58">
        <v>0</v>
      </c>
      <c r="AR50" s="112">
        <v>0</v>
      </c>
      <c r="AS50" s="112">
        <v>0</v>
      </c>
      <c r="AT50" s="112">
        <v>0</v>
      </c>
      <c r="AU50" s="115">
        <v>0</v>
      </c>
      <c r="AV50" s="85">
        <v>0</v>
      </c>
      <c r="AW50" s="112">
        <v>0</v>
      </c>
      <c r="AX50" s="85">
        <v>0</v>
      </c>
    </row>
    <row r="51" spans="2:50" x14ac:dyDescent="0.2">
      <c r="B51" s="111">
        <v>2060</v>
      </c>
      <c r="C51" s="112">
        <v>0</v>
      </c>
      <c r="D51" s="112">
        <v>0</v>
      </c>
      <c r="E51" s="112">
        <v>0</v>
      </c>
      <c r="F51" s="113">
        <v>0</v>
      </c>
      <c r="G51" s="113">
        <v>0</v>
      </c>
      <c r="H51" s="113">
        <v>0</v>
      </c>
      <c r="I51" s="113">
        <v>0</v>
      </c>
      <c r="J51" s="113">
        <v>0</v>
      </c>
      <c r="K51" s="113">
        <v>0</v>
      </c>
      <c r="L51" s="113">
        <v>0</v>
      </c>
      <c r="M51" s="112">
        <v>0</v>
      </c>
      <c r="N51" s="114">
        <v>0</v>
      </c>
      <c r="O51" s="58">
        <v>0</v>
      </c>
      <c r="P51" s="58">
        <v>0</v>
      </c>
      <c r="Q51" s="112">
        <v>0</v>
      </c>
      <c r="R51" s="112">
        <v>0</v>
      </c>
      <c r="S51" s="112">
        <v>0</v>
      </c>
      <c r="T51" s="115">
        <v>0</v>
      </c>
      <c r="U51" s="85">
        <v>0</v>
      </c>
      <c r="V51" s="112">
        <v>0</v>
      </c>
      <c r="W51" s="34"/>
      <c r="X51" s="116">
        <v>0</v>
      </c>
      <c r="Y51" s="87">
        <v>0</v>
      </c>
      <c r="Z51" s="90">
        <v>0</v>
      </c>
      <c r="AA51" s="87">
        <v>0</v>
      </c>
      <c r="AB51" s="15"/>
      <c r="AC51" s="138">
        <v>0</v>
      </c>
      <c r="AD51" s="112">
        <v>0</v>
      </c>
      <c r="AE51" s="112">
        <v>0</v>
      </c>
      <c r="AF51" s="112">
        <v>0</v>
      </c>
      <c r="AG51" s="113">
        <v>0</v>
      </c>
      <c r="AH51" s="113">
        <v>0</v>
      </c>
      <c r="AI51" s="113">
        <v>0</v>
      </c>
      <c r="AJ51" s="113">
        <v>0</v>
      </c>
      <c r="AK51" s="113">
        <v>0</v>
      </c>
      <c r="AL51" s="113">
        <v>0</v>
      </c>
      <c r="AM51" s="113">
        <v>0</v>
      </c>
      <c r="AN51" s="112">
        <v>0</v>
      </c>
      <c r="AO51" s="114">
        <v>0</v>
      </c>
      <c r="AP51" s="58">
        <v>0</v>
      </c>
      <c r="AQ51" s="58">
        <v>0</v>
      </c>
      <c r="AR51" s="112">
        <v>0</v>
      </c>
      <c r="AS51" s="112">
        <v>0</v>
      </c>
      <c r="AT51" s="112">
        <v>0</v>
      </c>
      <c r="AU51" s="115">
        <v>0</v>
      </c>
      <c r="AV51" s="85">
        <v>0</v>
      </c>
      <c r="AW51" s="112">
        <v>0</v>
      </c>
      <c r="AX51" s="85">
        <v>0</v>
      </c>
    </row>
    <row r="52" spans="2:50" x14ac:dyDescent="0.2">
      <c r="B52" s="111">
        <v>2061</v>
      </c>
      <c r="C52" s="112">
        <v>0</v>
      </c>
      <c r="D52" s="112">
        <v>0</v>
      </c>
      <c r="E52" s="112">
        <v>0</v>
      </c>
      <c r="F52" s="113">
        <v>0</v>
      </c>
      <c r="G52" s="113">
        <v>0</v>
      </c>
      <c r="H52" s="113">
        <v>0</v>
      </c>
      <c r="I52" s="113">
        <v>0</v>
      </c>
      <c r="J52" s="113">
        <v>0</v>
      </c>
      <c r="K52" s="113">
        <v>0</v>
      </c>
      <c r="L52" s="113">
        <v>0</v>
      </c>
      <c r="M52" s="112">
        <v>0</v>
      </c>
      <c r="N52" s="114">
        <v>0</v>
      </c>
      <c r="O52" s="58">
        <v>0</v>
      </c>
      <c r="P52" s="58">
        <v>0</v>
      </c>
      <c r="Q52" s="112">
        <v>0</v>
      </c>
      <c r="R52" s="112">
        <v>0</v>
      </c>
      <c r="S52" s="112">
        <v>0</v>
      </c>
      <c r="T52" s="115">
        <v>0</v>
      </c>
      <c r="U52" s="85">
        <v>0</v>
      </c>
      <c r="V52" s="112">
        <v>0</v>
      </c>
      <c r="W52" s="34"/>
      <c r="X52" s="116">
        <v>0</v>
      </c>
      <c r="Y52" s="87">
        <v>0</v>
      </c>
      <c r="Z52" s="90">
        <v>0</v>
      </c>
      <c r="AA52" s="87">
        <v>0</v>
      </c>
      <c r="AB52" s="15"/>
      <c r="AC52" s="138">
        <v>0</v>
      </c>
      <c r="AD52" s="112">
        <v>0</v>
      </c>
      <c r="AE52" s="112">
        <v>0</v>
      </c>
      <c r="AF52" s="112">
        <v>0</v>
      </c>
      <c r="AG52" s="113">
        <v>0</v>
      </c>
      <c r="AH52" s="113">
        <v>0</v>
      </c>
      <c r="AI52" s="113">
        <v>0</v>
      </c>
      <c r="AJ52" s="113">
        <v>0</v>
      </c>
      <c r="AK52" s="113">
        <v>0</v>
      </c>
      <c r="AL52" s="113">
        <v>0</v>
      </c>
      <c r="AM52" s="113">
        <v>0</v>
      </c>
      <c r="AN52" s="112">
        <v>0</v>
      </c>
      <c r="AO52" s="114">
        <v>0</v>
      </c>
      <c r="AP52" s="58">
        <v>0</v>
      </c>
      <c r="AQ52" s="58">
        <v>0</v>
      </c>
      <c r="AR52" s="112">
        <v>0</v>
      </c>
      <c r="AS52" s="112">
        <v>0</v>
      </c>
      <c r="AT52" s="112">
        <v>0</v>
      </c>
      <c r="AU52" s="115">
        <v>0</v>
      </c>
      <c r="AV52" s="85">
        <v>0</v>
      </c>
      <c r="AW52" s="112">
        <v>0</v>
      </c>
      <c r="AX52" s="85">
        <v>0</v>
      </c>
    </row>
    <row r="53" spans="2:50" x14ac:dyDescent="0.2">
      <c r="B53" s="82">
        <v>2062</v>
      </c>
      <c r="C53" s="89">
        <v>0</v>
      </c>
      <c r="D53" s="89">
        <v>0</v>
      </c>
      <c r="E53" s="89">
        <v>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9">
        <v>0</v>
      </c>
      <c r="N53" s="110">
        <v>0</v>
      </c>
      <c r="O53" s="58">
        <v>0</v>
      </c>
      <c r="P53" s="58">
        <v>0</v>
      </c>
      <c r="Q53" s="89">
        <v>0</v>
      </c>
      <c r="R53" s="89">
        <v>0</v>
      </c>
      <c r="S53" s="89">
        <v>0</v>
      </c>
      <c r="T53" s="84">
        <v>0</v>
      </c>
      <c r="U53" s="85">
        <v>0</v>
      </c>
      <c r="V53" s="89">
        <v>0</v>
      </c>
      <c r="W53" s="117"/>
      <c r="X53" s="86">
        <v>0</v>
      </c>
      <c r="Y53" s="87">
        <v>0</v>
      </c>
      <c r="Z53" s="90">
        <v>0</v>
      </c>
      <c r="AA53" s="87">
        <v>0</v>
      </c>
      <c r="AB53" s="15"/>
      <c r="AC53" s="138">
        <v>0</v>
      </c>
      <c r="AD53" s="89">
        <v>0</v>
      </c>
      <c r="AE53" s="89">
        <v>0</v>
      </c>
      <c r="AF53" s="89">
        <v>0</v>
      </c>
      <c r="AG53" s="83">
        <v>0</v>
      </c>
      <c r="AH53" s="83">
        <v>0</v>
      </c>
      <c r="AI53" s="83">
        <v>0</v>
      </c>
      <c r="AJ53" s="83">
        <v>0</v>
      </c>
      <c r="AK53" s="83">
        <v>0</v>
      </c>
      <c r="AL53" s="83">
        <v>0</v>
      </c>
      <c r="AM53" s="83">
        <v>0</v>
      </c>
      <c r="AN53" s="89">
        <v>0</v>
      </c>
      <c r="AO53" s="110">
        <v>0</v>
      </c>
      <c r="AP53" s="58">
        <v>0</v>
      </c>
      <c r="AQ53" s="58">
        <v>0</v>
      </c>
      <c r="AR53" s="89">
        <v>0</v>
      </c>
      <c r="AS53" s="89">
        <v>0</v>
      </c>
      <c r="AT53" s="89">
        <v>0</v>
      </c>
      <c r="AU53" s="84">
        <v>0</v>
      </c>
      <c r="AV53" s="85">
        <v>0</v>
      </c>
      <c r="AW53" s="89">
        <v>0</v>
      </c>
      <c r="AX53" s="85">
        <v>0</v>
      </c>
    </row>
    <row r="54" spans="2:50" ht="13.5" thickBot="1" x14ac:dyDescent="0.25">
      <c r="B54" s="91">
        <v>2063</v>
      </c>
      <c r="C54" s="93">
        <v>0</v>
      </c>
      <c r="D54" s="93">
        <v>0</v>
      </c>
      <c r="E54" s="93">
        <v>0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3">
        <v>0</v>
      </c>
      <c r="N54" s="118">
        <v>0</v>
      </c>
      <c r="O54" s="95">
        <v>0</v>
      </c>
      <c r="P54" s="95">
        <v>0</v>
      </c>
      <c r="Q54" s="93">
        <v>0</v>
      </c>
      <c r="R54" s="93">
        <v>0</v>
      </c>
      <c r="S54" s="93">
        <v>0</v>
      </c>
      <c r="T54" s="94">
        <v>0</v>
      </c>
      <c r="U54" s="96">
        <v>0</v>
      </c>
      <c r="V54" s="93">
        <v>0</v>
      </c>
      <c r="W54" s="117"/>
      <c r="X54" s="97">
        <v>0</v>
      </c>
      <c r="Y54" s="87">
        <v>0</v>
      </c>
      <c r="Z54" s="120">
        <v>0</v>
      </c>
      <c r="AA54" s="87">
        <v>0</v>
      </c>
      <c r="AB54" s="15"/>
      <c r="AC54" s="139"/>
      <c r="AD54" s="93">
        <v>0</v>
      </c>
      <c r="AE54" s="93">
        <v>0</v>
      </c>
      <c r="AF54" s="93">
        <v>0</v>
      </c>
      <c r="AG54" s="92">
        <v>0</v>
      </c>
      <c r="AH54" s="92">
        <v>0</v>
      </c>
      <c r="AI54" s="92">
        <v>0</v>
      </c>
      <c r="AJ54" s="92">
        <v>0</v>
      </c>
      <c r="AK54" s="92">
        <v>0</v>
      </c>
      <c r="AL54" s="92">
        <v>0</v>
      </c>
      <c r="AM54" s="92">
        <v>0</v>
      </c>
      <c r="AN54" s="93">
        <v>0</v>
      </c>
      <c r="AO54" s="118">
        <v>0</v>
      </c>
      <c r="AP54" s="95">
        <v>0</v>
      </c>
      <c r="AQ54" s="95">
        <v>0</v>
      </c>
      <c r="AR54" s="93">
        <v>0</v>
      </c>
      <c r="AS54" s="93">
        <v>0</v>
      </c>
      <c r="AT54" s="93">
        <v>0</v>
      </c>
      <c r="AU54" s="94">
        <v>0</v>
      </c>
      <c r="AV54" s="96">
        <v>0</v>
      </c>
      <c r="AW54" s="93">
        <v>0</v>
      </c>
      <c r="AX54" s="85">
        <v>0</v>
      </c>
    </row>
    <row r="55" spans="2:50" ht="13.5" thickBot="1" x14ac:dyDescent="0.25">
      <c r="B55" s="100" t="s">
        <v>72</v>
      </c>
      <c r="C55" s="104">
        <v>0</v>
      </c>
      <c r="D55" s="104">
        <v>0</v>
      </c>
      <c r="E55" s="104">
        <v>0</v>
      </c>
      <c r="F55" s="104">
        <v>85774465.164278463</v>
      </c>
      <c r="G55" s="104">
        <v>-172799672.94084886</v>
      </c>
      <c r="H55" s="104">
        <v>-35323286.408462256</v>
      </c>
      <c r="I55" s="104">
        <v>0</v>
      </c>
      <c r="J55" s="104">
        <v>-23874119.146719668</v>
      </c>
      <c r="K55" s="104">
        <v>-7692692.1588900732</v>
      </c>
      <c r="L55" s="104">
        <v>-5317352.7572337296</v>
      </c>
      <c r="M55" s="104">
        <v>-4450110.1354018124</v>
      </c>
      <c r="N55" s="104">
        <v>0</v>
      </c>
      <c r="O55" s="104">
        <v>0</v>
      </c>
      <c r="P55" s="104">
        <v>0</v>
      </c>
      <c r="Q55" s="104">
        <v>13148903.824978177</v>
      </c>
      <c r="R55" s="104">
        <v>0</v>
      </c>
      <c r="S55" s="104">
        <v>0</v>
      </c>
      <c r="T55" s="121">
        <v>-150533864.55829978</v>
      </c>
      <c r="U55" s="122">
        <v>-150533864.55829978</v>
      </c>
      <c r="V55" s="104">
        <v>13148903.824978178</v>
      </c>
      <c r="W55" s="34"/>
      <c r="X55" s="123">
        <v>5913852.0082671195</v>
      </c>
      <c r="Y55" s="124"/>
      <c r="Z55" s="82"/>
      <c r="AA55" s="124"/>
      <c r="AB55" s="15"/>
      <c r="AC55" s="34"/>
      <c r="AD55" s="104">
        <v>0</v>
      </c>
      <c r="AE55" s="104">
        <v>0</v>
      </c>
      <c r="AF55" s="104">
        <v>0</v>
      </c>
      <c r="AG55" s="104">
        <v>587754588.98574114</v>
      </c>
      <c r="AH55" s="104">
        <v>-1186890527.4143324</v>
      </c>
      <c r="AI55" s="104">
        <v>-245694491.18831375</v>
      </c>
      <c r="AJ55" s="104">
        <v>0</v>
      </c>
      <c r="AK55" s="104">
        <v>-165017237.87107551</v>
      </c>
      <c r="AL55" s="104">
        <v>-52704755.648076087</v>
      </c>
      <c r="AM55" s="104">
        <v>-36671180.149472326</v>
      </c>
      <c r="AN55" s="104">
        <v>-30536486.482973434</v>
      </c>
      <c r="AO55" s="104">
        <v>0</v>
      </c>
      <c r="AP55" s="104">
        <v>0</v>
      </c>
      <c r="AQ55" s="104">
        <v>0</v>
      </c>
      <c r="AR55" s="104">
        <v>117146758.89995441</v>
      </c>
      <c r="AS55" s="104">
        <v>0</v>
      </c>
      <c r="AT55" s="104">
        <v>0</v>
      </c>
      <c r="AU55" s="121">
        <v>-1012613330.8685479</v>
      </c>
      <c r="AV55" s="122">
        <v>-1012613330.8685479</v>
      </c>
      <c r="AW55" s="104">
        <v>117146758.89995442</v>
      </c>
      <c r="AX55" s="122">
        <v>-1012613330.8685479</v>
      </c>
    </row>
    <row r="56" spans="2:50" x14ac:dyDescent="0.2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25"/>
      <c r="U56" s="15"/>
      <c r="V56" s="15"/>
      <c r="W56" s="15"/>
      <c r="X56" s="15"/>
      <c r="Y56" s="15"/>
      <c r="Z56" s="15"/>
      <c r="AA56" s="15"/>
      <c r="AB56" s="15"/>
      <c r="AC56" s="34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25"/>
      <c r="AV56" s="15"/>
      <c r="AW56" s="15"/>
    </row>
    <row r="57" spans="2:50" x14ac:dyDescent="0.2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34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</row>
    <row r="58" spans="2:50" x14ac:dyDescent="0.2">
      <c r="B58" s="15" t="s">
        <v>73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34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</row>
    <row r="59" spans="2:50" x14ac:dyDescent="0.2">
      <c r="B59" s="15" t="s">
        <v>74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34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</row>
    <row r="60" spans="2:50" x14ac:dyDescent="0.2">
      <c r="B60" s="15" t="s">
        <v>101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34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</row>
    <row r="61" spans="2:50" x14ac:dyDescent="0.2">
      <c r="B61" s="15" t="s">
        <v>75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34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</row>
    <row r="62" spans="2:50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34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</row>
  </sheetData>
  <conditionalFormatting sqref="I5">
    <cfRule type="cellIs" dxfId="0" priority="1" operator="equal">
      <formula>"Check Curve"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E888-2FF7-4856-BEC3-83DEEB21971A}">
  <dimension ref="A1:AK29"/>
  <sheetViews>
    <sheetView showGridLines="0" view="pageLayout" topLeftCell="B1" zoomScaleNormal="90" workbookViewId="0">
      <selection activeCell="D38" sqref="D38"/>
    </sheetView>
  </sheetViews>
  <sheetFormatPr defaultRowHeight="15" x14ac:dyDescent="0.25"/>
  <cols>
    <col min="2" max="2" width="22.7109375" customWidth="1"/>
  </cols>
  <sheetData>
    <row r="1" spans="1:37" x14ac:dyDescent="0.25"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  <c r="S1">
        <v>2035</v>
      </c>
      <c r="T1">
        <v>2036</v>
      </c>
      <c r="U1">
        <v>2037</v>
      </c>
      <c r="V1">
        <v>2038</v>
      </c>
      <c r="W1">
        <v>2039</v>
      </c>
      <c r="X1">
        <v>2040</v>
      </c>
    </row>
    <row r="2" spans="1:37" x14ac:dyDescent="0.25">
      <c r="A2" s="156"/>
      <c r="B2" s="157" t="s">
        <v>109</v>
      </c>
      <c r="C2" s="158"/>
      <c r="D2" s="158"/>
      <c r="E2" s="158"/>
      <c r="F2" s="158"/>
      <c r="G2" s="158">
        <f>'FC North Economics'!H40</f>
        <v>-0.7436060988642399</v>
      </c>
      <c r="H2" s="158">
        <f>'FC North Economics'!I40</f>
        <v>-1.6755929951612334</v>
      </c>
      <c r="I2" s="158">
        <f>'FC North Economics'!J40</f>
        <v>-2.265232500480113</v>
      </c>
      <c r="J2" s="158">
        <f>'FC North Economics'!K40</f>
        <v>-3.4965497043210143</v>
      </c>
      <c r="K2" s="158">
        <f>'FC North Economics'!L40</f>
        <v>-3.8344390065267184</v>
      </c>
      <c r="L2" s="158">
        <f>'FC North Economics'!M40</f>
        <v>-4.7219752344222989</v>
      </c>
      <c r="M2" s="158">
        <f>'FC North Economics'!N40</f>
        <v>-6.9960631839789329</v>
      </c>
      <c r="N2" s="158">
        <f>'FC North Economics'!O40</f>
        <v>-7.5544501793003338</v>
      </c>
      <c r="O2" s="158">
        <f>'FC North Economics'!P40</f>
        <v>-8.0600928629393032</v>
      </c>
      <c r="P2" s="158">
        <f>'FC North Economics'!Q40</f>
        <v>-9.0151244923198703</v>
      </c>
      <c r="Q2" s="158">
        <f>'FC North Economics'!R40</f>
        <v>-7.4280147343456475</v>
      </c>
      <c r="R2" s="158">
        <f>'FC North Economics'!S40</f>
        <v>-1.6570073227259634</v>
      </c>
      <c r="S2" s="158">
        <f>'FC North Economics'!T40</f>
        <v>-1.9139861554324593</v>
      </c>
      <c r="T2" s="158">
        <f>'FC North Economics'!U40</f>
        <v>-4.8831080870119887</v>
      </c>
      <c r="U2" s="158">
        <f>'FC North Economics'!V40</f>
        <v>-2.9364021663482154</v>
      </c>
      <c r="V2" s="158">
        <f>'FC North Economics'!W40</f>
        <v>-6.0880057369036908</v>
      </c>
      <c r="W2" s="158">
        <f>'FC North Economics'!X40</f>
        <v>-5.0898571920055531</v>
      </c>
      <c r="X2" s="158">
        <f>'FC North Economics'!Y40</f>
        <v>-21.338502190817209</v>
      </c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</row>
    <row r="4" spans="1:37" x14ac:dyDescent="0.25">
      <c r="D4" t="str">
        <f xml:space="preserve"> "$49/MWh"</f>
        <v>$49/MWh</v>
      </c>
    </row>
    <row r="5" spans="1:37" ht="15.75" x14ac:dyDescent="0.25">
      <c r="C5" s="159" t="s">
        <v>110</v>
      </c>
      <c r="D5" s="160" t="str">
        <f xml:space="preserve"> "$36/MWh"</f>
        <v>$36/MWh</v>
      </c>
      <c r="I5" s="161"/>
    </row>
    <row r="6" spans="1:37" x14ac:dyDescent="0.25">
      <c r="D6" t="str">
        <f xml:space="preserve"> "($3/MWh)"</f>
        <v>($3/MWh)</v>
      </c>
    </row>
    <row r="11" spans="1:37" x14ac:dyDescent="0.25">
      <c r="D11" t="s">
        <v>119</v>
      </c>
    </row>
    <row r="12" spans="1:37" x14ac:dyDescent="0.25">
      <c r="D12" t="s">
        <v>120</v>
      </c>
    </row>
    <row r="13" spans="1:37" x14ac:dyDescent="0.25">
      <c r="D13" t="s">
        <v>121</v>
      </c>
    </row>
    <row r="18" spans="2:22" x14ac:dyDescent="0.25">
      <c r="D18" t="str">
        <f>"$"&amp;(49-38)&amp;"/MWh"</f>
        <v>$11/MWh</v>
      </c>
    </row>
    <row r="19" spans="2:22" x14ac:dyDescent="0.25">
      <c r="D19" t="str">
        <f>"$"&amp;(36-25)&amp;"/MWh"</f>
        <v>$11/MWh</v>
      </c>
    </row>
    <row r="20" spans="2:22" x14ac:dyDescent="0.25">
      <c r="D20" t="str">
        <f>"$"&amp;(49-38)&amp;"/MWh"</f>
        <v>$11/MWh</v>
      </c>
    </row>
    <row r="25" spans="2:22" x14ac:dyDescent="0.25">
      <c r="B25" s="157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</row>
    <row r="28" spans="2:22" x14ac:dyDescent="0.25">
      <c r="C28" s="162"/>
    </row>
    <row r="29" spans="2:22" x14ac:dyDescent="0.25">
      <c r="E29" s="157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 - Errata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1D302C-D4FB-441A-9791-32CB5EAC00F3}">
  <ds:schemaRefs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5875e64-5ec5-40b8-b0a0-01fce34cd652"/>
    <ds:schemaRef ds:uri="9720bb0e-f1e9-4797-b092-7e5c1491b50b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5EBA401-24C9-435F-9AD7-E19763441373}"/>
</file>

<file path=customXml/itemProps3.xml><?xml version="1.0" encoding="utf-8"?>
<ds:datastoreItem xmlns:ds="http://schemas.openxmlformats.org/officeDocument/2006/customXml" ds:itemID="{28FBBDD6-7037-4780-8493-11C8665A01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C57ECC7-A595-46F3-8E0D-1267985F6D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 6</vt:lpstr>
      <vt:lpstr>FC North Economics</vt:lpstr>
      <vt:lpstr>FC North</vt:lpstr>
      <vt:lpstr>Change in System Costs</vt:lpstr>
      <vt:lpstr>'FC North Economics'!Print_Area</vt:lpstr>
      <vt:lpstr>'FC North Economics'!Print_Titles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2022-01-06T17:28:22Z</dcterms:created>
  <dcterms:modified xsi:type="dcterms:W3CDTF">2023-04-04T20:49:09Z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