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3.03-3.05 PF - Labor and Benefits\"/>
    </mc:Choice>
  </mc:AlternateContent>
  <bookViews>
    <workbookView xWindow="-945" yWindow="570" windowWidth="12120" windowHeight="2895" tabRatio="812"/>
  </bookViews>
  <sheets>
    <sheet name="Pro-Forma 2019 " sheetId="46" r:id="rId1"/>
    <sheet name="Data" sheetId="50" r:id="rId2"/>
    <sheet name="Non-Util Benefit Calc" sheetId="45" r:id="rId3"/>
  </sheets>
  <externalReferences>
    <externalReference r:id="rId4"/>
  </externalReferences>
  <definedNames>
    <definedName name="_xlnm.Print_Area" localSheetId="2">'Non-Util Benefit Calc'!$A$1:$G$32</definedName>
    <definedName name="_xlnm.Print_Area" localSheetId="0">'Pro-Forma 2019 '!$A$5:$G$42</definedName>
    <definedName name="Recover">[1]Macro1!$A$69</definedName>
    <definedName name="TableName">"Dummy"</definedName>
  </definedNames>
  <calcPr calcId="152511" fullPrecision="0"/>
</workbook>
</file>

<file path=xl/calcChain.xml><?xml version="1.0" encoding="utf-8"?>
<calcChain xmlns="http://schemas.openxmlformats.org/spreadsheetml/2006/main">
  <c r="C31" i="45" l="1"/>
  <c r="C26" i="45"/>
  <c r="C27" i="45"/>
  <c r="C28" i="45"/>
  <c r="C29" i="45"/>
  <c r="C25" i="45"/>
  <c r="D13" i="45"/>
  <c r="C13" i="45"/>
  <c r="C19" i="45"/>
  <c r="C17" i="45"/>
  <c r="C16" i="45"/>
  <c r="C15" i="45"/>
  <c r="C14" i="45"/>
  <c r="D31" i="45" l="1"/>
  <c r="D29" i="45" s="1"/>
  <c r="B31" i="45"/>
  <c r="D19" i="45"/>
  <c r="D15" i="45" s="1"/>
  <c r="B19" i="45"/>
  <c r="D28" i="45" l="1"/>
  <c r="D25" i="45"/>
  <c r="D27" i="45"/>
  <c r="D30" i="45"/>
  <c r="D26" i="45"/>
  <c r="D18" i="45"/>
  <c r="D17" i="45"/>
  <c r="D14" i="45"/>
  <c r="D16" i="45"/>
  <c r="B38" i="46"/>
  <c r="B26" i="46"/>
  <c r="B35" i="46" l="1"/>
  <c r="B32" i="46"/>
  <c r="B29" i="46"/>
  <c r="D16" i="46" l="1"/>
  <c r="C16" i="46"/>
  <c r="D15" i="46"/>
  <c r="C15" i="46"/>
  <c r="D14" i="46"/>
  <c r="C14" i="46"/>
  <c r="D11" i="46"/>
  <c r="C11" i="46"/>
  <c r="D10" i="46"/>
  <c r="C10" i="46"/>
  <c r="D9" i="46"/>
  <c r="E9" i="46" s="1"/>
  <c r="C9" i="46"/>
  <c r="D19" i="50"/>
  <c r="C19" i="50"/>
  <c r="E10" i="46" l="1"/>
  <c r="F7" i="45"/>
  <c r="B41" i="46" l="1"/>
  <c r="B27" i="46" l="1"/>
  <c r="D12" i="46" l="1"/>
  <c r="C12" i="46"/>
  <c r="E12" i="46" l="1"/>
  <c r="E11" i="46"/>
  <c r="E14" i="46"/>
  <c r="E15" i="46"/>
  <c r="E16" i="46"/>
  <c r="D17" i="46" l="1"/>
  <c r="B30" i="46" l="1"/>
  <c r="A30" i="46"/>
  <c r="A33" i="46" s="1"/>
  <c r="A36" i="46" s="1"/>
  <c r="A39" i="46" s="1"/>
  <c r="D19" i="46"/>
  <c r="C17" i="46"/>
  <c r="B33" i="46" l="1"/>
  <c r="C30" i="46"/>
  <c r="C27" i="46"/>
  <c r="E17" i="46"/>
  <c r="C19" i="46"/>
  <c r="E19" i="46" s="1"/>
  <c r="C33" i="46" l="1"/>
  <c r="B36" i="46"/>
  <c r="C36" i="46" l="1"/>
  <c r="B39" i="46"/>
  <c r="C39" i="46" s="1"/>
  <c r="C41" i="46" l="1"/>
  <c r="D8" i="45"/>
  <c r="E8" i="45"/>
  <c r="F8" i="45"/>
  <c r="C8" i="45"/>
  <c r="G7" i="45"/>
  <c r="G8" i="45" s="1"/>
  <c r="G9" i="45" l="1"/>
  <c r="D9" i="45"/>
  <c r="E9" i="45"/>
  <c r="F9" i="45"/>
  <c r="C9" i="45"/>
  <c r="C20" i="46" l="1"/>
  <c r="H27" i="46" l="1"/>
  <c r="D20" i="46"/>
  <c r="H30" i="46"/>
  <c r="C21" i="46"/>
  <c r="H33" i="46"/>
  <c r="H39" i="46"/>
  <c r="H36" i="46"/>
  <c r="E20" i="46" l="1"/>
  <c r="E21" i="46" s="1"/>
  <c r="D21" i="46"/>
  <c r="H41" i="46"/>
  <c r="E27" i="46" l="1"/>
  <c r="E33" i="46"/>
  <c r="E30" i="46"/>
  <c r="E36" i="46"/>
  <c r="E39" i="46"/>
  <c r="E41" i="46" l="1"/>
</calcChain>
</file>

<file path=xl/sharedStrings.xml><?xml version="1.0" encoding="utf-8"?>
<sst xmlns="http://schemas.openxmlformats.org/spreadsheetml/2006/main" count="107" uniqueCount="79">
  <si>
    <t>Total</t>
  </si>
  <si>
    <t>Adjustment</t>
  </si>
  <si>
    <t>510 Payroll Benefits loading</t>
  </si>
  <si>
    <t>Expenditure Type</t>
  </si>
  <si>
    <t>Washington Electric Labor</t>
  </si>
  <si>
    <t xml:space="preserve"> Idaho Electric Labor</t>
  </si>
  <si>
    <t>Washington Gas Labor</t>
  </si>
  <si>
    <t>Idaho Gas Labor</t>
  </si>
  <si>
    <t>Oregon Gas Labor</t>
  </si>
  <si>
    <t>Accounting Period:&lt;All&gt;</t>
  </si>
  <si>
    <t>Transaction Amount</t>
  </si>
  <si>
    <t>CAP</t>
  </si>
  <si>
    <t>NONOP</t>
  </si>
  <si>
    <t>OPER</t>
  </si>
  <si>
    <t>OTHER</t>
  </si>
  <si>
    <t>Total OPER Labor</t>
  </si>
  <si>
    <t>Desc</t>
  </si>
  <si>
    <t>Projects</t>
  </si>
  <si>
    <t>Percent</t>
  </si>
  <si>
    <t>Year End</t>
  </si>
  <si>
    <t>Task Number</t>
  </si>
  <si>
    <t>Task Name</t>
  </si>
  <si>
    <t>926220</t>
  </si>
  <si>
    <t>926225</t>
  </si>
  <si>
    <t>401 (k)</t>
  </si>
  <si>
    <t>926226</t>
  </si>
  <si>
    <t>401(K) Non-Elect Con</t>
  </si>
  <si>
    <t>926230</t>
  </si>
  <si>
    <t>Pension FAS 87</t>
  </si>
  <si>
    <t>926240</t>
  </si>
  <si>
    <t xml:space="preserve">FAS 106 (Post-Retirement Medical) </t>
  </si>
  <si>
    <t>Pro-Forma</t>
  </si>
  <si>
    <t>Total Medical</t>
  </si>
  <si>
    <t>Total Retirement</t>
  </si>
  <si>
    <t>Health Insurance (Premera and Group Health)</t>
  </si>
  <si>
    <t>YE 12.31.2018</t>
  </si>
  <si>
    <t>O &amp; M Percent</t>
  </si>
  <si>
    <t>Total O&amp;M</t>
  </si>
  <si>
    <t>Total Labor $</t>
  </si>
  <si>
    <t>Percent of Total</t>
  </si>
  <si>
    <t>YE 12.31.2019</t>
  </si>
  <si>
    <t>Health Insurance (High Deductible Plan)</t>
  </si>
  <si>
    <t>Actual 12 ME 12.31.2018</t>
  </si>
  <si>
    <t>For Corp Acct</t>
  </si>
  <si>
    <t>(Breakdown of O&amp;M By Jurisdiction)</t>
  </si>
  <si>
    <t>Accounting Period BETWEEN '201801' AND '201812', , Expenditure Type Parameter 1 : '510 Payroll Benefits loading'</t>
  </si>
  <si>
    <t>Cognos Query</t>
  </si>
  <si>
    <t>Ran: 02.04.19</t>
  </si>
  <si>
    <t>Accounting Period: 01.01.2018 through 12.31.2018</t>
  </si>
  <si>
    <t>Summary EXP Category</t>
  </si>
  <si>
    <t>Non-Labor</t>
  </si>
  <si>
    <t>Actual</t>
  </si>
  <si>
    <t>Sum of Transaction Amount</t>
  </si>
  <si>
    <t>Health Insurance</t>
  </si>
  <si>
    <t>926221</t>
  </si>
  <si>
    <t>Health Insure - HDHP</t>
  </si>
  <si>
    <t>FAS 106</t>
  </si>
  <si>
    <t>926251</t>
  </si>
  <si>
    <t>FAS 106 NS</t>
  </si>
  <si>
    <t>926253</t>
  </si>
  <si>
    <t>Pension FAS 87 NS</t>
  </si>
  <si>
    <t>Grand Total</t>
  </si>
  <si>
    <t>Pro-Forma 2019</t>
  </si>
  <si>
    <t>Description</t>
  </si>
  <si>
    <t>Estimate Provided by Compensation Consultant - Mercer</t>
  </si>
  <si>
    <t>Estimate Provided by Compensation Consultant - Willis Towers Watson</t>
  </si>
  <si>
    <t>Estimate based on historical actual</t>
  </si>
  <si>
    <t>Benefit Expense Adjustment</t>
  </si>
  <si>
    <t>Breakdown by Component</t>
  </si>
  <si>
    <t>Electric</t>
  </si>
  <si>
    <t>Natural Gas</t>
  </si>
  <si>
    <t>Production</t>
  </si>
  <si>
    <t>Transmission</t>
  </si>
  <si>
    <t>Distribution</t>
  </si>
  <si>
    <t>Customer Accounts</t>
  </si>
  <si>
    <t>Admin and General</t>
  </si>
  <si>
    <t>Customer Service</t>
  </si>
  <si>
    <t>Underground Storage</t>
  </si>
  <si>
    <t>(Non-Exec Labor Adjust)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</si>
</sst>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#,###,###,###"/>
    <numFmt numFmtId="166" formatCode="###,###,##0"/>
    <numFmt numFmtId="168" formatCode="0.000%"/>
    <numFmt numFmtId="169" formatCode="_(* #,##0_);_(* \(#,##0\);_(* &quot;-&quot;??_);_(@_)"/>
  </numFmts>
  <fonts count="22">
    <font>
      <sz val="10"/>
      <name val="Times New Roman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Times New Roman"/>
      <family val="1"/>
    </font>
    <font>
      <u/>
      <sz val="9.9499999999999993"/>
      <color indexed="8"/>
      <name val="Times New Roman"/>
      <family val="1"/>
    </font>
    <font>
      <sz val="10"/>
      <name val="Tahoma"/>
      <family val="2"/>
    </font>
    <font>
      <sz val="11"/>
      <name val="Times New Roman"/>
      <family val="1"/>
    </font>
    <font>
      <sz val="10"/>
      <name val="NewCenturySchlbk"/>
    </font>
    <font>
      <sz val="10"/>
      <name val="NewCenturySchlbk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3333FF"/>
      <name val="Calibri"/>
      <family val="2"/>
      <scheme val="minor"/>
    </font>
    <font>
      <sz val="11"/>
      <color rgb="FF3333FF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Times New Roman"/>
      <family val="2"/>
    </font>
    <font>
      <sz val="10"/>
      <name val="Times New Roman"/>
      <family val="1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/>
      <diagonal/>
    </border>
  </borders>
  <cellStyleXfs count="20">
    <xf numFmtId="0" fontId="0" fillId="0" borderId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8" fillId="0" borderId="0"/>
    <xf numFmtId="0" fontId="2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3" fontId="20" fillId="0" borderId="0" applyFont="0" applyFill="0" applyBorder="0" applyAlignment="0" applyProtection="0"/>
  </cellStyleXfs>
  <cellXfs count="77">
    <xf numFmtId="0" fontId="0" fillId="0" borderId="0" xfId="0"/>
    <xf numFmtId="0" fontId="11" fillId="0" borderId="2" xfId="6" applyFont="1" applyFill="1" applyBorder="1" applyAlignment="1">
      <alignment horizontal="left" vertical="top" wrapText="1"/>
    </xf>
    <xf numFmtId="0" fontId="11" fillId="0" borderId="2" xfId="6" applyFont="1" applyFill="1" applyBorder="1" applyAlignment="1">
      <alignment horizontal="left" vertical="top"/>
    </xf>
    <xf numFmtId="0" fontId="11" fillId="0" borderId="3" xfId="6" applyFont="1" applyFill="1" applyBorder="1" applyAlignment="1">
      <alignment horizontal="right" vertical="top"/>
    </xf>
    <xf numFmtId="0" fontId="11" fillId="0" borderId="7" xfId="6" applyFont="1" applyFill="1" applyBorder="1" applyAlignment="1">
      <alignment horizontal="right" vertical="top"/>
    </xf>
    <xf numFmtId="165" fontId="11" fillId="0" borderId="2" xfId="6" applyNumberFormat="1" applyFont="1" applyFill="1" applyBorder="1" applyAlignment="1">
      <alignment horizontal="right" vertical="top"/>
    </xf>
    <xf numFmtId="0" fontId="10" fillId="0" borderId="1" xfId="6" applyFont="1" applyFill="1" applyBorder="1"/>
    <xf numFmtId="0" fontId="13" fillId="0" borderId="2" xfId="6" applyFont="1" applyFill="1" applyBorder="1" applyAlignment="1">
      <alignment horizontal="center" vertical="center"/>
    </xf>
    <xf numFmtId="0" fontId="13" fillId="0" borderId="2" xfId="6" applyFont="1" applyFill="1" applyBorder="1" applyAlignment="1">
      <alignment horizontal="center" vertical="top"/>
    </xf>
    <xf numFmtId="0" fontId="13" fillId="0" borderId="2" xfId="6" applyFont="1" applyFill="1" applyBorder="1" applyAlignment="1">
      <alignment horizontal="left" vertical="top"/>
    </xf>
    <xf numFmtId="0" fontId="11" fillId="2" borderId="3" xfId="6" applyFont="1" applyFill="1" applyBorder="1" applyAlignment="1">
      <alignment horizontal="center" vertical="top"/>
    </xf>
    <xf numFmtId="0" fontId="11" fillId="2" borderId="7" xfId="6" applyFont="1" applyFill="1" applyBorder="1" applyAlignment="1">
      <alignment horizontal="center" vertical="top"/>
    </xf>
    <xf numFmtId="165" fontId="11" fillId="2" borderId="5" xfId="6" applyNumberFormat="1" applyFont="1" applyFill="1" applyBorder="1" applyAlignment="1">
      <alignment horizontal="right" vertical="top"/>
    </xf>
    <xf numFmtId="10" fontId="12" fillId="0" borderId="10" xfId="12" applyNumberFormat="1" applyFont="1" applyFill="1" applyBorder="1"/>
    <xf numFmtId="10" fontId="10" fillId="0" borderId="1" xfId="12" applyNumberFormat="1" applyFont="1" applyFill="1" applyBorder="1"/>
    <xf numFmtId="10" fontId="10" fillId="0" borderId="11" xfId="12" applyNumberFormat="1" applyFont="1" applyFill="1" applyBorder="1"/>
    <xf numFmtId="10" fontId="10" fillId="0" borderId="12" xfId="12" applyNumberFormat="1" applyFont="1" applyFill="1" applyBorder="1"/>
    <xf numFmtId="0" fontId="10" fillId="0" borderId="0" xfId="0" applyFont="1"/>
    <xf numFmtId="10" fontId="10" fillId="0" borderId="0" xfId="10" applyNumberFormat="1" applyFont="1" applyBorder="1"/>
    <xf numFmtId="164" fontId="10" fillId="0" borderId="0" xfId="2" applyNumberFormat="1" applyFont="1"/>
    <xf numFmtId="0" fontId="10" fillId="0" borderId="0" xfId="0" applyFont="1" applyBorder="1"/>
    <xf numFmtId="0" fontId="11" fillId="0" borderId="0" xfId="6" applyFont="1" applyFill="1" applyBorder="1" applyAlignment="1">
      <alignment horizontal="right" vertical="top"/>
    </xf>
    <xf numFmtId="0" fontId="11" fillId="0" borderId="0" xfId="6" applyFont="1" applyFill="1" applyBorder="1" applyAlignment="1">
      <alignment horizontal="right" vertical="center"/>
    </xf>
    <xf numFmtId="0" fontId="13" fillId="0" borderId="0" xfId="6" applyFont="1" applyFill="1" applyBorder="1" applyAlignment="1">
      <alignment horizontal="center" vertical="top"/>
    </xf>
    <xf numFmtId="0" fontId="11" fillId="0" borderId="0" xfId="6" applyFont="1" applyFill="1" applyBorder="1" applyAlignment="1">
      <alignment horizontal="left" vertical="top"/>
    </xf>
    <xf numFmtId="166" fontId="11" fillId="0" borderId="0" xfId="6" applyNumberFormat="1" applyFont="1" applyFill="1" applyBorder="1" applyAlignment="1">
      <alignment horizontal="right" vertical="center"/>
    </xf>
    <xf numFmtId="166" fontId="11" fillId="0" borderId="6" xfId="6" applyNumberFormat="1" applyFont="1" applyFill="1" applyBorder="1" applyAlignment="1">
      <alignment horizontal="right" vertical="center"/>
    </xf>
    <xf numFmtId="0" fontId="13" fillId="0" borderId="0" xfId="6" applyFont="1" applyFill="1" applyBorder="1" applyAlignment="1">
      <alignment horizontal="left" vertical="top"/>
    </xf>
    <xf numFmtId="166" fontId="13" fillId="0" borderId="0" xfId="6" applyNumberFormat="1" applyFont="1" applyFill="1" applyBorder="1" applyAlignment="1">
      <alignment horizontal="right" vertical="center"/>
    </xf>
    <xf numFmtId="10" fontId="10" fillId="0" borderId="6" xfId="0" applyNumberFormat="1" applyFont="1" applyBorder="1"/>
    <xf numFmtId="164" fontId="10" fillId="0" borderId="0" xfId="2" applyNumberFormat="1" applyFont="1" applyBorder="1"/>
    <xf numFmtId="0" fontId="14" fillId="0" borderId="0" xfId="0" applyFont="1" applyBorder="1"/>
    <xf numFmtId="0" fontId="7" fillId="0" borderId="0" xfId="9" applyFont="1"/>
    <xf numFmtId="44" fontId="15" fillId="0" borderId="0" xfId="2" applyFont="1" applyFill="1"/>
    <xf numFmtId="44" fontId="7" fillId="0" borderId="0" xfId="2" applyFont="1" applyFill="1"/>
    <xf numFmtId="164" fontId="10" fillId="0" borderId="13" xfId="0" applyNumberFormat="1" applyFont="1" applyBorder="1"/>
    <xf numFmtId="0" fontId="7" fillId="0" borderId="0" xfId="9" applyFont="1" applyFill="1"/>
    <xf numFmtId="10" fontId="10" fillId="0" borderId="0" xfId="0" applyNumberFormat="1" applyFont="1" applyBorder="1"/>
    <xf numFmtId="164" fontId="10" fillId="0" borderId="0" xfId="0" applyNumberFormat="1" applyFont="1" applyBorder="1"/>
    <xf numFmtId="0" fontId="7" fillId="0" borderId="0" xfId="9" applyFont="1" applyBorder="1"/>
    <xf numFmtId="0" fontId="7" fillId="0" borderId="0" xfId="9" applyFont="1" applyFill="1" applyBorder="1"/>
    <xf numFmtId="0" fontId="10" fillId="0" borderId="0" xfId="0" applyFont="1" applyBorder="1" applyAlignment="1">
      <alignment horizontal="center"/>
    </xf>
    <xf numFmtId="164" fontId="16" fillId="0" borderId="0" xfId="0" applyNumberFormat="1" applyFont="1" applyBorder="1"/>
    <xf numFmtId="168" fontId="10" fillId="0" borderId="0" xfId="0" applyNumberFormat="1" applyFont="1" applyBorder="1"/>
    <xf numFmtId="164" fontId="10" fillId="0" borderId="14" xfId="0" applyNumberFormat="1" applyFont="1" applyBorder="1"/>
    <xf numFmtId="44" fontId="7" fillId="0" borderId="0" xfId="9" applyNumberFormat="1" applyFont="1"/>
    <xf numFmtId="165" fontId="11" fillId="0" borderId="15" xfId="6" applyNumberFormat="1" applyFont="1" applyFill="1" applyBorder="1" applyAlignment="1">
      <alignment horizontal="right" vertical="top"/>
    </xf>
    <xf numFmtId="0" fontId="17" fillId="0" borderId="0" xfId="0" applyFont="1"/>
    <xf numFmtId="0" fontId="18" fillId="0" borderId="0" xfId="0" applyFont="1"/>
    <xf numFmtId="0" fontId="18" fillId="3" borderId="0" xfId="0" applyFont="1" applyFill="1"/>
    <xf numFmtId="0" fontId="17" fillId="0" borderId="0" xfId="0" applyFont="1" applyAlignment="1">
      <alignment horizontal="center"/>
    </xf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 wrapText="1"/>
    </xf>
    <xf numFmtId="0" fontId="18" fillId="0" borderId="16" xfId="0" applyFont="1" applyBorder="1"/>
    <xf numFmtId="164" fontId="18" fillId="0" borderId="16" xfId="2" applyNumberFormat="1" applyFont="1" applyBorder="1"/>
    <xf numFmtId="0" fontId="18" fillId="0" borderId="17" xfId="0" applyFont="1" applyBorder="1"/>
    <xf numFmtId="164" fontId="18" fillId="0" borderId="17" xfId="2" applyNumberFormat="1" applyFont="1" applyBorder="1"/>
    <xf numFmtId="164" fontId="18" fillId="0" borderId="17" xfId="0" applyNumberFormat="1" applyFont="1" applyBorder="1"/>
    <xf numFmtId="0" fontId="18" fillId="0" borderId="18" xfId="0" applyFont="1" applyBorder="1"/>
    <xf numFmtId="164" fontId="18" fillId="0" borderId="18" xfId="2" applyNumberFormat="1" applyFont="1" applyBorder="1"/>
    <xf numFmtId="164" fontId="18" fillId="3" borderId="0" xfId="2" applyNumberFormat="1" applyFont="1" applyFill="1"/>
    <xf numFmtId="0" fontId="17" fillId="3" borderId="0" xfId="0" applyFont="1" applyFill="1" applyAlignment="1">
      <alignment horizontal="center" vertical="center" wrapText="1"/>
    </xf>
    <xf numFmtId="0" fontId="19" fillId="0" borderId="0" xfId="18" applyBorder="1"/>
    <xf numFmtId="0" fontId="10" fillId="0" borderId="0" xfId="0" applyFont="1" applyFill="1"/>
    <xf numFmtId="0" fontId="21" fillId="0" borderId="0" xfId="6" applyFont="1"/>
    <xf numFmtId="0" fontId="21" fillId="0" borderId="1" xfId="6" applyFont="1" applyBorder="1"/>
    <xf numFmtId="169" fontId="10" fillId="0" borderId="0" xfId="19" applyNumberFormat="1" applyFont="1"/>
    <xf numFmtId="169" fontId="10" fillId="0" borderId="0" xfId="0" applyNumberFormat="1" applyFont="1"/>
    <xf numFmtId="169" fontId="10" fillId="0" borderId="6" xfId="19" applyNumberFormat="1" applyFont="1" applyBorder="1"/>
    <xf numFmtId="9" fontId="10" fillId="0" borderId="0" xfId="10" applyFont="1"/>
    <xf numFmtId="164" fontId="10" fillId="0" borderId="6" xfId="2" applyNumberFormat="1" applyFont="1" applyBorder="1"/>
    <xf numFmtId="9" fontId="10" fillId="0" borderId="0" xfId="0" applyNumberFormat="1" applyFont="1"/>
    <xf numFmtId="9" fontId="10" fillId="0" borderId="6" xfId="10" applyFont="1" applyBorder="1"/>
    <xf numFmtId="0" fontId="10" fillId="0" borderId="0" xfId="6" applyFont="1" applyFill="1" applyAlignment="1">
      <alignment horizontal="left" vertical="top" wrapText="1"/>
    </xf>
    <xf numFmtId="0" fontId="13" fillId="0" borderId="4" xfId="6" applyFont="1" applyFill="1" applyBorder="1" applyAlignment="1">
      <alignment horizontal="center" vertical="top"/>
    </xf>
    <xf numFmtId="0" fontId="13" fillId="0" borderId="8" xfId="6" applyFont="1" applyFill="1" applyBorder="1" applyAlignment="1">
      <alignment horizontal="center" vertical="top"/>
    </xf>
    <xf numFmtId="0" fontId="13" fillId="0" borderId="9" xfId="6" applyFont="1" applyFill="1" applyBorder="1" applyAlignment="1">
      <alignment horizontal="center" vertical="top"/>
    </xf>
  </cellXfs>
  <cellStyles count="20">
    <cellStyle name="Comma" xfId="19" builtinId="3"/>
    <cellStyle name="Comma 2" xfId="1"/>
    <cellStyle name="Comma 3" xfId="15"/>
    <cellStyle name="Comma 4" xfId="13"/>
    <cellStyle name="Currency" xfId="2" builtinId="4"/>
    <cellStyle name="Currency 2" xfId="3"/>
    <cellStyle name="Currency 3" xfId="4"/>
    <cellStyle name="Currency 4" xfId="16"/>
    <cellStyle name="Explanatory Text" xfId="18" builtinId="53"/>
    <cellStyle name="Normal" xfId="0" builtinId="0"/>
    <cellStyle name="Normal 2" xfId="5"/>
    <cellStyle name="Normal 3" xfId="6"/>
    <cellStyle name="Normal 4" xfId="7"/>
    <cellStyle name="Normal 5" xfId="8"/>
    <cellStyle name="Normal 6" xfId="14"/>
    <cellStyle name="Normal_Loadings" xfId="9"/>
    <cellStyle name="Percent" xfId="10" builtinId="5"/>
    <cellStyle name="Percent 2" xfId="11"/>
    <cellStyle name="Percent 3" xfId="12"/>
    <cellStyle name="Percent 4" xf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2\2012%20WA%20GRC\Adjustments\Adjustments\PF%20-%20Labor&amp;Benefit\2012%20Info\Downloads\Total%20Labor%20for%20Pension-Medic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abor"/>
      <sheetName val="Macro1"/>
    </sheetNames>
    <sheetDataSet>
      <sheetData sheetId="0" refreshError="1"/>
      <sheetData sheetId="1">
        <row r="69">
          <cell r="A6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42"/>
  <sheetViews>
    <sheetView tabSelected="1" topLeftCell="A22" zoomScaleNormal="100" workbookViewId="0">
      <selection activeCell="A12" sqref="A12"/>
    </sheetView>
  </sheetViews>
  <sheetFormatPr defaultRowHeight="15"/>
  <cols>
    <col min="1" max="1" width="60.6640625" style="20" customWidth="1"/>
    <col min="2" max="5" width="20.6640625" style="20" customWidth="1"/>
    <col min="6" max="6" width="3" style="20" customWidth="1"/>
    <col min="7" max="7" width="53.83203125" style="20" customWidth="1"/>
    <col min="8" max="8" width="11.5" style="20" customWidth="1"/>
    <col min="9" max="16384" width="9.33203125" style="20"/>
  </cols>
  <sheetData>
    <row r="5" spans="1:6">
      <c r="A5" s="21"/>
      <c r="B5" s="21"/>
      <c r="C5" s="21" t="s">
        <v>19</v>
      </c>
      <c r="D5" s="21" t="s">
        <v>31</v>
      </c>
      <c r="E5" s="21"/>
      <c r="F5" s="21"/>
    </row>
    <row r="6" spans="1:6">
      <c r="A6" s="21"/>
      <c r="B6" s="21"/>
      <c r="C6" s="22" t="s">
        <v>35</v>
      </c>
      <c r="D6" s="22" t="s">
        <v>40</v>
      </c>
      <c r="E6" s="21" t="s">
        <v>1</v>
      </c>
      <c r="F6" s="22"/>
    </row>
    <row r="7" spans="1:6">
      <c r="A7" s="23" t="s">
        <v>21</v>
      </c>
      <c r="B7" s="23" t="s">
        <v>20</v>
      </c>
      <c r="C7" s="21"/>
      <c r="D7" s="21"/>
      <c r="E7" s="21"/>
      <c r="F7" s="21"/>
    </row>
    <row r="8" spans="1:6">
      <c r="A8" s="24"/>
      <c r="B8" s="24"/>
      <c r="C8" s="25"/>
      <c r="D8" s="25"/>
      <c r="E8" s="25"/>
      <c r="F8" s="25"/>
    </row>
    <row r="9" spans="1:6">
      <c r="A9" s="24" t="s">
        <v>34</v>
      </c>
      <c r="B9" s="24" t="s">
        <v>22</v>
      </c>
      <c r="C9" s="25">
        <f>Data!C11</f>
        <v>22645974</v>
      </c>
      <c r="D9" s="25">
        <f>Data!D11</f>
        <v>25350000</v>
      </c>
      <c r="E9" s="25">
        <f>D9-C9</f>
        <v>2704026</v>
      </c>
      <c r="F9" s="25"/>
    </row>
    <row r="10" spans="1:6">
      <c r="A10" s="24" t="s">
        <v>41</v>
      </c>
      <c r="B10" s="24">
        <v>926221</v>
      </c>
      <c r="C10" s="25">
        <f>Data!C12</f>
        <v>1430306</v>
      </c>
      <c r="D10" s="25">
        <f>Data!D12</f>
        <v>1500000</v>
      </c>
      <c r="E10" s="25">
        <f>D10-C10</f>
        <v>69694</v>
      </c>
      <c r="F10" s="25"/>
    </row>
    <row r="11" spans="1:6">
      <c r="A11" s="24" t="s">
        <v>30</v>
      </c>
      <c r="B11" s="24" t="s">
        <v>29</v>
      </c>
      <c r="C11" s="26">
        <f>Data!C13+Data!C14</f>
        <v>8541714</v>
      </c>
      <c r="D11" s="26">
        <f>Data!D13+Data!D14</f>
        <v>9000000</v>
      </c>
      <c r="E11" s="26">
        <f t="shared" ref="E11:E17" si="0">D11-C11</f>
        <v>458286</v>
      </c>
      <c r="F11" s="25"/>
    </row>
    <row r="12" spans="1:6">
      <c r="A12" s="27" t="s">
        <v>32</v>
      </c>
      <c r="B12" s="27"/>
      <c r="C12" s="28">
        <f>SUM(C9:C11)</f>
        <v>32617994</v>
      </c>
      <c r="D12" s="28">
        <f>SUM(D9:D11)</f>
        <v>35850000</v>
      </c>
      <c r="E12" s="28">
        <f>D12-C12</f>
        <v>3232006</v>
      </c>
      <c r="F12" s="28"/>
    </row>
    <row r="14" spans="1:6">
      <c r="A14" s="24" t="s">
        <v>24</v>
      </c>
      <c r="B14" s="24" t="s">
        <v>23</v>
      </c>
      <c r="C14" s="25">
        <f>Data!C15</f>
        <v>9138892</v>
      </c>
      <c r="D14" s="25">
        <f>Data!D15</f>
        <v>9800000</v>
      </c>
      <c r="E14" s="25">
        <f t="shared" si="0"/>
        <v>661108</v>
      </c>
      <c r="F14" s="25"/>
    </row>
    <row r="15" spans="1:6">
      <c r="A15" s="24" t="s">
        <v>26</v>
      </c>
      <c r="B15" s="24" t="s">
        <v>25</v>
      </c>
      <c r="C15" s="25">
        <f>Data!C16</f>
        <v>905072</v>
      </c>
      <c r="D15" s="25">
        <f>Data!D16</f>
        <v>1100000</v>
      </c>
      <c r="E15" s="25">
        <f t="shared" si="0"/>
        <v>194928</v>
      </c>
      <c r="F15" s="25"/>
    </row>
    <row r="16" spans="1:6">
      <c r="A16" s="24" t="s">
        <v>28</v>
      </c>
      <c r="B16" s="24" t="s">
        <v>27</v>
      </c>
      <c r="C16" s="26">
        <f>Data!C17+Data!C18</f>
        <v>20611101</v>
      </c>
      <c r="D16" s="26">
        <f>Data!D17+Data!D18</f>
        <v>26277454</v>
      </c>
      <c r="E16" s="26">
        <f>D16-C16</f>
        <v>5666353</v>
      </c>
      <c r="F16" s="25"/>
    </row>
    <row r="17" spans="1:8">
      <c r="A17" s="27" t="s">
        <v>33</v>
      </c>
      <c r="B17" s="27"/>
      <c r="C17" s="28">
        <f>SUM(C14:C16)</f>
        <v>30655065</v>
      </c>
      <c r="D17" s="28">
        <f>SUM(D14:D16)</f>
        <v>37177454</v>
      </c>
      <c r="E17" s="28">
        <f t="shared" si="0"/>
        <v>6522389</v>
      </c>
      <c r="F17" s="28"/>
    </row>
    <row r="18" spans="1:8">
      <c r="A18" s="27"/>
      <c r="B18" s="27"/>
      <c r="C18" s="28"/>
      <c r="D18" s="28"/>
      <c r="E18" s="28"/>
      <c r="F18" s="28"/>
    </row>
    <row r="19" spans="1:8">
      <c r="A19" s="27"/>
      <c r="B19" s="27" t="s">
        <v>0</v>
      </c>
      <c r="C19" s="28">
        <f>C17+C12</f>
        <v>63273059</v>
      </c>
      <c r="D19" s="28">
        <f>D17+D12</f>
        <v>73027454</v>
      </c>
      <c r="E19" s="28">
        <f>D19-C19</f>
        <v>9754395</v>
      </c>
      <c r="F19" s="28"/>
    </row>
    <row r="20" spans="1:8">
      <c r="B20" s="20" t="s">
        <v>36</v>
      </c>
      <c r="C20" s="29">
        <f>'Non-Util Benefit Calc'!E9</f>
        <v>0.56310000000000004</v>
      </c>
      <c r="D20" s="29">
        <f>C20</f>
        <v>0.56310000000000004</v>
      </c>
      <c r="E20" s="29">
        <f>D20</f>
        <v>0.56310000000000004</v>
      </c>
    </row>
    <row r="21" spans="1:8">
      <c r="B21" s="20" t="s">
        <v>37</v>
      </c>
      <c r="C21" s="30">
        <f>C19*C20</f>
        <v>35629060</v>
      </c>
      <c r="D21" s="30">
        <f t="shared" ref="D21:E21" si="1">D19*D20</f>
        <v>41121759</v>
      </c>
      <c r="E21" s="30">
        <f t="shared" si="1"/>
        <v>5492700</v>
      </c>
    </row>
    <row r="25" spans="1:8">
      <c r="A25" s="31" t="s">
        <v>42</v>
      </c>
      <c r="B25" s="20" t="s">
        <v>38</v>
      </c>
      <c r="C25" s="41" t="s">
        <v>39</v>
      </c>
      <c r="H25" s="20" t="s">
        <v>43</v>
      </c>
    </row>
    <row r="26" spans="1:8" ht="15.75" thickBot="1">
      <c r="A26" s="32" t="s">
        <v>4</v>
      </c>
      <c r="B26" s="33">
        <f>45749310.35+1460198</f>
        <v>47209508.350000001</v>
      </c>
      <c r="H26" s="20" t="s">
        <v>44</v>
      </c>
    </row>
    <row r="27" spans="1:8" ht="16.5" thickTop="1" thickBot="1">
      <c r="A27" s="32" t="s">
        <v>15</v>
      </c>
      <c r="B27" s="34">
        <f>B26+B29+B32+B35+B38</f>
        <v>98302568</v>
      </c>
      <c r="C27" s="18">
        <f>B26/B27</f>
        <v>0.48020000000000002</v>
      </c>
      <c r="E27" s="44">
        <f>E21*C27</f>
        <v>2637595</v>
      </c>
      <c r="H27" s="43">
        <f>C27*$C$20</f>
        <v>0.27039999999999997</v>
      </c>
    </row>
    <row r="28" spans="1:8" ht="15.75" thickTop="1">
      <c r="A28" s="32"/>
      <c r="B28" s="36"/>
      <c r="C28" s="37"/>
      <c r="E28" s="42"/>
      <c r="H28" s="43"/>
    </row>
    <row r="29" spans="1:8">
      <c r="A29" s="32" t="s">
        <v>5</v>
      </c>
      <c r="B29" s="33">
        <f>22107109.65+668526</f>
        <v>22775635.649999999</v>
      </c>
      <c r="C29" s="37"/>
      <c r="E29" s="38"/>
      <c r="H29" s="43"/>
    </row>
    <row r="30" spans="1:8" ht="15.75" thickBot="1">
      <c r="A30" s="32" t="str">
        <f>A27</f>
        <v>Total OPER Labor</v>
      </c>
      <c r="B30" s="34">
        <f>B27</f>
        <v>98302568</v>
      </c>
      <c r="C30" s="18">
        <f>B29/B30</f>
        <v>0.23169999999999999</v>
      </c>
      <c r="E30" s="35">
        <f>C30*E21</f>
        <v>1272659</v>
      </c>
      <c r="H30" s="43">
        <f>C30*$C$20</f>
        <v>0.13047</v>
      </c>
    </row>
    <row r="31" spans="1:8" ht="15.75" thickTop="1">
      <c r="A31" s="32"/>
      <c r="B31" s="36"/>
      <c r="C31" s="37"/>
      <c r="E31" s="38"/>
      <c r="H31" s="43"/>
    </row>
    <row r="32" spans="1:8" ht="15.75" thickBot="1">
      <c r="A32" s="32" t="s">
        <v>6</v>
      </c>
      <c r="B32" s="33">
        <f>13869468.36+450759</f>
        <v>14320227.359999999</v>
      </c>
      <c r="C32" s="37"/>
      <c r="E32" s="38"/>
      <c r="H32" s="43"/>
    </row>
    <row r="33" spans="1:8" ht="16.5" thickTop="1" thickBot="1">
      <c r="A33" s="32" t="str">
        <f>A30</f>
        <v>Total OPER Labor</v>
      </c>
      <c r="B33" s="34">
        <f>B30</f>
        <v>98302568</v>
      </c>
      <c r="C33" s="18">
        <f>B32/B33</f>
        <v>0.1457</v>
      </c>
      <c r="E33" s="44">
        <f>C33*E21</f>
        <v>800286</v>
      </c>
      <c r="H33" s="43">
        <f>C33*$C$20</f>
        <v>8.2040000000000002E-2</v>
      </c>
    </row>
    <row r="34" spans="1:8" ht="15.75" thickTop="1">
      <c r="A34" s="32"/>
      <c r="B34" s="36"/>
      <c r="C34" s="37"/>
      <c r="E34" s="42"/>
      <c r="H34" s="43"/>
    </row>
    <row r="35" spans="1:8">
      <c r="A35" s="32" t="s">
        <v>7</v>
      </c>
      <c r="B35" s="33">
        <f>5347473.64+172939</f>
        <v>5520412.6399999997</v>
      </c>
      <c r="C35" s="37"/>
      <c r="E35" s="38"/>
      <c r="H35" s="43"/>
    </row>
    <row r="36" spans="1:8" ht="15.75" thickBot="1">
      <c r="A36" s="32" t="str">
        <f>A33</f>
        <v>Total OPER Labor</v>
      </c>
      <c r="B36" s="34">
        <f>B33</f>
        <v>98302568</v>
      </c>
      <c r="C36" s="18">
        <f>B35/B36</f>
        <v>5.62E-2</v>
      </c>
      <c r="E36" s="35">
        <f>C36*E21</f>
        <v>308690</v>
      </c>
      <c r="H36" s="43">
        <f>C36*$C$20</f>
        <v>3.1649999999999998E-2</v>
      </c>
    </row>
    <row r="37" spans="1:8" ht="15.75" thickTop="1">
      <c r="A37" s="39"/>
      <c r="B37" s="40"/>
      <c r="C37" s="37"/>
      <c r="E37" s="38"/>
      <c r="H37" s="43"/>
    </row>
    <row r="38" spans="1:8">
      <c r="A38" s="32" t="s">
        <v>8</v>
      </c>
      <c r="B38" s="33">
        <f>8464650+12134</f>
        <v>8476784</v>
      </c>
      <c r="C38" s="37"/>
      <c r="E38" s="38"/>
      <c r="H38" s="43"/>
    </row>
    <row r="39" spans="1:8" ht="15.75" thickBot="1">
      <c r="A39" s="32" t="str">
        <f>A36</f>
        <v>Total OPER Labor</v>
      </c>
      <c r="B39" s="34">
        <f>B36</f>
        <v>98302568</v>
      </c>
      <c r="C39" s="18">
        <f>B38/B39</f>
        <v>8.6199999999999999E-2</v>
      </c>
      <c r="E39" s="35">
        <f>C39*E21</f>
        <v>473471</v>
      </c>
      <c r="H39" s="43">
        <f>C39*$C$20</f>
        <v>4.854E-2</v>
      </c>
    </row>
    <row r="40" spans="1:8" ht="15.75" thickTop="1">
      <c r="A40" s="32"/>
      <c r="B40" s="32"/>
      <c r="G40" s="62"/>
    </row>
    <row r="41" spans="1:8" ht="15.75" thickBot="1">
      <c r="A41" s="32" t="s">
        <v>0</v>
      </c>
      <c r="B41" s="45">
        <f>B38+B35+B32+B29+B26</f>
        <v>98302568</v>
      </c>
      <c r="C41" s="37">
        <f>SUM(C27:C39)</f>
        <v>1</v>
      </c>
      <c r="E41" s="35">
        <f>SUM(E27:E40)</f>
        <v>5492701</v>
      </c>
      <c r="H41" s="43">
        <f>SUM(H27:H39)</f>
        <v>0.56310000000000004</v>
      </c>
    </row>
    <row r="42" spans="1:8" ht="15.75" thickTop="1"/>
  </sheetData>
  <pageMargins left="0.7" right="0.7" top="0.75" bottom="0.75" header="0.3" footer="0.3"/>
  <pageSetup scale="68" orientation="landscape" r:id="rId1"/>
  <headerFooter>
    <oddHeader>&amp;RAdjustment No. 3.05 Pro-Forma Employee Benefits
Workpaper Ref. &amp;A</oddHeader>
    <oddFooter>&amp;L&amp;F&amp;RPrep by:   AMB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workbookViewId="0">
      <selection activeCell="A12" sqref="A12"/>
    </sheetView>
  </sheetViews>
  <sheetFormatPr defaultRowHeight="12.75"/>
  <cols>
    <col min="1" max="1" width="25.33203125" customWidth="1"/>
    <col min="2" max="2" width="32.6640625" customWidth="1"/>
    <col min="3" max="4" width="19.1640625" customWidth="1"/>
    <col min="5" max="5" width="82.5" customWidth="1"/>
  </cols>
  <sheetData>
    <row r="1" spans="1:5" ht="15">
      <c r="A1" s="47" t="s">
        <v>67</v>
      </c>
      <c r="B1" s="48"/>
      <c r="C1" s="48"/>
    </row>
    <row r="2" spans="1:5" ht="15">
      <c r="A2" s="48"/>
      <c r="B2" s="48"/>
      <c r="C2" s="48"/>
    </row>
    <row r="3" spans="1:5" ht="15">
      <c r="A3" s="48" t="s">
        <v>46</v>
      </c>
      <c r="B3" s="48"/>
      <c r="C3" s="48"/>
    </row>
    <row r="4" spans="1:5" ht="15">
      <c r="A4" s="48" t="s">
        <v>47</v>
      </c>
      <c r="B4" s="48"/>
      <c r="C4" s="48"/>
    </row>
    <row r="5" spans="1:5" ht="15">
      <c r="A5" s="48" t="s">
        <v>48</v>
      </c>
      <c r="B5" s="48"/>
      <c r="C5" s="48"/>
    </row>
    <row r="6" spans="1:5" ht="15">
      <c r="A6" s="48"/>
      <c r="B6" s="48"/>
      <c r="C6" s="48"/>
    </row>
    <row r="7" spans="1:5" ht="15">
      <c r="A7" s="49" t="s">
        <v>49</v>
      </c>
      <c r="B7" s="50" t="s">
        <v>50</v>
      </c>
      <c r="C7" s="48"/>
    </row>
    <row r="8" spans="1:5" ht="15">
      <c r="A8" s="49"/>
      <c r="B8" s="50"/>
      <c r="C8" s="48"/>
    </row>
    <row r="9" spans="1:5" ht="15">
      <c r="A9" s="51"/>
      <c r="B9" s="51"/>
      <c r="C9" s="52" t="s">
        <v>51</v>
      </c>
      <c r="D9" s="52" t="s">
        <v>62</v>
      </c>
      <c r="E9" s="52"/>
    </row>
    <row r="10" spans="1:5" ht="45">
      <c r="A10" s="51" t="s">
        <v>20</v>
      </c>
      <c r="B10" s="51" t="s">
        <v>21</v>
      </c>
      <c r="C10" s="52" t="s">
        <v>52</v>
      </c>
      <c r="D10" s="52" t="s">
        <v>52</v>
      </c>
      <c r="E10" s="61" t="s">
        <v>63</v>
      </c>
    </row>
    <row r="11" spans="1:5" ht="15">
      <c r="A11" s="53" t="s">
        <v>22</v>
      </c>
      <c r="B11" s="53" t="s">
        <v>53</v>
      </c>
      <c r="C11" s="54">
        <v>22645974</v>
      </c>
      <c r="D11" s="54">
        <v>25350000</v>
      </c>
      <c r="E11" s="54" t="s">
        <v>64</v>
      </c>
    </row>
    <row r="12" spans="1:5" ht="15">
      <c r="A12" s="55" t="s">
        <v>54</v>
      </c>
      <c r="B12" s="55" t="s">
        <v>55</v>
      </c>
      <c r="C12" s="56">
        <v>1430306</v>
      </c>
      <c r="D12" s="56">
        <v>1500000</v>
      </c>
      <c r="E12" s="54" t="s">
        <v>64</v>
      </c>
    </row>
    <row r="13" spans="1:5" ht="15">
      <c r="A13" s="55" t="s">
        <v>29</v>
      </c>
      <c r="B13" s="55" t="s">
        <v>56</v>
      </c>
      <c r="C13" s="56">
        <v>2868055</v>
      </c>
      <c r="D13" s="56">
        <v>2500000</v>
      </c>
      <c r="E13" s="56" t="s">
        <v>65</v>
      </c>
    </row>
    <row r="14" spans="1:5" ht="15">
      <c r="A14" s="55" t="s">
        <v>57</v>
      </c>
      <c r="B14" s="55" t="s">
        <v>58</v>
      </c>
      <c r="C14" s="57">
        <v>5673659</v>
      </c>
      <c r="D14" s="57">
        <v>6500000</v>
      </c>
      <c r="E14" s="56" t="s">
        <v>65</v>
      </c>
    </row>
    <row r="15" spans="1:5" ht="15">
      <c r="A15" s="55" t="s">
        <v>23</v>
      </c>
      <c r="B15" s="55" t="s">
        <v>24</v>
      </c>
      <c r="C15" s="56">
        <v>9138892</v>
      </c>
      <c r="D15" s="56">
        <v>9800000</v>
      </c>
      <c r="E15" s="56" t="s">
        <v>66</v>
      </c>
    </row>
    <row r="16" spans="1:5" ht="15">
      <c r="A16" s="55" t="s">
        <v>25</v>
      </c>
      <c r="B16" s="55" t="s">
        <v>26</v>
      </c>
      <c r="C16" s="56">
        <v>905072</v>
      </c>
      <c r="D16" s="56">
        <v>1100000</v>
      </c>
      <c r="E16" s="56" t="s">
        <v>66</v>
      </c>
    </row>
    <row r="17" spans="1:5" ht="15">
      <c r="A17" s="55" t="s">
        <v>27</v>
      </c>
      <c r="B17" s="55" t="s">
        <v>28</v>
      </c>
      <c r="C17" s="56">
        <v>21595661</v>
      </c>
      <c r="D17" s="56">
        <v>18877454</v>
      </c>
      <c r="E17" s="56" t="s">
        <v>65</v>
      </c>
    </row>
    <row r="18" spans="1:5" ht="15">
      <c r="A18" s="58" t="s">
        <v>59</v>
      </c>
      <c r="B18" s="58" t="s">
        <v>60</v>
      </c>
      <c r="C18" s="59">
        <v>-984560</v>
      </c>
      <c r="D18" s="59">
        <v>7400000</v>
      </c>
      <c r="E18" s="56" t="s">
        <v>65</v>
      </c>
    </row>
    <row r="19" spans="1:5" ht="15">
      <c r="A19" s="49" t="s">
        <v>61</v>
      </c>
      <c r="B19" s="49"/>
      <c r="C19" s="60">
        <f>SUM(C11:C18)</f>
        <v>63273059</v>
      </c>
      <c r="D19" s="60">
        <f>SUM(D11:D18)</f>
        <v>73027454</v>
      </c>
      <c r="E19" s="60"/>
    </row>
  </sheetData>
  <pageMargins left="0.7" right="0.7" top="0.75" bottom="0.75" header="0.3" footer="0.3"/>
  <pageSetup scale="76" orientation="landscape" r:id="rId1"/>
  <headerFooter>
    <oddHeader>&amp;RAdjustment No. 3.05 Pro-Forma Employee Benefits
Workpaper Ref. &amp;A</oddHeader>
    <oddFooter>&amp;RPrep by:   AMB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31"/>
  <sheetViews>
    <sheetView zoomScaleNormal="100" workbookViewId="0">
      <selection activeCell="B25" sqref="B25"/>
    </sheetView>
  </sheetViews>
  <sheetFormatPr defaultColWidth="9.33203125" defaultRowHeight="15"/>
  <cols>
    <col min="1" max="1" width="45.5" style="17" customWidth="1"/>
    <col min="2" max="2" width="23.1640625" style="17" customWidth="1"/>
    <col min="3" max="3" width="15.6640625" style="17" customWidth="1"/>
    <col min="4" max="4" width="15.5" style="17" customWidth="1"/>
    <col min="5" max="7" width="16.6640625" style="17" customWidth="1"/>
    <col min="8" max="8" width="47.83203125" style="17" bestFit="1" customWidth="1"/>
    <col min="9" max="10" width="9.33203125" style="17"/>
    <col min="11" max="11" width="9.83203125" style="17" bestFit="1" customWidth="1"/>
    <col min="12" max="16384" width="9.33203125" style="17"/>
  </cols>
  <sheetData>
    <row r="1" spans="1:7" ht="25.5" customHeight="1">
      <c r="A1" s="73" t="s">
        <v>45</v>
      </c>
      <c r="B1" s="73"/>
      <c r="C1" s="73"/>
      <c r="D1" s="73"/>
      <c r="E1" s="73"/>
      <c r="F1" s="73"/>
      <c r="G1" s="73"/>
    </row>
    <row r="2" spans="1:7">
      <c r="A2" s="63"/>
      <c r="B2" s="63"/>
      <c r="C2" s="63"/>
    </row>
    <row r="3" spans="1:7">
      <c r="A3" s="1" t="s">
        <v>9</v>
      </c>
      <c r="B3" s="64"/>
      <c r="C3" s="64"/>
      <c r="D3" s="64"/>
      <c r="E3" s="64"/>
      <c r="F3" s="64"/>
      <c r="G3" s="64"/>
    </row>
    <row r="5" spans="1:7">
      <c r="A5" s="3"/>
      <c r="B5" s="4"/>
      <c r="C5" s="74" t="s">
        <v>10</v>
      </c>
      <c r="D5" s="75"/>
      <c r="E5" s="75"/>
      <c r="F5" s="75"/>
      <c r="G5" s="76"/>
    </row>
    <row r="6" spans="1:7">
      <c r="A6" s="9" t="s">
        <v>3</v>
      </c>
      <c r="B6" s="9" t="s">
        <v>16</v>
      </c>
      <c r="C6" s="7" t="s">
        <v>11</v>
      </c>
      <c r="D6" s="7" t="s">
        <v>12</v>
      </c>
      <c r="E6" s="7" t="s">
        <v>13</v>
      </c>
      <c r="F6" s="7" t="s">
        <v>14</v>
      </c>
      <c r="G6" s="8" t="s">
        <v>0</v>
      </c>
    </row>
    <row r="7" spans="1:7">
      <c r="A7" s="2" t="s">
        <v>2</v>
      </c>
      <c r="B7" s="2" t="s">
        <v>17</v>
      </c>
      <c r="C7" s="46">
        <v>19552605</v>
      </c>
      <c r="D7" s="46">
        <v>1201740</v>
      </c>
      <c r="E7" s="46">
        <v>35288718</v>
      </c>
      <c r="F7" s="46">
        <f>6621601.3-485.2</f>
        <v>6621116</v>
      </c>
      <c r="G7" s="5">
        <f>SUM(C7:F7)</f>
        <v>62664179</v>
      </c>
    </row>
    <row r="8" spans="1:7" ht="15.75" thickBot="1">
      <c r="A8" s="10" t="s">
        <v>0</v>
      </c>
      <c r="B8" s="11"/>
      <c r="C8" s="12">
        <f>SUM(C7)</f>
        <v>19552605</v>
      </c>
      <c r="D8" s="12">
        <f t="shared" ref="D8:G8" si="0">SUM(D7)</f>
        <v>1201740</v>
      </c>
      <c r="E8" s="12">
        <f t="shared" si="0"/>
        <v>35288718</v>
      </c>
      <c r="F8" s="12">
        <f t="shared" si="0"/>
        <v>6621116</v>
      </c>
      <c r="G8" s="12">
        <f t="shared" si="0"/>
        <v>62664179</v>
      </c>
    </row>
    <row r="9" spans="1:7" ht="15.75" thickBot="1">
      <c r="A9" s="65"/>
      <c r="B9" s="6" t="s">
        <v>18</v>
      </c>
      <c r="C9" s="14">
        <f>C8/$G$8</f>
        <v>0.312</v>
      </c>
      <c r="D9" s="15">
        <f t="shared" ref="D9:G9" si="1">D8/$G$8</f>
        <v>1.9199999999999998E-2</v>
      </c>
      <c r="E9" s="13">
        <f t="shared" si="1"/>
        <v>0.56310000000000004</v>
      </c>
      <c r="F9" s="16">
        <f t="shared" si="1"/>
        <v>0.1057</v>
      </c>
      <c r="G9" s="14">
        <f t="shared" si="1"/>
        <v>1</v>
      </c>
    </row>
    <row r="11" spans="1:7">
      <c r="A11" s="17" t="s">
        <v>68</v>
      </c>
      <c r="B11" s="17" t="s">
        <v>69</v>
      </c>
    </row>
    <row r="12" spans="1:7">
      <c r="B12" s="17" t="s">
        <v>78</v>
      </c>
    </row>
    <row r="13" spans="1:7">
      <c r="A13" s="17" t="s">
        <v>71</v>
      </c>
      <c r="B13" s="66">
        <v>13665769</v>
      </c>
      <c r="C13" s="69">
        <f>B13/$B$19</f>
        <v>0.28000000000000003</v>
      </c>
      <c r="D13" s="19">
        <f>C13*$D$19</f>
        <v>738527</v>
      </c>
    </row>
    <row r="14" spans="1:7">
      <c r="A14" s="17" t="s">
        <v>72</v>
      </c>
      <c r="B14" s="66">
        <v>3658649</v>
      </c>
      <c r="C14" s="69">
        <f>B14/$B$19</f>
        <v>0.08</v>
      </c>
      <c r="D14" s="19">
        <f t="shared" ref="D14:D18" si="2">C14*$D$19</f>
        <v>211008</v>
      </c>
    </row>
    <row r="15" spans="1:7">
      <c r="A15" s="17" t="s">
        <v>73</v>
      </c>
      <c r="B15" s="66">
        <v>9758330</v>
      </c>
      <c r="C15" s="69">
        <f>B15/$B$19</f>
        <v>0.2</v>
      </c>
      <c r="D15" s="19">
        <f t="shared" si="2"/>
        <v>527519</v>
      </c>
    </row>
    <row r="16" spans="1:7">
      <c r="A16" s="17" t="s">
        <v>74</v>
      </c>
      <c r="B16" s="66">
        <v>5052475</v>
      </c>
      <c r="C16" s="69">
        <f>B16/$B$19</f>
        <v>0.1</v>
      </c>
      <c r="D16" s="19">
        <f t="shared" si="2"/>
        <v>263760</v>
      </c>
    </row>
    <row r="17" spans="1:4">
      <c r="A17" s="17" t="s">
        <v>76</v>
      </c>
      <c r="B17" s="66">
        <v>449996</v>
      </c>
      <c r="C17" s="69">
        <f>B17/$B$19</f>
        <v>0.01</v>
      </c>
      <c r="D17" s="19">
        <f t="shared" si="2"/>
        <v>26376</v>
      </c>
    </row>
    <row r="18" spans="1:4">
      <c r="A18" s="17" t="s">
        <v>75</v>
      </c>
      <c r="B18" s="68">
        <v>15601567</v>
      </c>
      <c r="C18" s="72">
        <v>0.33</v>
      </c>
      <c r="D18" s="70">
        <f t="shared" si="2"/>
        <v>870406</v>
      </c>
    </row>
    <row r="19" spans="1:4">
      <c r="A19" s="17" t="s">
        <v>0</v>
      </c>
      <c r="B19" s="67">
        <f>SUM(B13:B18)</f>
        <v>48186786</v>
      </c>
      <c r="C19" s="71">
        <f>SUM(C13:C18)</f>
        <v>1</v>
      </c>
      <c r="D19" s="19">
        <f>'Pro-Forma 2019 '!E27</f>
        <v>2637595</v>
      </c>
    </row>
    <row r="23" spans="1:4">
      <c r="A23" s="17" t="s">
        <v>68</v>
      </c>
      <c r="B23" s="17" t="s">
        <v>70</v>
      </c>
    </row>
    <row r="24" spans="1:4">
      <c r="B24" s="17" t="s">
        <v>78</v>
      </c>
    </row>
    <row r="25" spans="1:4">
      <c r="A25" s="17" t="s">
        <v>71</v>
      </c>
      <c r="B25" s="66">
        <v>460022</v>
      </c>
      <c r="C25" s="69">
        <f>B25/$B$31</f>
        <v>0.03</v>
      </c>
      <c r="D25" s="19">
        <f>C25*$D$31</f>
        <v>24009</v>
      </c>
    </row>
    <row r="26" spans="1:4">
      <c r="A26" s="17" t="s">
        <v>77</v>
      </c>
      <c r="B26" s="66">
        <v>8225</v>
      </c>
      <c r="C26" s="69">
        <f t="shared" ref="C26:C29" si="3">B26/$B$31</f>
        <v>0</v>
      </c>
      <c r="D26" s="19">
        <f t="shared" ref="D26:D30" si="4">C26*$D$31</f>
        <v>0</v>
      </c>
    </row>
    <row r="27" spans="1:4">
      <c r="A27" s="17" t="s">
        <v>73</v>
      </c>
      <c r="B27" s="66">
        <v>6046822</v>
      </c>
      <c r="C27" s="69">
        <f t="shared" si="3"/>
        <v>0.41</v>
      </c>
      <c r="D27" s="19">
        <f t="shared" si="4"/>
        <v>328117</v>
      </c>
    </row>
    <row r="28" spans="1:4">
      <c r="A28" s="17" t="s">
        <v>74</v>
      </c>
      <c r="B28" s="66">
        <v>3247874</v>
      </c>
      <c r="C28" s="69">
        <f t="shared" si="3"/>
        <v>0.22</v>
      </c>
      <c r="D28" s="19">
        <f t="shared" si="4"/>
        <v>176063</v>
      </c>
    </row>
    <row r="29" spans="1:4">
      <c r="A29" s="17" t="s">
        <v>76</v>
      </c>
      <c r="B29" s="66">
        <v>333930</v>
      </c>
      <c r="C29" s="69">
        <f t="shared" si="3"/>
        <v>0.02</v>
      </c>
      <c r="D29" s="19">
        <f t="shared" si="4"/>
        <v>16006</v>
      </c>
    </row>
    <row r="30" spans="1:4">
      <c r="A30" s="17" t="s">
        <v>75</v>
      </c>
      <c r="B30" s="68">
        <v>4502848</v>
      </c>
      <c r="C30" s="69">
        <v>0.32</v>
      </c>
      <c r="D30" s="70">
        <f t="shared" si="4"/>
        <v>256092</v>
      </c>
    </row>
    <row r="31" spans="1:4">
      <c r="A31" s="17" t="s">
        <v>0</v>
      </c>
      <c r="B31" s="67">
        <f>SUM(B25:B30)</f>
        <v>14599721</v>
      </c>
      <c r="C31" s="71">
        <f>SUM(C25:C30)</f>
        <v>1</v>
      </c>
      <c r="D31" s="19">
        <f>'Pro-Forma 2019 '!E33</f>
        <v>800286</v>
      </c>
    </row>
  </sheetData>
  <mergeCells count="2">
    <mergeCell ref="A1:G1"/>
    <mergeCell ref="C5:G5"/>
  </mergeCells>
  <phoneticPr fontId="4" type="noConversion"/>
  <pageMargins left="0.61" right="0.75" top="1" bottom="1" header="0.5" footer="0.5"/>
  <pageSetup scale="91" orientation="landscape" r:id="rId1"/>
  <headerFooter alignWithMargins="0">
    <oddHeader>&amp;RAdjustment No. 3.05 Pro Forma Employee Benefits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81149D6-3049-4368-8305-1D65F1878EDF}"/>
</file>

<file path=customXml/itemProps2.xml><?xml version="1.0" encoding="utf-8"?>
<ds:datastoreItem xmlns:ds="http://schemas.openxmlformats.org/officeDocument/2006/customXml" ds:itemID="{509B11B5-917E-42AB-82DC-C4A7AF70A5DC}"/>
</file>

<file path=customXml/itemProps3.xml><?xml version="1.0" encoding="utf-8"?>
<ds:datastoreItem xmlns:ds="http://schemas.openxmlformats.org/officeDocument/2006/customXml" ds:itemID="{9F88BE7A-2B82-4C24-990F-8D2E9EE064E6}"/>
</file>

<file path=customXml/itemProps4.xml><?xml version="1.0" encoding="utf-8"?>
<ds:datastoreItem xmlns:ds="http://schemas.openxmlformats.org/officeDocument/2006/customXml" ds:itemID="{81B26458-67FF-4FBA-9C63-8A6DDB4FE5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Pro-Forma 2019 </vt:lpstr>
      <vt:lpstr>Data</vt:lpstr>
      <vt:lpstr>Non-Util Benefit Calc</vt:lpstr>
      <vt:lpstr>'Non-Util Benefit Calc'!Print_Area</vt:lpstr>
      <vt:lpstr>'Pro-Forma 2019 '!Print_Area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PF - 2008 Labor&amp;Benefit.xls</dc:title>
  <dc:creator>tm</dc:creator>
  <cp:lastModifiedBy>annette brandon</cp:lastModifiedBy>
  <cp:lastPrinted>2019-02-19T21:40:34Z</cp:lastPrinted>
  <dcterms:created xsi:type="dcterms:W3CDTF">1998-07-15T16:25:24Z</dcterms:created>
  <dcterms:modified xsi:type="dcterms:W3CDTF">2019-04-19T18:23:58Z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