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185" windowWidth="12120" windowHeight="3735" tabRatio="554" activeTab="0"/>
  </bookViews>
  <sheets>
    <sheet name="WA monthly-04" sheetId="1" r:id="rId1"/>
    <sheet name="WA summary" sheetId="2" r:id="rId2"/>
  </sheets>
  <definedNames>
    <definedName name="_xlnm.Print_Area" localSheetId="0">'WA monthly-04'!$A$1:$W$76</definedName>
    <definedName name="_xlnm.Print_Area" localSheetId="1">'WA summary'!$A$1:$P$52</definedName>
    <definedName name="_xlnm.Print_Titles" localSheetId="0">'WA monthly-04'!$B:$B,'WA monthly-04'!$1:$7</definedName>
    <definedName name="_xlnm.Print_Titles" localSheetId="1">'WA summary'!$1:$5</definedName>
  </definedNames>
  <calcPr fullCalcOnLoad="1" fullPrecision="0"/>
</workbook>
</file>

<file path=xl/comments1.xml><?xml version="1.0" encoding="utf-8"?>
<comments xmlns="http://schemas.openxmlformats.org/spreadsheetml/2006/main">
  <authors>
    <author>Sandee Warne</author>
  </authors>
  <commentList>
    <comment ref="K35" authorId="0">
      <text>
        <r>
          <rPr>
            <b/>
            <sz val="8"/>
            <rFont val="Tahoma"/>
            <family val="0"/>
          </rPr>
          <t>Sandee Warne:</t>
        </r>
        <r>
          <rPr>
            <sz val="8"/>
            <rFont val="Tahoma"/>
            <family val="0"/>
          </rPr>
          <t xml:space="preserve">
includes debit to revenue of $18,068.48. Overstated revenue in Jan--wrong sign
</t>
        </r>
      </text>
    </comment>
  </commentList>
</comments>
</file>

<file path=xl/sharedStrings.xml><?xml version="1.0" encoding="utf-8"?>
<sst xmlns="http://schemas.openxmlformats.org/spreadsheetml/2006/main" count="123" uniqueCount="97">
  <si>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</si>
  <si>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</si>
  <si>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</si>
  <si>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</si>
  <si>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</si>
  <si>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</si>
  <si>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</si>
  <si>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Actual Net Expense</t>
  </si>
  <si>
    <t>Authorized Net Expense</t>
  </si>
  <si>
    <t>Actual - Authorized Net Expense</t>
  </si>
  <si>
    <t>Net Fuel Expense not incl in Acct 547 (1)</t>
  </si>
  <si>
    <t>WA Retail Revenue Adjustment</t>
  </si>
  <si>
    <t>(1) Net cost after resale for fuel not consumed</t>
  </si>
  <si>
    <t>DIFFERENCE</t>
  </si>
  <si>
    <t>Adjusted Actual Net Expense</t>
  </si>
  <si>
    <t>Net Power Cost Increase (Decrease)</t>
  </si>
  <si>
    <t>Potlatch 25 aMW directly assigned to ID</t>
  </si>
  <si>
    <t xml:space="preserve"> AUTHORIZED NET EXPENSE-SYSTEM</t>
  </si>
  <si>
    <t>555 PURCHASED POWER</t>
  </si>
  <si>
    <t>Short-Term Purchases</t>
  </si>
  <si>
    <t>Rocky Reach</t>
  </si>
  <si>
    <t>Wanapum</t>
  </si>
  <si>
    <t>Priest Rapids</t>
  </si>
  <si>
    <t>Wells</t>
  </si>
  <si>
    <t>Deer Lake-IP&amp;L</t>
  </si>
  <si>
    <t>Small Power</t>
  </si>
  <si>
    <t>WPI Amort</t>
  </si>
  <si>
    <t>Spokane-Upriver</t>
  </si>
  <si>
    <t>Non-Mon. Accruals</t>
  </si>
  <si>
    <t>Black Creek Index Purchase</t>
  </si>
  <si>
    <t>Total Account 555</t>
  </si>
  <si>
    <t>501 FUEL-DOLLARS</t>
  </si>
  <si>
    <t>Kettle Falls</t>
  </si>
  <si>
    <t>wood</t>
  </si>
  <si>
    <t>coal</t>
  </si>
  <si>
    <t xml:space="preserve">Colstrip </t>
  </si>
  <si>
    <t>Total Coal &amp; Wood</t>
  </si>
  <si>
    <t>gas</t>
  </si>
  <si>
    <t>oil</t>
  </si>
  <si>
    <t>Total Oil &amp; Gas</t>
  </si>
  <si>
    <t>Total Account 501</t>
  </si>
  <si>
    <t>547 FUEL</t>
  </si>
  <si>
    <t>NE Combustion Turbine Gas/Oil</t>
  </si>
  <si>
    <t>Rathdrum Gas Storage Fee</t>
  </si>
  <si>
    <t>Rathdrum Fuel Exp</t>
  </si>
  <si>
    <t>Total Account 547</t>
  </si>
  <si>
    <t>447 SALES FOR RESALE</t>
  </si>
  <si>
    <t>Short-Term Sales</t>
  </si>
  <si>
    <t>Kaiser Load Following</t>
  </si>
  <si>
    <t>Total Account 447</t>
  </si>
  <si>
    <t>501 FUEL-TONS</t>
  </si>
  <si>
    <t xml:space="preserve"> </t>
  </si>
  <si>
    <t>Colstrip</t>
  </si>
  <si>
    <t>501 FUEL-COST PER TON</t>
  </si>
  <si>
    <t>System Power Supply Expenses</t>
  </si>
  <si>
    <t>WASHINGTON DEFERRED POWER COST CALCULATION</t>
  </si>
  <si>
    <t>$</t>
  </si>
  <si>
    <t>ACTUALS</t>
  </si>
  <si>
    <t>NW Alum DES</t>
  </si>
  <si>
    <r>
      <t>Enron/PGE Cap Fee</t>
    </r>
    <r>
      <rPr>
        <sz val="8"/>
        <rFont val="Arial"/>
        <family val="2"/>
      </rPr>
      <t>, employee svcs</t>
    </r>
  </si>
  <si>
    <t>Adjusted Actual - Authorized Net Exp</t>
  </si>
  <si>
    <t>Nichols Pumping Index Sale</t>
  </si>
  <si>
    <t>Avista Utilities</t>
  </si>
  <si>
    <t>PPLM Wind Power</t>
  </si>
  <si>
    <t xml:space="preserve">Douglas Capacity </t>
  </si>
  <si>
    <t>Boulder Park</t>
  </si>
  <si>
    <t>WPM Ancillary Services</t>
  </si>
  <si>
    <t>Merchant Ancillary Services</t>
  </si>
  <si>
    <t>Kettle Falls CT</t>
  </si>
  <si>
    <t>WASHINGTON POWER COST DEFERRALS</t>
  </si>
  <si>
    <t>Kettle Falls GS</t>
  </si>
  <si>
    <t>Washington Alloc. @ 66.29%</t>
  </si>
  <si>
    <t>100% Net Power Cost Less $9.0 million Company Band</t>
  </si>
  <si>
    <t>90% Net Power Cost Less $9.0 million Company Band</t>
  </si>
  <si>
    <t>WNP-3 (1)</t>
  </si>
  <si>
    <t>Haleywest - Plummer Forest Prod.</t>
  </si>
  <si>
    <t>Potlatch 62 aMW directly assigned to ID</t>
  </si>
  <si>
    <t>Potlatch 62 aMW Purch</t>
  </si>
  <si>
    <t>Mirant Operating Reserves/DES</t>
  </si>
  <si>
    <t>Coyote Springs2</t>
  </si>
  <si>
    <t>PS 10% ACTUALS - 100% in Jan, Feb</t>
  </si>
  <si>
    <t>PS 10% BUDGET-100% in Jan, Feb</t>
  </si>
  <si>
    <t>100% Actual</t>
  </si>
  <si>
    <t xml:space="preserve"> per Settlement Agreement, Cause No. U-86-99</t>
  </si>
  <si>
    <t>TOTAL 2004</t>
  </si>
  <si>
    <t>DUKE #2108 (25 FLAT)-30.50</t>
  </si>
  <si>
    <t>EL PASO #2107 (25 FLAT)</t>
  </si>
  <si>
    <t>Pend Oreille DES</t>
  </si>
  <si>
    <t>Peaker LLC/PGE Cap Sale</t>
  </si>
  <si>
    <t>TOTAL NET EXPENSE</t>
  </si>
  <si>
    <t>WASHINGTON ACTUALS-2004</t>
  </si>
  <si>
    <t>Enron Contract Buyout</t>
  </si>
  <si>
    <t>DUKE&amp; MS #2113/14 (50 FLAT)-28</t>
  </si>
  <si>
    <t>includes 10% plus</t>
  </si>
  <si>
    <t>remainder in filling $9 m deadband</t>
  </si>
  <si>
    <t>JUNE</t>
  </si>
  <si>
    <t>(1) Effective November, 2003, WNP-3 purchase expense has been adjusted to reflect the mid-point price ($33.78/MWh for the 2003-04 contract year).  Effective November 2004, the mid-point price is $34.79/MWh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</si>
</sst>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$&quot;#,##0.0"/>
    <numFmt numFmtId="168" formatCode="#,##0.0"/>
    <numFmt numFmtId="169" formatCode="&quot;$&quot;#,##0.000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/yy"/>
    <numFmt numFmtId="175" formatCode="&quot;$&quot;#,##0.0_);\(&quot;$&quot;#,##0.0\)"/>
    <numFmt numFmtId="176" formatCode="&quot;$&quot;#,##0.0000"/>
    <numFmt numFmtId="177" formatCode="#,##0.0_);[Red]\(#,##0.0\)"/>
    <numFmt numFmtId="178" formatCode="&quot;$&quot;#,##0.0_);[Red]\(&quot;$&quot;#,##0.0\)"/>
    <numFmt numFmtId="179" formatCode="_(* #,##0.000_);_(* \(#,##0.000\);_(* &quot;-&quot;??_);_(@_)"/>
    <numFmt numFmtId="180" formatCode="_(* #,##0.0000_);_(* \(#,##0.0000\);_(* &quot;-&quot;??_);_(@_)"/>
    <numFmt numFmtId="181" formatCode="\(* #,##0\);\(* \(#,##0\);"/>
    <numFmt numFmtId="182" formatCode="#,##0.0_);\(#,##0.0\)"/>
    <numFmt numFmtId="183" formatCode="&quot;$&quot;#,##0.00;[Red]&quot;$&quot;#,##0.00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* #,##0.0_);_(* \(#,##0.0\);_(* &quot;-&quot;?_);_(@_)"/>
    <numFmt numFmtId="187" formatCode="&quot;$&quot;#,##0.0000_);\(&quot;$&quot;#,##0.0000\)"/>
    <numFmt numFmtId="188" formatCode="mmmm\-yy"/>
    <numFmt numFmtId="189" formatCode="0.0%"/>
    <numFmt numFmtId="190" formatCode="#,##0.000"/>
    <numFmt numFmtId="191" formatCode="#,##0.0000"/>
    <numFmt numFmtId="192" formatCode="_(* #,##0_);_(* \(#,##0\);_(* &quot;-&quot;?_);_(@_)"/>
  </numFmts>
  <fonts count="1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Geneva"/>
      <family val="0"/>
    </font>
    <font>
      <sz val="8"/>
      <name val="Arial"/>
      <family val="2"/>
    </font>
    <font>
      <b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17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Border="1" applyAlignment="1">
      <alignment/>
    </xf>
    <xf numFmtId="173" fontId="0" fillId="0" borderId="0" xfId="17" applyNumberFormat="1" applyAlignment="1">
      <alignment/>
    </xf>
    <xf numFmtId="164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173" fontId="0" fillId="0" borderId="1" xfId="17" applyNumberFormat="1" applyBorder="1" applyAlignment="1">
      <alignment/>
    </xf>
    <xf numFmtId="0" fontId="3" fillId="0" borderId="0" xfId="0" applyFont="1" applyAlignment="1">
      <alignment/>
    </xf>
    <xf numFmtId="173" fontId="0" fillId="0" borderId="0" xfId="17" applyNumberFormat="1" applyBorder="1" applyAlignment="1">
      <alignment/>
    </xf>
    <xf numFmtId="170" fontId="0" fillId="0" borderId="0" xfId="15" applyNumberFormat="1" applyAlignment="1">
      <alignment/>
    </xf>
    <xf numFmtId="173" fontId="0" fillId="0" borderId="3" xfId="17" applyNumberFormat="1" applyBorder="1" applyAlignment="1">
      <alignment/>
    </xf>
    <xf numFmtId="173" fontId="0" fillId="0" borderId="4" xfId="17" applyNumberFormat="1" applyBorder="1" applyAlignment="1">
      <alignment/>
    </xf>
    <xf numFmtId="170" fontId="0" fillId="0" borderId="1" xfId="15" applyNumberForma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horizontal="center"/>
    </xf>
    <xf numFmtId="173" fontId="0" fillId="0" borderId="0" xfId="17" applyNumberFormat="1" applyAlignment="1">
      <alignment/>
    </xf>
    <xf numFmtId="173" fontId="0" fillId="0" borderId="0" xfId="17" applyNumberFormat="1" applyBorder="1" applyAlignment="1">
      <alignment/>
    </xf>
    <xf numFmtId="0" fontId="4" fillId="0" borderId="0" xfId="0" applyFont="1" applyAlignment="1">
      <alignment horizontal="left"/>
    </xf>
    <xf numFmtId="170" fontId="0" fillId="0" borderId="0" xfId="15" applyNumberFormat="1" applyBorder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0" fillId="0" borderId="0" xfId="0" applyNumberFormat="1" applyAlignment="1">
      <alignment/>
    </xf>
    <xf numFmtId="17" fontId="2" fillId="0" borderId="1" xfId="0" applyNumberFormat="1" applyFont="1" applyBorder="1" applyAlignment="1">
      <alignment/>
    </xf>
    <xf numFmtId="17" fontId="2" fillId="0" borderId="1" xfId="0" applyNumberFormat="1" applyFont="1" applyBorder="1" applyAlignment="1">
      <alignment horizontal="center"/>
    </xf>
    <xf numFmtId="3" fontId="0" fillId="0" borderId="0" xfId="15" applyNumberFormat="1" applyFont="1" applyAlignment="1" applyProtection="1">
      <alignment/>
      <protection locked="0"/>
    </xf>
    <xf numFmtId="3" fontId="0" fillId="0" borderId="6" xfId="0" applyNumberFormat="1" applyBorder="1" applyAlignment="1">
      <alignment horizontal="right"/>
    </xf>
    <xf numFmtId="170" fontId="0" fillId="0" borderId="6" xfId="15" applyNumberFormat="1" applyBorder="1" applyAlignment="1">
      <alignment horizontal="right"/>
    </xf>
    <xf numFmtId="170" fontId="0" fillId="0" borderId="0" xfId="15" applyNumberFormat="1" applyBorder="1" applyAlignment="1">
      <alignment horizontal="right"/>
    </xf>
    <xf numFmtId="170" fontId="0" fillId="0" borderId="0" xfId="15" applyNumberFormat="1" applyFont="1" applyAlignment="1">
      <alignment/>
    </xf>
    <xf numFmtId="170" fontId="0" fillId="0" borderId="1" xfId="0" applyNumberFormat="1" applyBorder="1" applyAlignment="1">
      <alignment/>
    </xf>
    <xf numFmtId="44" fontId="0" fillId="0" borderId="0" xfId="17" applyAlignment="1">
      <alignment/>
    </xf>
    <xf numFmtId="3" fontId="5" fillId="0" borderId="7" xfId="0" applyNumberFormat="1" applyFont="1" applyBorder="1" applyAlignment="1">
      <alignment horizontal="right"/>
    </xf>
    <xf numFmtId="170" fontId="5" fillId="0" borderId="7" xfId="15" applyNumberFormat="1" applyFont="1" applyBorder="1" applyAlignment="1">
      <alignment horizontal="right"/>
    </xf>
    <xf numFmtId="173" fontId="0" fillId="0" borderId="2" xfId="17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1" xfId="0" applyNumberFormat="1" applyBorder="1" applyAlignment="1">
      <alignment/>
    </xf>
    <xf numFmtId="5" fontId="0" fillId="0" borderId="8" xfId="0" applyNumberFormat="1" applyBorder="1" applyAlignment="1">
      <alignment/>
    </xf>
    <xf numFmtId="5" fontId="0" fillId="0" borderId="3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5" fontId="0" fillId="0" borderId="0" xfId="0" applyNumberFormat="1" applyAlignment="1">
      <alignment/>
    </xf>
    <xf numFmtId="3" fontId="0" fillId="0" borderId="0" xfId="15" applyNumberFormat="1" applyFont="1" applyFill="1" applyBorder="1" applyAlignment="1">
      <alignment/>
    </xf>
    <xf numFmtId="170" fontId="0" fillId="0" borderId="1" xfId="15" applyNumberFormat="1" applyFont="1" applyBorder="1" applyAlignment="1">
      <alignment/>
    </xf>
    <xf numFmtId="38" fontId="0" fillId="0" borderId="0" xfId="17" applyNumberFormat="1" applyBorder="1" applyAlignment="1">
      <alignment/>
    </xf>
    <xf numFmtId="38" fontId="0" fillId="0" borderId="0" xfId="0" applyNumberFormat="1" applyBorder="1" applyAlignment="1">
      <alignment/>
    </xf>
    <xf numFmtId="173" fontId="0" fillId="0" borderId="0" xfId="17" applyNumberFormat="1" applyBorder="1" applyAlignment="1">
      <alignment horizontal="center"/>
    </xf>
    <xf numFmtId="173" fontId="0" fillId="0" borderId="1" xfId="17" applyNumberFormat="1" applyBorder="1" applyAlignment="1">
      <alignment horizontal="center"/>
    </xf>
    <xf numFmtId="170" fontId="0" fillId="0" borderId="0" xfId="15" applyNumberFormat="1" applyAlignment="1">
      <alignment/>
    </xf>
    <xf numFmtId="170" fontId="0" fillId="0" borderId="0" xfId="15" applyNumberFormat="1" applyFont="1" applyAlignment="1" applyProtection="1">
      <alignment/>
      <protection locked="0"/>
    </xf>
    <xf numFmtId="170" fontId="0" fillId="0" borderId="0" xfId="15" applyNumberFormat="1" applyFont="1" applyBorder="1" applyAlignment="1" applyProtection="1">
      <alignment/>
      <protection locked="0"/>
    </xf>
    <xf numFmtId="3" fontId="0" fillId="0" borderId="0" xfId="15" applyNumberFormat="1" applyFont="1" applyAlignment="1">
      <alignment/>
    </xf>
    <xf numFmtId="173" fontId="7" fillId="0" borderId="0" xfId="17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7" applyNumberFormat="1" applyFont="1" applyAlignment="1">
      <alignment/>
    </xf>
    <xf numFmtId="173" fontId="0" fillId="0" borderId="0" xfId="17" applyNumberFormat="1" applyFont="1" applyBorder="1" applyAlignment="1">
      <alignment/>
    </xf>
    <xf numFmtId="6" fontId="0" fillId="0" borderId="0" xfId="0" applyNumberFormat="1" applyBorder="1" applyAlignment="1">
      <alignment/>
    </xf>
    <xf numFmtId="170" fontId="0" fillId="0" borderId="0" xfId="15" applyNumberFormat="1" applyBorder="1" applyAlignment="1">
      <alignment horizontal="center"/>
    </xf>
    <xf numFmtId="17" fontId="2" fillId="0" borderId="0" xfId="0" applyNumberFormat="1" applyFont="1" applyBorder="1" applyAlignment="1">
      <alignment/>
    </xf>
    <xf numFmtId="44" fontId="0" fillId="0" borderId="0" xfId="17" applyBorder="1" applyAlignment="1">
      <alignment/>
    </xf>
    <xf numFmtId="170" fontId="5" fillId="0" borderId="0" xfId="15" applyNumberFormat="1" applyFont="1" applyBorder="1" applyAlignment="1">
      <alignment horizontal="right"/>
    </xf>
    <xf numFmtId="170" fontId="0" fillId="0" borderId="0" xfId="15" applyNumberFormat="1" applyAlignment="1">
      <alignment horizontal="left"/>
    </xf>
    <xf numFmtId="9" fontId="8" fillId="0" borderId="0" xfId="0" applyNumberFormat="1" applyFont="1" applyAlignment="1">
      <alignment/>
    </xf>
    <xf numFmtId="3" fontId="0" fillId="0" borderId="0" xfId="15" applyNumberFormat="1" applyAlignment="1">
      <alignment/>
    </xf>
    <xf numFmtId="0" fontId="0" fillId="0" borderId="0" xfId="0" applyFont="1" applyAlignment="1">
      <alignment/>
    </xf>
    <xf numFmtId="3" fontId="0" fillId="0" borderId="0" xfId="15" applyNumberFormat="1" applyFont="1" applyBorder="1" applyAlignment="1" applyProtection="1">
      <alignment/>
      <protection locked="0"/>
    </xf>
    <xf numFmtId="3" fontId="0" fillId="0" borderId="1" xfId="15" applyNumberFormat="1" applyBorder="1" applyAlignment="1">
      <alignment/>
    </xf>
    <xf numFmtId="5" fontId="0" fillId="0" borderId="0" xfId="0" applyNumberFormat="1" applyAlignment="1">
      <alignment horizontal="center"/>
    </xf>
    <xf numFmtId="9" fontId="10" fillId="0" borderId="0" xfId="0" applyNumberFormat="1" applyFont="1" applyAlignment="1">
      <alignment horizontal="center"/>
    </xf>
    <xf numFmtId="37" fontId="0" fillId="0" borderId="0" xfId="15" applyNumberFormat="1" applyFont="1" applyAlignment="1" applyProtection="1">
      <alignment/>
      <protection locked="0"/>
    </xf>
    <xf numFmtId="0" fontId="7" fillId="0" borderId="0" xfId="0" applyFont="1" applyBorder="1" applyAlignment="1">
      <alignment/>
    </xf>
    <xf numFmtId="5" fontId="7" fillId="0" borderId="0" xfId="0" applyNumberFormat="1" applyFont="1" applyBorder="1" applyAlignment="1">
      <alignment/>
    </xf>
    <xf numFmtId="173" fontId="7" fillId="0" borderId="3" xfId="17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170" fontId="0" fillId="0" borderId="0" xfId="15" applyNumberFormat="1" applyAlignment="1">
      <alignment horizontal="center"/>
    </xf>
    <xf numFmtId="173" fontId="0" fillId="0" borderId="0" xfId="17" applyNumberFormat="1" applyAlignment="1">
      <alignment horizontal="center"/>
    </xf>
    <xf numFmtId="173" fontId="0" fillId="0" borderId="0" xfId="0" applyNumberFormat="1" applyAlignment="1">
      <alignment horizontal="center"/>
    </xf>
    <xf numFmtId="170" fontId="0" fillId="0" borderId="0" xfId="15" applyNumberFormat="1" applyFont="1" applyBorder="1" applyAlignment="1">
      <alignment/>
    </xf>
    <xf numFmtId="173" fontId="0" fillId="0" borderId="8" xfId="17" applyNumberFormat="1" applyBorder="1" applyAlignment="1">
      <alignment/>
    </xf>
    <xf numFmtId="0" fontId="0" fillId="0" borderId="0" xfId="0" applyFont="1" applyBorder="1" applyAlignment="1">
      <alignment/>
    </xf>
    <xf numFmtId="5" fontId="7" fillId="0" borderId="3" xfId="0" applyNumberFormat="1" applyFont="1" applyBorder="1" applyAlignment="1">
      <alignment/>
    </xf>
    <xf numFmtId="170" fontId="0" fillId="0" borderId="6" xfId="15" applyNumberFormat="1" applyBorder="1" applyAlignment="1">
      <alignment/>
    </xf>
    <xf numFmtId="0" fontId="11" fillId="0" borderId="0" xfId="0" applyFont="1" applyAlignment="1">
      <alignment/>
    </xf>
    <xf numFmtId="5" fontId="11" fillId="0" borderId="3" xfId="0" applyNumberFormat="1" applyFont="1" applyBorder="1" applyAlignment="1">
      <alignment/>
    </xf>
    <xf numFmtId="5" fontId="11" fillId="0" borderId="0" xfId="0" applyNumberFormat="1" applyFont="1" applyAlignment="1">
      <alignment/>
    </xf>
    <xf numFmtId="173" fontId="0" fillId="0" borderId="9" xfId="0" applyNumberFormat="1" applyBorder="1" applyAlignment="1">
      <alignment/>
    </xf>
    <xf numFmtId="3" fontId="0" fillId="0" borderId="1" xfId="15" applyNumberFormat="1" applyFont="1" applyBorder="1" applyAlignment="1">
      <alignment/>
    </xf>
    <xf numFmtId="3" fontId="0" fillId="0" borderId="0" xfId="15" applyNumberFormat="1" applyFont="1" applyAlignment="1">
      <alignment/>
    </xf>
    <xf numFmtId="170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0" fillId="0" borderId="0" xfId="15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8"/>
  <sheetViews>
    <sheetView tabSelected="1" workbookViewId="0" topLeftCell="A7">
      <pane ySplit="525" topLeftCell="BM1" activePane="bottomLeft" state="split"/>
      <selection pane="topLeft" activeCell="A7" sqref="A7"/>
      <selection pane="bottomLeft" activeCell="B5" sqref="B5"/>
    </sheetView>
  </sheetViews>
  <sheetFormatPr defaultColWidth="9.140625" defaultRowHeight="12.75"/>
  <cols>
    <col min="1" max="1" width="5.28125" style="24" customWidth="1"/>
    <col min="2" max="2" width="24.28125" style="0" customWidth="1"/>
    <col min="3" max="3" width="5.140625" style="0" customWidth="1"/>
    <col min="4" max="9" width="13.421875" style="0" hidden="1" customWidth="1"/>
    <col min="10" max="10" width="11.8515625" style="0" customWidth="1"/>
    <col min="11" max="11" width="11.57421875" style="0" customWidth="1"/>
    <col min="12" max="12" width="11.421875" style="0" customWidth="1"/>
    <col min="13" max="13" width="11.00390625" style="20" customWidth="1"/>
    <col min="14" max="14" width="11.57421875" style="0" customWidth="1"/>
    <col min="15" max="15" width="11.57421875" style="20" customWidth="1"/>
    <col min="16" max="16" width="11.28125" style="0" customWidth="1"/>
    <col min="17" max="17" width="12.140625" style="0" customWidth="1"/>
    <col min="18" max="18" width="11.421875" style="20" customWidth="1"/>
    <col min="19" max="19" width="11.140625" style="0" customWidth="1"/>
    <col min="20" max="20" width="11.28125" style="0" customWidth="1"/>
    <col min="21" max="21" width="11.57421875" style="0" customWidth="1"/>
    <col min="22" max="22" width="2.00390625" style="5" customWidth="1"/>
    <col min="23" max="23" width="12.00390625" style="0" customWidth="1"/>
    <col min="24" max="16384" width="11.421875" style="0" customWidth="1"/>
  </cols>
  <sheetData>
    <row r="1" spans="1:15" ht="12.75">
      <c r="A1" s="37"/>
      <c r="B1" s="37"/>
      <c r="O1" s="46" t="s">
        <v>62</v>
      </c>
    </row>
    <row r="2" spans="1:15" ht="12.75">
      <c r="A2" s="37"/>
      <c r="B2" s="37"/>
      <c r="O2" s="46" t="s">
        <v>54</v>
      </c>
    </row>
    <row r="3" spans="1:15" ht="12.75">
      <c r="A3" s="38"/>
      <c r="B3" s="37"/>
      <c r="O3" s="46" t="s">
        <v>55</v>
      </c>
    </row>
    <row r="4" spans="1:15" ht="12" customHeight="1">
      <c r="A4" s="38"/>
      <c r="B4" s="37"/>
      <c r="O4" s="46" t="s">
        <v>56</v>
      </c>
    </row>
    <row r="5" spans="1:15" ht="15" customHeight="1">
      <c r="A5" s="1"/>
      <c r="O5" s="26" t="s">
        <v>57</v>
      </c>
    </row>
    <row r="6" spans="1:11" ht="12.75">
      <c r="A6" s="1" t="s">
        <v>0</v>
      </c>
      <c r="K6" s="8"/>
    </row>
    <row r="7" spans="1:23" ht="12.75">
      <c r="A7" s="47" t="s">
        <v>1</v>
      </c>
      <c r="D7" s="48">
        <v>36708</v>
      </c>
      <c r="E7" s="48">
        <v>36739</v>
      </c>
      <c r="F7" s="48">
        <v>36770</v>
      </c>
      <c r="G7" s="48">
        <v>36800</v>
      </c>
      <c r="H7" s="48">
        <v>36831</v>
      </c>
      <c r="I7" s="48">
        <v>36861</v>
      </c>
      <c r="J7" s="49">
        <v>37987</v>
      </c>
      <c r="K7" s="49">
        <v>38018</v>
      </c>
      <c r="L7" s="49">
        <v>38047</v>
      </c>
      <c r="M7" s="49">
        <v>38078</v>
      </c>
      <c r="N7" s="49">
        <v>38108</v>
      </c>
      <c r="O7" s="49">
        <v>38139</v>
      </c>
      <c r="P7" s="49">
        <v>38169</v>
      </c>
      <c r="Q7" s="49">
        <v>38200</v>
      </c>
      <c r="R7" s="49">
        <v>38231</v>
      </c>
      <c r="S7" s="49">
        <v>38261</v>
      </c>
      <c r="T7" s="49">
        <v>38292</v>
      </c>
      <c r="U7" s="49">
        <v>38322</v>
      </c>
      <c r="V7" s="87"/>
      <c r="W7" s="50" t="s">
        <v>84</v>
      </c>
    </row>
    <row r="8" spans="1:2" ht="12.75">
      <c r="A8" s="1"/>
      <c r="B8" s="39" t="s">
        <v>18</v>
      </c>
    </row>
    <row r="9" spans="1:23" ht="12.75">
      <c r="A9" s="1">
        <f aca="true" t="shared" si="0" ref="A9:A29">A8+1</f>
        <v>1</v>
      </c>
      <c r="B9" t="s">
        <v>19</v>
      </c>
      <c r="D9" s="40">
        <f>33255611+4053588</f>
        <v>37309199</v>
      </c>
      <c r="E9" s="40">
        <f>61894938+5594245</f>
        <v>67489183</v>
      </c>
      <c r="F9" s="40">
        <f>36858705+6367855</f>
        <v>43226560</v>
      </c>
      <c r="G9" s="40">
        <f>20340253+6615823</f>
        <v>26956076</v>
      </c>
      <c r="H9" s="40">
        <f>29495297+12458152</f>
        <v>41953449</v>
      </c>
      <c r="I9" s="20">
        <v>77631975</v>
      </c>
      <c r="J9" s="80">
        <v>12948293</v>
      </c>
      <c r="K9" s="80">
        <v>6949837</v>
      </c>
      <c r="L9" s="20">
        <v>3439618</v>
      </c>
      <c r="M9" s="20">
        <v>4271101</v>
      </c>
      <c r="N9" s="20">
        <v>6150289</v>
      </c>
      <c r="O9" s="80">
        <v>6788003</v>
      </c>
      <c r="P9" s="80">
        <v>13472671</v>
      </c>
      <c r="Q9" s="20">
        <v>14099076</v>
      </c>
      <c r="R9" s="80">
        <v>7729761</v>
      </c>
      <c r="S9" s="20">
        <v>6497872</v>
      </c>
      <c r="T9" s="20">
        <v>6362215</v>
      </c>
      <c r="U9" s="20">
        <v>7280926</v>
      </c>
      <c r="V9" s="34"/>
      <c r="W9" s="35">
        <f aca="true" t="shared" si="1" ref="W9:W28">SUM(J9:U9)</f>
        <v>95989662</v>
      </c>
    </row>
    <row r="10" spans="1:23" ht="12.75">
      <c r="A10" s="1">
        <f>A9+1</f>
        <v>2</v>
      </c>
      <c r="B10" t="s">
        <v>22</v>
      </c>
      <c r="D10" s="40">
        <v>149364</v>
      </c>
      <c r="E10" s="40">
        <v>149364</v>
      </c>
      <c r="F10" s="40">
        <v>149364</v>
      </c>
      <c r="G10" s="40">
        <v>149364</v>
      </c>
      <c r="H10" s="40">
        <v>149364</v>
      </c>
      <c r="I10" s="20">
        <v>149364</v>
      </c>
      <c r="J10" s="51">
        <v>158509</v>
      </c>
      <c r="K10" s="51">
        <v>158509</v>
      </c>
      <c r="L10" s="20">
        <v>158509</v>
      </c>
      <c r="M10" s="20">
        <v>158509</v>
      </c>
      <c r="N10" s="20">
        <v>158509</v>
      </c>
      <c r="O10" s="51">
        <v>124561</v>
      </c>
      <c r="P10" s="51">
        <v>158509</v>
      </c>
      <c r="Q10" s="51">
        <v>158509</v>
      </c>
      <c r="R10" s="51">
        <v>158509</v>
      </c>
      <c r="S10" s="20">
        <v>158509</v>
      </c>
      <c r="T10" s="20">
        <v>158509</v>
      </c>
      <c r="U10" s="20">
        <v>158509</v>
      </c>
      <c r="V10" s="34"/>
      <c r="W10" s="35">
        <f>SUM(J10:U10)</f>
        <v>1868160</v>
      </c>
    </row>
    <row r="11" spans="1:23" ht="12.75">
      <c r="A11" s="1">
        <f>A9+1</f>
        <v>2</v>
      </c>
      <c r="B11" t="s">
        <v>20</v>
      </c>
      <c r="D11" s="40">
        <v>156406</v>
      </c>
      <c r="E11" s="40">
        <v>86103</v>
      </c>
      <c r="F11" s="40">
        <v>89172</v>
      </c>
      <c r="G11" s="40">
        <v>83210</v>
      </c>
      <c r="H11" s="40">
        <v>73781</v>
      </c>
      <c r="I11" s="20">
        <v>260544</v>
      </c>
      <c r="J11" s="51">
        <v>102015</v>
      </c>
      <c r="K11" s="51">
        <v>71340</v>
      </c>
      <c r="L11" s="20">
        <v>71339</v>
      </c>
      <c r="M11" s="51">
        <v>118916</v>
      </c>
      <c r="N11" s="20">
        <v>137141</v>
      </c>
      <c r="O11" s="51">
        <v>428310</v>
      </c>
      <c r="P11" s="51">
        <v>104541</v>
      </c>
      <c r="Q11" s="51">
        <v>127993</v>
      </c>
      <c r="R11" s="51">
        <v>75499</v>
      </c>
      <c r="S11" s="51">
        <v>101539</v>
      </c>
      <c r="T11" s="51">
        <v>114906</v>
      </c>
      <c r="U11" s="20">
        <v>394059.76</v>
      </c>
      <c r="V11" s="34"/>
      <c r="W11" s="35">
        <f t="shared" si="1"/>
        <v>1847599</v>
      </c>
    </row>
    <row r="12" spans="1:23" ht="12.75">
      <c r="A12" s="1">
        <f t="shared" si="0"/>
        <v>3</v>
      </c>
      <c r="B12" t="s">
        <v>21</v>
      </c>
      <c r="D12" s="40">
        <v>233905</v>
      </c>
      <c r="E12" s="40">
        <v>233905</v>
      </c>
      <c r="F12" s="40">
        <v>233905</v>
      </c>
      <c r="G12" s="40">
        <v>233905</v>
      </c>
      <c r="H12" s="40">
        <v>233905</v>
      </c>
      <c r="I12" s="20">
        <v>233905</v>
      </c>
      <c r="J12" s="51">
        <v>208697</v>
      </c>
      <c r="K12" s="51">
        <v>208697</v>
      </c>
      <c r="L12" s="20">
        <v>208697</v>
      </c>
      <c r="M12" s="20">
        <v>208697</v>
      </c>
      <c r="N12" s="20">
        <v>208697</v>
      </c>
      <c r="O12" s="51">
        <v>226570</v>
      </c>
      <c r="P12" s="51">
        <v>208697</v>
      </c>
      <c r="Q12" s="51">
        <v>208697</v>
      </c>
      <c r="R12" s="51">
        <v>208697</v>
      </c>
      <c r="S12" s="51">
        <v>208697</v>
      </c>
      <c r="T12" s="51">
        <v>208697</v>
      </c>
      <c r="U12" s="51">
        <v>208697</v>
      </c>
      <c r="V12" s="34"/>
      <c r="W12" s="35">
        <f t="shared" si="1"/>
        <v>2522237</v>
      </c>
    </row>
    <row r="13" spans="1:23" ht="12.75">
      <c r="A13" s="1">
        <f t="shared" si="0"/>
        <v>4</v>
      </c>
      <c r="B13" t="s">
        <v>23</v>
      </c>
      <c r="D13" s="40">
        <v>94274</v>
      </c>
      <c r="E13" s="40">
        <v>94274</v>
      </c>
      <c r="F13" s="40">
        <v>95441</v>
      </c>
      <c r="G13" s="40">
        <v>95441</v>
      </c>
      <c r="H13" s="40">
        <v>1359</v>
      </c>
      <c r="I13" s="20">
        <v>95441</v>
      </c>
      <c r="J13" s="51">
        <v>99817</v>
      </c>
      <c r="K13" s="51">
        <v>99817</v>
      </c>
      <c r="L13" s="20">
        <v>99817</v>
      </c>
      <c r="M13" s="20">
        <v>99817</v>
      </c>
      <c r="N13" s="20">
        <v>99817</v>
      </c>
      <c r="O13" s="51">
        <v>99817</v>
      </c>
      <c r="P13" s="51">
        <v>99817</v>
      </c>
      <c r="Q13" s="51">
        <v>99817</v>
      </c>
      <c r="R13" s="51">
        <v>98106</v>
      </c>
      <c r="S13" s="51">
        <v>98106</v>
      </c>
      <c r="T13" s="20">
        <v>98106</v>
      </c>
      <c r="U13" s="20">
        <v>-13861</v>
      </c>
      <c r="V13" s="34"/>
      <c r="W13" s="35">
        <f t="shared" si="1"/>
        <v>1078993</v>
      </c>
    </row>
    <row r="14" spans="1:23" ht="12.75">
      <c r="A14" s="1">
        <f t="shared" si="0"/>
        <v>5</v>
      </c>
      <c r="B14" t="s">
        <v>29</v>
      </c>
      <c r="D14" s="40">
        <v>0</v>
      </c>
      <c r="E14" s="40">
        <v>1466548</v>
      </c>
      <c r="F14" s="40">
        <v>-83699</v>
      </c>
      <c r="G14" s="40">
        <v>0</v>
      </c>
      <c r="H14" s="40">
        <v>0</v>
      </c>
      <c r="I14" s="40">
        <v>0</v>
      </c>
      <c r="J14" s="20">
        <v>0</v>
      </c>
      <c r="K14" s="51">
        <v>0</v>
      </c>
      <c r="L14" s="20">
        <v>0</v>
      </c>
      <c r="N14" s="20"/>
      <c r="P14" s="20"/>
      <c r="Q14" s="51">
        <v>217530</v>
      </c>
      <c r="R14" s="51">
        <v>-110</v>
      </c>
      <c r="S14" s="20">
        <v>0</v>
      </c>
      <c r="T14" s="20"/>
      <c r="U14" s="20"/>
      <c r="V14" s="34"/>
      <c r="W14" s="35">
        <f t="shared" si="1"/>
        <v>217420</v>
      </c>
    </row>
    <row r="15" spans="1:23" ht="12.75">
      <c r="A15" s="1">
        <f t="shared" si="0"/>
        <v>6</v>
      </c>
      <c r="B15" t="s">
        <v>24</v>
      </c>
      <c r="D15" s="40">
        <v>315</v>
      </c>
      <c r="E15" s="40">
        <v>410</v>
      </c>
      <c r="F15" s="40">
        <v>410</v>
      </c>
      <c r="G15" s="40">
        <v>298</v>
      </c>
      <c r="H15" s="40">
        <v>195</v>
      </c>
      <c r="I15" s="20">
        <v>246</v>
      </c>
      <c r="J15" s="51">
        <v>247</v>
      </c>
      <c r="K15" s="51">
        <v>355</v>
      </c>
      <c r="L15" s="20">
        <v>331</v>
      </c>
      <c r="M15" s="51">
        <v>319</v>
      </c>
      <c r="N15" s="20">
        <v>283</v>
      </c>
      <c r="O15" s="51">
        <v>304</v>
      </c>
      <c r="P15" s="51">
        <v>352</v>
      </c>
      <c r="Q15" s="51">
        <v>424</v>
      </c>
      <c r="R15" s="51">
        <v>415</v>
      </c>
      <c r="S15" s="20">
        <v>409</v>
      </c>
      <c r="T15" s="20">
        <v>313</v>
      </c>
      <c r="U15" s="120">
        <v>358.14</v>
      </c>
      <c r="W15" s="35">
        <f t="shared" si="1"/>
        <v>4110</v>
      </c>
    </row>
    <row r="16" spans="1:23" ht="12.75">
      <c r="A16" s="1">
        <f t="shared" si="0"/>
        <v>7</v>
      </c>
      <c r="B16" t="s">
        <v>25</v>
      </c>
      <c r="D16" s="40">
        <f>128696+19586</f>
        <v>148282</v>
      </c>
      <c r="E16" s="40">
        <f>97445+12574</f>
        <v>110019</v>
      </c>
      <c r="F16" s="40">
        <f>65863+12932</f>
        <v>78795</v>
      </c>
      <c r="G16" s="40">
        <f>65475+17960</f>
        <v>83435</v>
      </c>
      <c r="H16" s="40">
        <f>80433+18345</f>
        <v>98778</v>
      </c>
      <c r="I16" s="20">
        <f>17849.59+269057.62</f>
        <v>286907</v>
      </c>
      <c r="J16" s="51">
        <v>83862</v>
      </c>
      <c r="K16" s="51">
        <f>33243.25+4183.38+26744.99+5004.94+59381.28</f>
        <v>128558</v>
      </c>
      <c r="L16" s="20">
        <v>117527</v>
      </c>
      <c r="M16" s="20">
        <v>117472</v>
      </c>
      <c r="N16" s="20">
        <v>122993</v>
      </c>
      <c r="O16" s="51">
        <f>5031.59+13026.56+90.77+56093.4+14116.75+20921.32+2820.45</f>
        <v>112101</v>
      </c>
      <c r="P16" s="51">
        <f>52711.67+1549.19+10337.47+13323.18+9660.73</f>
        <v>87582</v>
      </c>
      <c r="Q16" s="51">
        <f>8733.92+31161.96+5658.26+4350.86</f>
        <v>49905</v>
      </c>
      <c r="R16" s="51">
        <f>8564.06+27665.67+4379.93+9867.39</f>
        <v>50477</v>
      </c>
      <c r="S16" s="20">
        <v>52729</v>
      </c>
      <c r="T16" s="20">
        <v>92017</v>
      </c>
      <c r="U16" s="51">
        <v>121306</v>
      </c>
      <c r="V16" s="34"/>
      <c r="W16" s="35">
        <f t="shared" si="1"/>
        <v>1136529</v>
      </c>
    </row>
    <row r="17" spans="1:23" ht="12.75">
      <c r="A17" s="1">
        <f t="shared" si="0"/>
        <v>8</v>
      </c>
      <c r="B17" t="s">
        <v>27</v>
      </c>
      <c r="D17" s="40">
        <v>-38815</v>
      </c>
      <c r="E17" s="40">
        <v>-199386</v>
      </c>
      <c r="F17" s="40">
        <v>-122587</v>
      </c>
      <c r="G17" s="40">
        <v>144747</v>
      </c>
      <c r="H17" s="40">
        <v>60149</v>
      </c>
      <c r="I17" s="20">
        <v>126641</v>
      </c>
      <c r="J17" s="51">
        <v>91386</v>
      </c>
      <c r="K17" s="51">
        <v>307960</v>
      </c>
      <c r="L17" s="20">
        <v>490688</v>
      </c>
      <c r="M17" s="20">
        <v>390223</v>
      </c>
      <c r="N17" s="20">
        <v>428258</v>
      </c>
      <c r="O17" s="51">
        <v>216181</v>
      </c>
      <c r="P17" s="51">
        <v>-4984</v>
      </c>
      <c r="Q17" s="20">
        <v>0</v>
      </c>
      <c r="R17" s="117">
        <v>38553</v>
      </c>
      <c r="S17" s="20">
        <v>158564</v>
      </c>
      <c r="T17" s="20">
        <v>228284.28</v>
      </c>
      <c r="U17" s="20">
        <v>373835.84</v>
      </c>
      <c r="V17" s="34"/>
      <c r="W17" s="35">
        <f t="shared" si="1"/>
        <v>2718949</v>
      </c>
    </row>
    <row r="18" spans="1:23" ht="12.75">
      <c r="A18" s="1">
        <f t="shared" si="0"/>
        <v>9</v>
      </c>
      <c r="B18" t="s">
        <v>74</v>
      </c>
      <c r="D18" s="40">
        <v>0</v>
      </c>
      <c r="E18" s="40">
        <v>0</v>
      </c>
      <c r="F18" s="40">
        <v>0</v>
      </c>
      <c r="G18" s="40">
        <v>0</v>
      </c>
      <c r="H18" s="40">
        <v>2108064</v>
      </c>
      <c r="I18" s="20">
        <v>2177994</v>
      </c>
      <c r="J18" s="20">
        <f>75235*33.78</f>
        <v>2541438</v>
      </c>
      <c r="K18" s="51">
        <f>33.78*67982</f>
        <v>2296432</v>
      </c>
      <c r="L18" s="51">
        <f>33.78*37143</f>
        <v>1254691</v>
      </c>
      <c r="M18" s="51">
        <f>33.78*35974</f>
        <v>1215202</v>
      </c>
      <c r="N18" s="20">
        <v>0</v>
      </c>
      <c r="O18" s="20">
        <v>0</v>
      </c>
      <c r="P18" s="20"/>
      <c r="Q18" s="20"/>
      <c r="R18" s="51">
        <v>0</v>
      </c>
      <c r="S18" s="20">
        <v>0</v>
      </c>
      <c r="T18" s="20">
        <f>34.79*82380</f>
        <v>2866000</v>
      </c>
      <c r="U18" s="20">
        <f>2280320+680920</f>
        <v>2961240</v>
      </c>
      <c r="V18" s="90"/>
      <c r="W18" s="35">
        <f t="shared" si="1"/>
        <v>13135003</v>
      </c>
    </row>
    <row r="19" spans="1:23" ht="12.75">
      <c r="A19" s="1">
        <f t="shared" si="0"/>
        <v>10</v>
      </c>
      <c r="B19" t="s">
        <v>26</v>
      </c>
      <c r="D19" s="40">
        <v>98959</v>
      </c>
      <c r="E19" s="40">
        <v>98959</v>
      </c>
      <c r="F19" s="40">
        <v>98959</v>
      </c>
      <c r="G19" s="40">
        <v>32666</v>
      </c>
      <c r="H19" s="40">
        <v>32666</v>
      </c>
      <c r="I19" s="20"/>
      <c r="J19" s="92"/>
      <c r="L19" s="20"/>
      <c r="N19" s="20"/>
      <c r="O19" s="55"/>
      <c r="P19" s="20"/>
      <c r="Q19" s="20"/>
      <c r="R19" s="51"/>
      <c r="S19" s="20"/>
      <c r="T19" s="20"/>
      <c r="U19" s="20"/>
      <c r="V19" s="34"/>
      <c r="W19" s="35">
        <f t="shared" si="1"/>
        <v>0</v>
      </c>
    </row>
    <row r="20" spans="1:23" ht="12.75">
      <c r="A20" s="1">
        <f t="shared" si="0"/>
        <v>11</v>
      </c>
      <c r="B20" t="s">
        <v>28</v>
      </c>
      <c r="D20" s="40">
        <v>-164729</v>
      </c>
      <c r="E20" s="40">
        <v>-220985</v>
      </c>
      <c r="F20" s="40">
        <v>-1855087</v>
      </c>
      <c r="G20" s="40">
        <v>0</v>
      </c>
      <c r="H20" s="40">
        <v>-998850</v>
      </c>
      <c r="I20" s="51">
        <f>19262836.22+2393540</f>
        <v>21656376</v>
      </c>
      <c r="J20" s="51">
        <v>143856</v>
      </c>
      <c r="K20" s="51">
        <v>219509</v>
      </c>
      <c r="L20" s="20">
        <v>118092</v>
      </c>
      <c r="M20" s="20">
        <v>56447</v>
      </c>
      <c r="N20" s="20">
        <v>-4793</v>
      </c>
      <c r="O20" s="20">
        <v>-34091.46</v>
      </c>
      <c r="P20" s="51">
        <f>-4455.44+17090.8</f>
        <v>12635</v>
      </c>
      <c r="Q20" s="51">
        <f>31216.05+48950.5</f>
        <v>80167</v>
      </c>
      <c r="R20" s="78">
        <f>-17159.7+-25773.9</f>
        <v>-42934</v>
      </c>
      <c r="S20" s="78">
        <v>-16641.87</v>
      </c>
      <c r="T20" s="20">
        <v>-90876.01</v>
      </c>
      <c r="U20" s="20">
        <v>-13465</v>
      </c>
      <c r="V20" s="34"/>
      <c r="W20" s="35">
        <f t="shared" si="1"/>
        <v>427905</v>
      </c>
    </row>
    <row r="21" spans="1:23" ht="12.75">
      <c r="A21" s="1">
        <f t="shared" si="0"/>
        <v>12</v>
      </c>
      <c r="B21" s="109" t="s">
        <v>85</v>
      </c>
      <c r="D21" s="40"/>
      <c r="E21" s="40"/>
      <c r="F21" s="40"/>
      <c r="G21" s="40"/>
      <c r="H21" s="40"/>
      <c r="I21" s="51"/>
      <c r="J21" s="51">
        <v>567300</v>
      </c>
      <c r="K21" s="51">
        <v>530700</v>
      </c>
      <c r="L21" s="20">
        <v>567300</v>
      </c>
      <c r="M21" s="20">
        <v>548238</v>
      </c>
      <c r="N21" s="20">
        <v>567300</v>
      </c>
      <c r="O21" s="51">
        <f>25*720*30.5</f>
        <v>549000</v>
      </c>
      <c r="P21" s="51">
        <f>25*744*30.5</f>
        <v>567300</v>
      </c>
      <c r="Q21" s="20">
        <v>567300</v>
      </c>
      <c r="R21" s="51">
        <f>25*720*30.5</f>
        <v>549000</v>
      </c>
      <c r="S21" s="78">
        <v>568063</v>
      </c>
      <c r="T21" s="20">
        <v>549000</v>
      </c>
      <c r="U21" s="20">
        <v>567300</v>
      </c>
      <c r="V21" s="34"/>
      <c r="W21" s="35">
        <f t="shared" si="1"/>
        <v>6697801</v>
      </c>
    </row>
    <row r="22" spans="1:23" ht="12.75">
      <c r="A22" s="1">
        <f t="shared" si="0"/>
        <v>13</v>
      </c>
      <c r="B22" s="109" t="s">
        <v>92</v>
      </c>
      <c r="D22" s="40"/>
      <c r="E22" s="40"/>
      <c r="F22" s="40"/>
      <c r="G22" s="40"/>
      <c r="H22" s="40"/>
      <c r="I22" s="51"/>
      <c r="J22" s="51">
        <v>1041600</v>
      </c>
      <c r="K22" s="51">
        <f>487200+487200</f>
        <v>974400</v>
      </c>
      <c r="L22" s="20">
        <v>1041600</v>
      </c>
      <c r="M22" s="20">
        <v>1006600</v>
      </c>
      <c r="N22" s="20">
        <v>1041600</v>
      </c>
      <c r="O22" s="51">
        <f>50*720*28</f>
        <v>1008000</v>
      </c>
      <c r="P22" s="51">
        <f>50*744*28</f>
        <v>1041600</v>
      </c>
      <c r="Q22" s="20">
        <v>1041600</v>
      </c>
      <c r="R22" s="51">
        <f>504000+504000</f>
        <v>1008000</v>
      </c>
      <c r="S22" s="78">
        <v>1043000</v>
      </c>
      <c r="T22" s="20">
        <v>1008000</v>
      </c>
      <c r="U22" s="20">
        <v>1041600</v>
      </c>
      <c r="V22" s="34"/>
      <c r="W22" s="35">
        <f t="shared" si="1"/>
        <v>12297600</v>
      </c>
    </row>
    <row r="23" spans="1:23" ht="12.75">
      <c r="A23" s="1">
        <f t="shared" si="0"/>
        <v>14</v>
      </c>
      <c r="B23" s="109" t="s">
        <v>86</v>
      </c>
      <c r="D23" s="40"/>
      <c r="E23" s="40"/>
      <c r="F23" s="40"/>
      <c r="G23" s="40"/>
      <c r="H23" s="40"/>
      <c r="I23" s="51"/>
      <c r="J23" s="51">
        <v>590550</v>
      </c>
      <c r="K23" s="51">
        <v>552450</v>
      </c>
      <c r="L23" s="20">
        <v>590550</v>
      </c>
      <c r="M23" s="20">
        <v>570706</v>
      </c>
      <c r="N23" s="20">
        <v>590550</v>
      </c>
      <c r="O23" s="51">
        <f>25*720*31.75</f>
        <v>571500</v>
      </c>
      <c r="P23" s="51">
        <f>25*744*31.75</f>
        <v>590550</v>
      </c>
      <c r="Q23" s="20">
        <v>590550</v>
      </c>
      <c r="R23" s="51">
        <v>571500</v>
      </c>
      <c r="S23" s="78">
        <v>591343.75</v>
      </c>
      <c r="T23" s="20">
        <v>571500</v>
      </c>
      <c r="U23" s="20">
        <v>590550</v>
      </c>
      <c r="V23" s="34"/>
      <c r="W23" s="35">
        <f t="shared" si="1"/>
        <v>6972300</v>
      </c>
    </row>
    <row r="24" spans="1:23" ht="12.75">
      <c r="A24" s="1">
        <f t="shared" si="0"/>
        <v>15</v>
      </c>
      <c r="B24" s="93" t="s">
        <v>75</v>
      </c>
      <c r="D24" s="40"/>
      <c r="E24" s="40"/>
      <c r="F24" s="40"/>
      <c r="G24" s="40"/>
      <c r="H24" s="40"/>
      <c r="I24" s="20"/>
      <c r="J24" s="51">
        <v>149463</v>
      </c>
      <c r="K24" s="51">
        <f>144255.12</f>
        <v>144255</v>
      </c>
      <c r="L24" s="20">
        <v>145150</v>
      </c>
      <c r="M24" s="20">
        <v>111889</v>
      </c>
      <c r="N24" s="20">
        <v>105080</v>
      </c>
      <c r="O24" s="78">
        <f>96229.8-113</f>
        <v>96117</v>
      </c>
      <c r="P24" s="51">
        <f>144315.6-113</f>
        <v>144203</v>
      </c>
      <c r="Q24" s="78">
        <f>125182.2-113</f>
        <v>125069</v>
      </c>
      <c r="R24" s="51">
        <v>135666</v>
      </c>
      <c r="S24" s="20">
        <v>122358</v>
      </c>
      <c r="T24" s="20">
        <v>128150.41</v>
      </c>
      <c r="U24" s="20">
        <v>118077.82</v>
      </c>
      <c r="V24" s="34"/>
      <c r="W24" s="35">
        <f t="shared" si="1"/>
        <v>1525478</v>
      </c>
    </row>
    <row r="25" spans="1:23" ht="12.75">
      <c r="A25" s="1">
        <f t="shared" si="0"/>
        <v>16</v>
      </c>
      <c r="B25" t="s">
        <v>77</v>
      </c>
      <c r="D25" s="40"/>
      <c r="E25" s="40"/>
      <c r="F25" s="40"/>
      <c r="G25" s="40"/>
      <c r="H25" s="40"/>
      <c r="I25" s="20"/>
      <c r="J25" s="51">
        <v>2047319</v>
      </c>
      <c r="K25" s="51">
        <f>1907665.24</f>
        <v>1907665</v>
      </c>
      <c r="L25" s="20">
        <v>1575121</v>
      </c>
      <c r="M25" s="20">
        <v>1933319</v>
      </c>
      <c r="N25" s="20">
        <v>1968354</v>
      </c>
      <c r="O25" s="51">
        <v>1880368</v>
      </c>
      <c r="P25" s="80">
        <v>1966680</v>
      </c>
      <c r="Q25" s="51">
        <f>2003248.08-987.16</f>
        <v>2002261</v>
      </c>
      <c r="R25" s="51">
        <f>1674609.64</f>
        <v>1674610</v>
      </c>
      <c r="S25" s="20">
        <v>1987582</v>
      </c>
      <c r="T25" s="20">
        <v>1782725.12</v>
      </c>
      <c r="U25" s="51">
        <v>2071276</v>
      </c>
      <c r="V25" s="34"/>
      <c r="W25" s="35">
        <f t="shared" si="1"/>
        <v>22797280</v>
      </c>
    </row>
    <row r="26" spans="1:23" ht="12.75">
      <c r="A26" s="1">
        <f t="shared" si="0"/>
        <v>17</v>
      </c>
      <c r="B26" t="s">
        <v>64</v>
      </c>
      <c r="D26" s="40">
        <v>282000</v>
      </c>
      <c r="E26" s="40">
        <v>414720</v>
      </c>
      <c r="F26" s="40">
        <v>373000</v>
      </c>
      <c r="G26" s="40">
        <v>28080</v>
      </c>
      <c r="H26" s="40">
        <v>17500</v>
      </c>
      <c r="I26" s="20">
        <v>100000</v>
      </c>
      <c r="J26" s="80">
        <v>122000</v>
      </c>
      <c r="K26" s="51">
        <v>152500</v>
      </c>
      <c r="L26" s="20">
        <v>134500</v>
      </c>
      <c r="M26" s="80">
        <v>136500</v>
      </c>
      <c r="N26" s="20">
        <v>142500</v>
      </c>
      <c r="O26" s="80">
        <f>22500+135000</f>
        <v>157500</v>
      </c>
      <c r="P26" s="80">
        <v>178750</v>
      </c>
      <c r="Q26" s="80">
        <f>135000+32250</f>
        <v>167250</v>
      </c>
      <c r="R26" s="80">
        <f>(50000*2.25)+(20000*1.4)</f>
        <v>140500</v>
      </c>
      <c r="S26" s="80">
        <v>112500</v>
      </c>
      <c r="T26" s="80">
        <v>112500</v>
      </c>
      <c r="U26" s="80">
        <v>90000</v>
      </c>
      <c r="V26" s="34"/>
      <c r="W26" s="35">
        <f t="shared" si="1"/>
        <v>1647000</v>
      </c>
    </row>
    <row r="27" spans="1:23" ht="12.75">
      <c r="A27" s="1">
        <f t="shared" si="0"/>
        <v>18</v>
      </c>
      <c r="B27" t="s">
        <v>63</v>
      </c>
      <c r="D27" s="40"/>
      <c r="E27" s="40"/>
      <c r="F27" s="40"/>
      <c r="G27" s="40"/>
      <c r="H27" s="40"/>
      <c r="I27" s="20"/>
      <c r="J27" s="20"/>
      <c r="L27" s="20"/>
      <c r="M27" s="20">
        <v>174197</v>
      </c>
      <c r="N27" s="51">
        <v>300319</v>
      </c>
      <c r="O27" s="51">
        <v>246493</v>
      </c>
      <c r="P27" s="55">
        <v>230748</v>
      </c>
      <c r="Q27" s="20">
        <v>262484.22</v>
      </c>
      <c r="R27" s="51">
        <f>237095.04-3304</f>
        <v>233791</v>
      </c>
      <c r="S27" s="20">
        <v>256328</v>
      </c>
      <c r="T27" s="20">
        <v>144168.7</v>
      </c>
      <c r="U27" s="20">
        <v>79870</v>
      </c>
      <c r="V27" s="34"/>
      <c r="W27" s="35">
        <f t="shared" si="1"/>
        <v>1928399</v>
      </c>
    </row>
    <row r="28" spans="1:23" ht="12.75">
      <c r="A28" s="1">
        <f t="shared" si="0"/>
        <v>19</v>
      </c>
      <c r="B28" t="s">
        <v>66</v>
      </c>
      <c r="D28" s="40"/>
      <c r="E28" s="40"/>
      <c r="F28" s="40"/>
      <c r="G28" s="40"/>
      <c r="H28" s="40"/>
      <c r="I28" s="20"/>
      <c r="J28" s="20">
        <f>J43</f>
        <v>2624</v>
      </c>
      <c r="K28" s="77">
        <v>2613</v>
      </c>
      <c r="L28" s="20">
        <v>2789</v>
      </c>
      <c r="M28" s="20">
        <v>2053</v>
      </c>
      <c r="N28" s="98">
        <v>2758</v>
      </c>
      <c r="O28" s="116">
        <v>3256</v>
      </c>
      <c r="P28" s="20">
        <v>3014.28</v>
      </c>
      <c r="Q28" s="20">
        <v>3023.66</v>
      </c>
      <c r="R28" s="20">
        <v>3232</v>
      </c>
      <c r="S28" s="20">
        <v>2510</v>
      </c>
      <c r="T28" s="20">
        <v>2756.22</v>
      </c>
      <c r="U28" s="20">
        <v>2581.68</v>
      </c>
      <c r="V28" s="34"/>
      <c r="W28" s="35">
        <f t="shared" si="1"/>
        <v>33211</v>
      </c>
    </row>
    <row r="29" spans="1:23" ht="13.5" thickBot="1">
      <c r="A29" s="1">
        <f t="shared" si="0"/>
        <v>20</v>
      </c>
      <c r="B29" t="s">
        <v>30</v>
      </c>
      <c r="D29" s="41">
        <f aca="true" t="shared" si="2" ref="D29:T29">SUM(D9:D28)</f>
        <v>38269160</v>
      </c>
      <c r="E29" s="41">
        <f t="shared" si="2"/>
        <v>69723114</v>
      </c>
      <c r="F29" s="41">
        <f t="shared" si="2"/>
        <v>42284233</v>
      </c>
      <c r="G29" s="41">
        <f t="shared" si="2"/>
        <v>27807222</v>
      </c>
      <c r="H29" s="41">
        <f t="shared" si="2"/>
        <v>43730360</v>
      </c>
      <c r="I29" s="41">
        <f t="shared" si="2"/>
        <v>102719393</v>
      </c>
      <c r="J29" s="52">
        <f t="shared" si="2"/>
        <v>20898976</v>
      </c>
      <c r="K29" s="52">
        <f t="shared" si="2"/>
        <v>14705597</v>
      </c>
      <c r="L29" s="52">
        <f t="shared" si="2"/>
        <v>10016319</v>
      </c>
      <c r="M29" s="52">
        <f t="shared" si="2"/>
        <v>11120205</v>
      </c>
      <c r="N29" s="52">
        <f t="shared" si="2"/>
        <v>12019655</v>
      </c>
      <c r="O29" s="52">
        <f t="shared" si="2"/>
        <v>12473990</v>
      </c>
      <c r="P29" s="52">
        <f t="shared" si="2"/>
        <v>18862665</v>
      </c>
      <c r="Q29" s="52">
        <f t="shared" si="2"/>
        <v>19801656</v>
      </c>
      <c r="R29" s="53">
        <f t="shared" si="2"/>
        <v>12633272</v>
      </c>
      <c r="S29" s="53">
        <f t="shared" si="2"/>
        <v>11943468</v>
      </c>
      <c r="T29" s="53">
        <f t="shared" si="2"/>
        <v>14336972</v>
      </c>
      <c r="U29" s="53">
        <f>SUM(U9:U28)</f>
        <v>16032861</v>
      </c>
      <c r="V29" s="53"/>
      <c r="W29" s="53">
        <f>SUM(W9:W28)</f>
        <v>174845636</v>
      </c>
    </row>
    <row r="30" spans="1:19" ht="13.5" customHeight="1" thickTop="1">
      <c r="A30" s="1"/>
      <c r="D30" s="40"/>
      <c r="E30" s="40"/>
      <c r="F30" s="40"/>
      <c r="G30" s="40"/>
      <c r="H30" s="40"/>
      <c r="I30" s="20"/>
      <c r="S30" s="20"/>
    </row>
    <row r="31" spans="1:19" ht="13.5" customHeight="1">
      <c r="A31" s="1"/>
      <c r="B31" t="s">
        <v>96</v>
      </c>
      <c r="D31" s="40"/>
      <c r="E31" s="40"/>
      <c r="F31" s="40"/>
      <c r="G31" s="40"/>
      <c r="H31" s="40"/>
      <c r="I31" s="20"/>
      <c r="S31" s="20"/>
    </row>
    <row r="32" spans="1:19" ht="13.5" customHeight="1">
      <c r="A32" s="1"/>
      <c r="B32" t="s">
        <v>83</v>
      </c>
      <c r="D32" s="40"/>
      <c r="E32" s="40"/>
      <c r="F32" s="40"/>
      <c r="G32" s="40"/>
      <c r="H32" s="40"/>
      <c r="I32" s="20"/>
      <c r="S32" s="20"/>
    </row>
    <row r="33" spans="1:19" ht="12" customHeight="1">
      <c r="A33" s="1"/>
      <c r="B33" s="44"/>
      <c r="D33" s="40"/>
      <c r="E33" s="40"/>
      <c r="F33" s="40"/>
      <c r="G33" s="40"/>
      <c r="H33" s="40"/>
      <c r="I33" s="20"/>
      <c r="P33" s="35"/>
      <c r="S33" s="20"/>
    </row>
    <row r="34" spans="1:19" ht="12" customHeight="1">
      <c r="A34" s="1"/>
      <c r="B34" s="39" t="s">
        <v>46</v>
      </c>
      <c r="D34" s="40"/>
      <c r="E34" s="40"/>
      <c r="F34" s="40"/>
      <c r="G34" s="40"/>
      <c r="H34" s="40"/>
      <c r="I34" s="20"/>
      <c r="S34" s="20"/>
    </row>
    <row r="35" spans="1:23" ht="12.75" customHeight="1">
      <c r="A35" s="1">
        <f>A29+1</f>
        <v>21</v>
      </c>
      <c r="B35" t="s">
        <v>47</v>
      </c>
      <c r="D35" s="40">
        <f>18981741+4863046</f>
        <v>23844787</v>
      </c>
      <c r="E35" s="40">
        <f>37908038+6109797</f>
        <v>44017835</v>
      </c>
      <c r="F35" s="40">
        <f>24455815+6525669</f>
        <v>30981484</v>
      </c>
      <c r="G35" s="40">
        <f>14662936+8676129</f>
        <v>23339065</v>
      </c>
      <c r="H35" s="40">
        <f>17589186+12274786</f>
        <v>29863972</v>
      </c>
      <c r="I35" s="20">
        <f>89253053-2732450-40832</f>
        <v>86479771</v>
      </c>
      <c r="J35" s="79">
        <v>5741521</v>
      </c>
      <c r="K35" s="94">
        <f>2447037.24-18068.48</f>
        <v>2428969</v>
      </c>
      <c r="L35" s="20">
        <v>3562566</v>
      </c>
      <c r="M35" s="20">
        <v>4608768</v>
      </c>
      <c r="N35" s="20">
        <v>10769273</v>
      </c>
      <c r="O35" s="79">
        <v>9739412</v>
      </c>
      <c r="P35" s="20">
        <v>8174493</v>
      </c>
      <c r="Q35" s="20">
        <v>5435905</v>
      </c>
      <c r="R35" s="79">
        <f>1246-1370-80+6938034.91</f>
        <v>6937831</v>
      </c>
      <c r="S35" s="79">
        <v>8593879</v>
      </c>
      <c r="T35" s="20">
        <v>8247275</v>
      </c>
      <c r="U35" s="20">
        <v>10673151</v>
      </c>
      <c r="V35" s="34"/>
      <c r="W35" s="35">
        <f aca="true" t="shared" si="3" ref="W35:W43">SUM(J35:U35)</f>
        <v>84913043</v>
      </c>
    </row>
    <row r="36" spans="1:23" ht="12.75">
      <c r="A36" s="1">
        <f>A35+1</f>
        <v>22</v>
      </c>
      <c r="B36" s="18" t="s">
        <v>88</v>
      </c>
      <c r="D36" s="40">
        <v>150000</v>
      </c>
      <c r="E36" s="40">
        <v>150000</v>
      </c>
      <c r="F36" s="40">
        <v>150000</v>
      </c>
      <c r="G36" s="40">
        <v>150000</v>
      </c>
      <c r="H36" s="40">
        <v>150000</v>
      </c>
      <c r="I36" s="40">
        <v>150000</v>
      </c>
      <c r="J36" s="51">
        <v>150000</v>
      </c>
      <c r="K36" s="51">
        <v>150000</v>
      </c>
      <c r="L36" s="20">
        <v>150000</v>
      </c>
      <c r="M36" s="20">
        <v>150000</v>
      </c>
      <c r="N36" s="20">
        <v>150000</v>
      </c>
      <c r="O36" s="20">
        <v>150000</v>
      </c>
      <c r="P36" s="51">
        <v>150000</v>
      </c>
      <c r="Q36" s="51">
        <v>150000</v>
      </c>
      <c r="R36" s="51">
        <v>150000</v>
      </c>
      <c r="S36" s="20">
        <v>150000</v>
      </c>
      <c r="T36" s="20">
        <v>150000</v>
      </c>
      <c r="U36" s="20">
        <v>150000</v>
      </c>
      <c r="V36" s="34"/>
      <c r="W36" s="35">
        <f t="shared" si="3"/>
        <v>1800000</v>
      </c>
    </row>
    <row r="37" spans="1:23" ht="12.75">
      <c r="A37" s="1">
        <f aca="true" t="shared" si="4" ref="A37:A42">A36+1</f>
        <v>23</v>
      </c>
      <c r="B37" t="s">
        <v>48</v>
      </c>
      <c r="D37" s="36">
        <v>65223</v>
      </c>
      <c r="E37" s="36">
        <v>64596</v>
      </c>
      <c r="F37" s="36">
        <v>185905</v>
      </c>
      <c r="G37" s="36">
        <v>63556</v>
      </c>
      <c r="H37" s="40">
        <v>55548</v>
      </c>
      <c r="I37" s="20">
        <v>20976</v>
      </c>
      <c r="J37" s="51">
        <v>25061</v>
      </c>
      <c r="K37" s="51">
        <f>4272.72+26000</f>
        <v>30273</v>
      </c>
      <c r="L37" s="71">
        <v>5762</v>
      </c>
      <c r="M37" s="51">
        <v>11251</v>
      </c>
      <c r="N37" s="20">
        <v>19012</v>
      </c>
      <c r="O37" s="51">
        <v>22282</v>
      </c>
      <c r="P37" s="51">
        <v>67299</v>
      </c>
      <c r="Q37" s="107">
        <f>39692.96+-7.24</f>
        <v>39686</v>
      </c>
      <c r="R37" s="107">
        <f>-2308.2+84932</f>
        <v>82624</v>
      </c>
      <c r="S37" s="20">
        <v>2872.75</v>
      </c>
      <c r="T37" s="20">
        <v>70873.85</v>
      </c>
      <c r="U37" s="20">
        <v>10926.56</v>
      </c>
      <c r="V37" s="34"/>
      <c r="W37" s="35">
        <f>SUM(J37:U37)</f>
        <v>387923</v>
      </c>
    </row>
    <row r="38" spans="1:23" ht="12.75">
      <c r="A38" s="1">
        <f t="shared" si="4"/>
        <v>24</v>
      </c>
      <c r="B38" t="s">
        <v>58</v>
      </c>
      <c r="D38" s="36">
        <v>26687</v>
      </c>
      <c r="E38" s="36">
        <v>26680</v>
      </c>
      <c r="F38" s="36">
        <v>25944</v>
      </c>
      <c r="G38" s="40">
        <v>14674</v>
      </c>
      <c r="H38" s="40">
        <v>13980</v>
      </c>
      <c r="I38" s="20">
        <v>11443</v>
      </c>
      <c r="J38" s="51">
        <v>137</v>
      </c>
      <c r="K38" s="51">
        <v>118</v>
      </c>
      <c r="L38" s="51">
        <v>116</v>
      </c>
      <c r="M38" s="51">
        <v>1067</v>
      </c>
      <c r="N38" s="20">
        <v>0</v>
      </c>
      <c r="O38" s="51"/>
      <c r="P38" s="20">
        <v>0</v>
      </c>
      <c r="Q38" s="20"/>
      <c r="S38" s="20"/>
      <c r="T38" s="20"/>
      <c r="U38" s="20"/>
      <c r="V38" s="34"/>
      <c r="W38" s="35">
        <f>SUM(J38:U38)</f>
        <v>1438</v>
      </c>
    </row>
    <row r="39" spans="1:23" ht="12.75">
      <c r="A39" s="1">
        <f t="shared" si="4"/>
        <v>25</v>
      </c>
      <c r="B39" t="s">
        <v>87</v>
      </c>
      <c r="D39" s="36">
        <v>23645</v>
      </c>
      <c r="E39" s="36">
        <v>23740</v>
      </c>
      <c r="F39" s="36">
        <v>23818</v>
      </c>
      <c r="G39" s="40">
        <v>24761</v>
      </c>
      <c r="H39" s="40">
        <v>26424</v>
      </c>
      <c r="I39" s="20">
        <v>27839</v>
      </c>
      <c r="J39" s="51">
        <v>34437</v>
      </c>
      <c r="K39" s="51">
        <f>26371.88+0.23</f>
        <v>26372</v>
      </c>
      <c r="L39" s="51">
        <v>27044</v>
      </c>
      <c r="M39" s="51">
        <v>25162</v>
      </c>
      <c r="N39" s="20">
        <v>25079</v>
      </c>
      <c r="O39" s="51">
        <v>26648</v>
      </c>
      <c r="P39" s="20">
        <v>24951</v>
      </c>
      <c r="Q39" s="20">
        <v>24791.09</v>
      </c>
      <c r="R39" s="78">
        <v>24633</v>
      </c>
      <c r="S39" s="20">
        <v>25315.95</v>
      </c>
      <c r="T39" s="20">
        <v>27210.46</v>
      </c>
      <c r="U39" s="20">
        <v>33609.64</v>
      </c>
      <c r="V39" s="34"/>
      <c r="W39" s="35">
        <f>SUM(J39:U39)</f>
        <v>325253</v>
      </c>
    </row>
    <row r="40" spans="1:23" ht="12.75">
      <c r="A40" s="1">
        <f t="shared" si="4"/>
        <v>26</v>
      </c>
      <c r="B40" t="s">
        <v>61</v>
      </c>
      <c r="D40" s="40">
        <v>522168</v>
      </c>
      <c r="E40" s="40">
        <v>846547</v>
      </c>
      <c r="F40" s="40">
        <v>562399</v>
      </c>
      <c r="G40" s="40">
        <v>435126</v>
      </c>
      <c r="H40" s="40">
        <v>679283</v>
      </c>
      <c r="I40" s="20">
        <v>2050284</v>
      </c>
      <c r="J40" s="51">
        <v>183354</v>
      </c>
      <c r="K40" s="51">
        <f>1.26+28163.28+64007.46+81929.55+17922.09</f>
        <v>192024</v>
      </c>
      <c r="L40" s="51">
        <v>96058</v>
      </c>
      <c r="M40" s="51">
        <v>151560</v>
      </c>
      <c r="N40" s="51">
        <v>176290</v>
      </c>
      <c r="O40" s="78">
        <v>153746</v>
      </c>
      <c r="P40" s="20">
        <v>239961</v>
      </c>
      <c r="Q40" s="107">
        <v>240183.89</v>
      </c>
      <c r="R40" s="107">
        <f>26603.28+60462+77391.36+16929.36</f>
        <v>181386</v>
      </c>
      <c r="S40" s="79">
        <v>217271.16</v>
      </c>
      <c r="T40" s="20">
        <v>225792.35</v>
      </c>
      <c r="U40" s="20">
        <v>241461.54</v>
      </c>
      <c r="V40" s="34"/>
      <c r="W40" s="35">
        <f t="shared" si="3"/>
        <v>2299088</v>
      </c>
    </row>
    <row r="41" spans="1:23" ht="12.75">
      <c r="A41" s="1">
        <f t="shared" si="4"/>
        <v>27</v>
      </c>
      <c r="B41" s="103" t="s">
        <v>78</v>
      </c>
      <c r="D41" s="36"/>
      <c r="E41" s="36"/>
      <c r="F41" s="36"/>
      <c r="G41" s="36"/>
      <c r="H41" s="36"/>
      <c r="I41" s="20"/>
      <c r="J41" s="79">
        <v>14655</v>
      </c>
      <c r="K41" s="51">
        <v>0</v>
      </c>
      <c r="L41" s="20">
        <v>0</v>
      </c>
      <c r="M41" s="20">
        <v>0</v>
      </c>
      <c r="N41" s="20">
        <v>0</v>
      </c>
      <c r="O41" s="78"/>
      <c r="P41" s="20">
        <v>0</v>
      </c>
      <c r="Q41" s="107"/>
      <c r="R41" s="107">
        <f>29398.56+12013.44+2461.44</f>
        <v>43873</v>
      </c>
      <c r="S41" s="20">
        <v>86475.6</v>
      </c>
      <c r="T41" s="20">
        <v>61729.77</v>
      </c>
      <c r="U41" s="20">
        <v>94872.29</v>
      </c>
      <c r="V41" s="34"/>
      <c r="W41" s="35">
        <f>SUM(J41:U41)</f>
        <v>301606</v>
      </c>
    </row>
    <row r="42" spans="1:23" ht="12.75">
      <c r="A42" s="1">
        <f t="shared" si="4"/>
        <v>28</v>
      </c>
      <c r="B42" t="s">
        <v>59</v>
      </c>
      <c r="D42" s="36">
        <v>-3845</v>
      </c>
      <c r="E42" s="36">
        <v>-5324</v>
      </c>
      <c r="F42" s="36">
        <v>-6053</v>
      </c>
      <c r="G42" s="36">
        <v>-5767</v>
      </c>
      <c r="H42" s="36">
        <v>-5029</v>
      </c>
      <c r="I42" s="20">
        <v>-4017</v>
      </c>
      <c r="J42" s="79">
        <v>-11310</v>
      </c>
      <c r="K42" s="20">
        <v>-4173</v>
      </c>
      <c r="L42" s="20">
        <v>-3856</v>
      </c>
      <c r="M42" s="20">
        <v>-5473</v>
      </c>
      <c r="N42" s="20">
        <v>-3978</v>
      </c>
      <c r="O42" s="78">
        <v>-12978</v>
      </c>
      <c r="P42" s="20">
        <v>-4790</v>
      </c>
      <c r="Q42" s="20">
        <v>-4421.26</v>
      </c>
      <c r="R42" s="79">
        <v>-3985</v>
      </c>
      <c r="S42" s="20">
        <v>-5121.45</v>
      </c>
      <c r="T42" s="20">
        <v>-4250.76</v>
      </c>
      <c r="U42" s="20">
        <v>-3962.16</v>
      </c>
      <c r="V42" s="34"/>
      <c r="W42" s="35">
        <f t="shared" si="3"/>
        <v>-68299</v>
      </c>
    </row>
    <row r="43" spans="1:23" ht="12.75">
      <c r="A43" s="1">
        <f>A41+1</f>
        <v>28</v>
      </c>
      <c r="B43" t="s">
        <v>67</v>
      </c>
      <c r="D43" s="36"/>
      <c r="E43" s="36"/>
      <c r="F43" s="36"/>
      <c r="G43" s="36"/>
      <c r="H43" s="36"/>
      <c r="I43" s="20"/>
      <c r="J43" s="51">
        <v>2624</v>
      </c>
      <c r="K43" s="20">
        <v>2613</v>
      </c>
      <c r="L43" s="20">
        <v>2789</v>
      </c>
      <c r="M43" s="20">
        <v>2053</v>
      </c>
      <c r="N43" s="20">
        <v>2758</v>
      </c>
      <c r="O43" s="78">
        <v>3256</v>
      </c>
      <c r="P43" s="20">
        <v>3014</v>
      </c>
      <c r="Q43" s="20">
        <v>3023.66</v>
      </c>
      <c r="R43" s="20">
        <v>3232</v>
      </c>
      <c r="S43" s="20">
        <v>2510</v>
      </c>
      <c r="T43" s="20">
        <v>2756.22</v>
      </c>
      <c r="U43" s="20">
        <v>2581.68</v>
      </c>
      <c r="V43" s="34"/>
      <c r="W43" s="35">
        <f t="shared" si="3"/>
        <v>33211</v>
      </c>
    </row>
    <row r="44" spans="1:23" ht="13.5" thickBot="1">
      <c r="A44" s="1">
        <f>A43+1</f>
        <v>29</v>
      </c>
      <c r="B44" t="s">
        <v>49</v>
      </c>
      <c r="D44" s="41">
        <f aca="true" t="shared" si="5" ref="D44:I44">SUM(D35:D42)</f>
        <v>24628665</v>
      </c>
      <c r="E44" s="41">
        <f t="shared" si="5"/>
        <v>45124074</v>
      </c>
      <c r="F44" s="41">
        <f t="shared" si="5"/>
        <v>31923497</v>
      </c>
      <c r="G44" s="41">
        <f t="shared" si="5"/>
        <v>24021415</v>
      </c>
      <c r="H44" s="41">
        <f t="shared" si="5"/>
        <v>30784178</v>
      </c>
      <c r="I44" s="54">
        <f t="shared" si="5"/>
        <v>88736296</v>
      </c>
      <c r="J44" s="53">
        <f aca="true" t="shared" si="6" ref="J44:U44">SUM(J35:J43)</f>
        <v>6140479</v>
      </c>
      <c r="K44" s="53">
        <f t="shared" si="6"/>
        <v>2826196</v>
      </c>
      <c r="L44" s="53">
        <f t="shared" si="6"/>
        <v>3840479</v>
      </c>
      <c r="M44" s="53">
        <f t="shared" si="6"/>
        <v>4944388</v>
      </c>
      <c r="N44" s="53">
        <f t="shared" si="6"/>
        <v>11138434</v>
      </c>
      <c r="O44" s="53">
        <f t="shared" si="6"/>
        <v>10082366</v>
      </c>
      <c r="P44" s="53">
        <f t="shared" si="6"/>
        <v>8654928</v>
      </c>
      <c r="Q44" s="53">
        <f t="shared" si="6"/>
        <v>5889168</v>
      </c>
      <c r="R44" s="53">
        <f t="shared" si="6"/>
        <v>7419594</v>
      </c>
      <c r="S44" s="53">
        <f t="shared" si="6"/>
        <v>9073203</v>
      </c>
      <c r="T44" s="53">
        <f t="shared" si="6"/>
        <v>8781387</v>
      </c>
      <c r="U44" s="53">
        <f t="shared" si="6"/>
        <v>11202641</v>
      </c>
      <c r="V44" s="54"/>
      <c r="W44" s="53">
        <f>SUM(W35:W43)</f>
        <v>89993263</v>
      </c>
    </row>
    <row r="45" spans="1:22" ht="13.5" thickTop="1">
      <c r="A45" s="1"/>
      <c r="D45" s="40"/>
      <c r="E45" s="40"/>
      <c r="F45" s="40"/>
      <c r="G45" s="40"/>
      <c r="H45" s="40"/>
      <c r="I45" s="20"/>
      <c r="J45" s="20"/>
      <c r="K45" s="20"/>
      <c r="L45" s="20"/>
      <c r="N45" s="20"/>
      <c r="S45" s="20"/>
      <c r="U45" s="20"/>
      <c r="V45" s="34"/>
    </row>
    <row r="46" spans="1:22" ht="10.5" customHeight="1">
      <c r="A46" s="1"/>
      <c r="D46" s="40"/>
      <c r="E46" s="40"/>
      <c r="F46" s="40"/>
      <c r="G46" s="40"/>
      <c r="H46" s="40"/>
      <c r="I46" s="20"/>
      <c r="J46" s="20"/>
      <c r="K46" s="20"/>
      <c r="L46" s="20"/>
      <c r="N46" s="20"/>
      <c r="S46" s="20"/>
      <c r="U46" s="20"/>
      <c r="V46" s="34"/>
    </row>
    <row r="47" spans="1:22" ht="12.75">
      <c r="A47" s="1"/>
      <c r="B47" s="39" t="s">
        <v>31</v>
      </c>
      <c r="D47" s="40"/>
      <c r="E47" s="40"/>
      <c r="F47" s="40"/>
      <c r="G47" s="40"/>
      <c r="H47" s="40"/>
      <c r="I47" s="20"/>
      <c r="J47" s="20"/>
      <c r="K47" s="20"/>
      <c r="L47" s="20"/>
      <c r="N47" s="20"/>
      <c r="S47" s="20"/>
      <c r="U47" s="20"/>
      <c r="V47" s="34"/>
    </row>
    <row r="48" spans="1:23" ht="12.75">
      <c r="A48" s="1">
        <f>A44+1</f>
        <v>30</v>
      </c>
      <c r="B48" t="s">
        <v>32</v>
      </c>
      <c r="C48" s="43" t="s">
        <v>33</v>
      </c>
      <c r="D48" s="40">
        <v>341921</v>
      </c>
      <c r="E48" s="40">
        <v>349630</v>
      </c>
      <c r="F48" s="40">
        <v>308262</v>
      </c>
      <c r="G48" s="40">
        <v>341231</v>
      </c>
      <c r="H48" s="40">
        <v>329928</v>
      </c>
      <c r="I48" s="20">
        <v>245690</v>
      </c>
      <c r="J48" s="20">
        <v>557912</v>
      </c>
      <c r="K48" s="20">
        <v>515287</v>
      </c>
      <c r="L48" s="20">
        <v>583079</v>
      </c>
      <c r="M48" s="55">
        <v>563676</v>
      </c>
      <c r="N48" s="20">
        <v>277044</v>
      </c>
      <c r="O48" s="20">
        <v>708456</v>
      </c>
      <c r="P48" s="55">
        <v>649545</v>
      </c>
      <c r="Q48" s="20">
        <v>619745.03</v>
      </c>
      <c r="R48" s="55">
        <v>631816</v>
      </c>
      <c r="S48" s="20">
        <v>653140</v>
      </c>
      <c r="T48" s="20">
        <v>736864</v>
      </c>
      <c r="U48" s="20">
        <v>895376</v>
      </c>
      <c r="V48" s="34"/>
      <c r="W48" s="35">
        <f>SUM(J48:U48)</f>
        <v>7391940</v>
      </c>
    </row>
    <row r="49" spans="1:23" ht="12.75">
      <c r="A49" s="1">
        <f>A48+1</f>
        <v>31</v>
      </c>
      <c r="B49" t="s">
        <v>35</v>
      </c>
      <c r="C49" s="1" t="s">
        <v>34</v>
      </c>
      <c r="D49" s="42">
        <v>814212</v>
      </c>
      <c r="E49" s="42">
        <v>1020783</v>
      </c>
      <c r="F49" s="42">
        <v>610375</v>
      </c>
      <c r="G49" s="42">
        <v>587020</v>
      </c>
      <c r="H49" s="42">
        <v>875398</v>
      </c>
      <c r="I49" s="23">
        <v>994514</v>
      </c>
      <c r="J49" s="23">
        <v>862129</v>
      </c>
      <c r="K49" s="23">
        <v>981341</v>
      </c>
      <c r="L49" s="72">
        <v>1129753</v>
      </c>
      <c r="M49" s="72">
        <v>670981</v>
      </c>
      <c r="N49" s="72">
        <v>503685</v>
      </c>
      <c r="O49" s="23">
        <v>789491</v>
      </c>
      <c r="P49" s="72">
        <v>988765</v>
      </c>
      <c r="Q49" s="72">
        <v>1005947</v>
      </c>
      <c r="R49" s="23">
        <v>925685</v>
      </c>
      <c r="S49" s="23">
        <v>1136012</v>
      </c>
      <c r="T49" s="23">
        <v>765645</v>
      </c>
      <c r="U49" s="23">
        <v>869840</v>
      </c>
      <c r="V49" s="34"/>
      <c r="W49" s="56">
        <f>SUM(J49:U49)</f>
        <v>10629274</v>
      </c>
    </row>
    <row r="50" spans="1:23" ht="12.75">
      <c r="A50" s="1">
        <f>A49+1</f>
        <v>32</v>
      </c>
      <c r="B50" t="s">
        <v>36</v>
      </c>
      <c r="C50" s="1"/>
      <c r="D50" s="41">
        <f aca="true" t="shared" si="7" ref="D50:W50">SUM(D48:D49)</f>
        <v>1156133</v>
      </c>
      <c r="E50" s="41">
        <f t="shared" si="7"/>
        <v>1370413</v>
      </c>
      <c r="F50" s="41">
        <f t="shared" si="7"/>
        <v>918637</v>
      </c>
      <c r="G50" s="41">
        <f t="shared" si="7"/>
        <v>928251</v>
      </c>
      <c r="H50" s="41">
        <f t="shared" si="7"/>
        <v>1205326</v>
      </c>
      <c r="I50" s="41">
        <f t="shared" si="7"/>
        <v>1240204</v>
      </c>
      <c r="J50" s="41">
        <f t="shared" si="7"/>
        <v>1420041</v>
      </c>
      <c r="K50" s="41">
        <f t="shared" si="7"/>
        <v>1496628</v>
      </c>
      <c r="L50" s="41">
        <f t="shared" si="7"/>
        <v>1712832</v>
      </c>
      <c r="M50" s="54">
        <f t="shared" si="7"/>
        <v>1234657</v>
      </c>
      <c r="N50" s="54">
        <f t="shared" si="7"/>
        <v>780729</v>
      </c>
      <c r="O50" s="54">
        <f t="shared" si="7"/>
        <v>1497947</v>
      </c>
      <c r="P50" s="54">
        <f t="shared" si="7"/>
        <v>1638310</v>
      </c>
      <c r="Q50" s="54">
        <f t="shared" si="7"/>
        <v>1625692</v>
      </c>
      <c r="R50" s="54">
        <f t="shared" si="7"/>
        <v>1557501</v>
      </c>
      <c r="S50" s="54">
        <f t="shared" si="7"/>
        <v>1789152</v>
      </c>
      <c r="T50" s="54">
        <f t="shared" si="7"/>
        <v>1502509</v>
      </c>
      <c r="U50" s="54">
        <f t="shared" si="7"/>
        <v>1765216</v>
      </c>
      <c r="V50" s="54"/>
      <c r="W50" s="54">
        <f t="shared" si="7"/>
        <v>18021214</v>
      </c>
    </row>
    <row r="51" spans="1:22" ht="12.75">
      <c r="A51" s="1"/>
      <c r="C51" s="1"/>
      <c r="D51" s="40"/>
      <c r="E51" s="40"/>
      <c r="F51" s="40"/>
      <c r="G51" s="40"/>
      <c r="H51" s="40"/>
      <c r="I51" s="20"/>
      <c r="J51" s="20"/>
      <c r="K51" s="20"/>
      <c r="L51" s="20"/>
      <c r="N51" s="20"/>
      <c r="Q51" s="20"/>
      <c r="S51" s="20"/>
      <c r="U51" s="20"/>
      <c r="V51" s="34"/>
    </row>
    <row r="52" spans="1:23" ht="12.75">
      <c r="A52" s="1">
        <f>A50+1</f>
        <v>33</v>
      </c>
      <c r="B52" t="s">
        <v>70</v>
      </c>
      <c r="C52" s="43" t="s">
        <v>37</v>
      </c>
      <c r="D52" s="40">
        <v>76486</v>
      </c>
      <c r="E52" s="40">
        <v>87345</v>
      </c>
      <c r="F52" s="40">
        <v>21998</v>
      </c>
      <c r="G52" s="40">
        <v>1365</v>
      </c>
      <c r="H52" s="40">
        <v>3100</v>
      </c>
      <c r="I52" s="20">
        <v>517</v>
      </c>
      <c r="J52" s="20">
        <v>1911</v>
      </c>
      <c r="K52" s="20">
        <v>209</v>
      </c>
      <c r="L52" s="20">
        <v>178</v>
      </c>
      <c r="M52" s="55">
        <v>186</v>
      </c>
      <c r="N52" s="20">
        <v>3531</v>
      </c>
      <c r="O52" s="20">
        <v>3846</v>
      </c>
      <c r="P52" s="55">
        <v>282</v>
      </c>
      <c r="Q52" s="20">
        <v>320</v>
      </c>
      <c r="R52" s="55">
        <v>229</v>
      </c>
      <c r="S52" s="20">
        <v>510</v>
      </c>
      <c r="T52" s="20">
        <v>1841</v>
      </c>
      <c r="U52" s="20">
        <v>23</v>
      </c>
      <c r="V52" s="34"/>
      <c r="W52" s="35">
        <f>SUM(J52:U52)</f>
        <v>13066</v>
      </c>
    </row>
    <row r="53" spans="1:23" ht="12.75">
      <c r="A53" s="1">
        <f>A52+1</f>
        <v>34</v>
      </c>
      <c r="B53" t="s">
        <v>35</v>
      </c>
      <c r="C53" s="1" t="s">
        <v>38</v>
      </c>
      <c r="D53" s="42">
        <v>59922</v>
      </c>
      <c r="E53" s="42">
        <v>-118328</v>
      </c>
      <c r="F53" s="42">
        <v>1795</v>
      </c>
      <c r="G53" s="42">
        <v>13249</v>
      </c>
      <c r="H53" s="42">
        <v>25088</v>
      </c>
      <c r="I53" s="23">
        <v>16306</v>
      </c>
      <c r="J53" s="23">
        <v>-8427</v>
      </c>
      <c r="K53" s="95">
        <v>154</v>
      </c>
      <c r="L53" s="72">
        <v>9280</v>
      </c>
      <c r="M53" s="72">
        <v>1106</v>
      </c>
      <c r="N53" s="23">
        <v>91</v>
      </c>
      <c r="O53" s="23">
        <v>26894</v>
      </c>
      <c r="P53" s="72">
        <v>66533</v>
      </c>
      <c r="Q53" s="23">
        <v>21366.22</v>
      </c>
      <c r="R53" s="23">
        <v>23413</v>
      </c>
      <c r="S53" s="23">
        <v>31114</v>
      </c>
      <c r="T53" s="23">
        <v>10986</v>
      </c>
      <c r="U53" s="23">
        <v>5757</v>
      </c>
      <c r="V53" s="34"/>
      <c r="W53" s="56">
        <f>SUM(J53:U53)</f>
        <v>188267</v>
      </c>
    </row>
    <row r="54" spans="1:23" ht="12.75">
      <c r="A54" s="1">
        <f>A53+1</f>
        <v>35</v>
      </c>
      <c r="B54" t="s">
        <v>39</v>
      </c>
      <c r="D54" s="41">
        <f aca="true" t="shared" si="8" ref="D54:W54">SUM(D52:D53)</f>
        <v>136408</v>
      </c>
      <c r="E54" s="41">
        <f t="shared" si="8"/>
        <v>-30983</v>
      </c>
      <c r="F54" s="41">
        <f t="shared" si="8"/>
        <v>23793</v>
      </c>
      <c r="G54" s="41">
        <f t="shared" si="8"/>
        <v>14614</v>
      </c>
      <c r="H54" s="41">
        <f t="shared" si="8"/>
        <v>28188</v>
      </c>
      <c r="I54" s="41">
        <f t="shared" si="8"/>
        <v>16823</v>
      </c>
      <c r="J54" s="34">
        <f t="shared" si="8"/>
        <v>-6516</v>
      </c>
      <c r="K54" s="41">
        <f t="shared" si="8"/>
        <v>363</v>
      </c>
      <c r="L54" s="41">
        <f t="shared" si="8"/>
        <v>9458</v>
      </c>
      <c r="M54" s="54">
        <f t="shared" si="8"/>
        <v>1292</v>
      </c>
      <c r="N54" s="54">
        <f t="shared" si="8"/>
        <v>3622</v>
      </c>
      <c r="O54" s="54">
        <f t="shared" si="8"/>
        <v>30740</v>
      </c>
      <c r="P54" s="54">
        <f t="shared" si="8"/>
        <v>66815</v>
      </c>
      <c r="Q54" s="54">
        <f t="shared" si="8"/>
        <v>21686</v>
      </c>
      <c r="R54" s="54">
        <f t="shared" si="8"/>
        <v>23642</v>
      </c>
      <c r="S54" s="54">
        <f t="shared" si="8"/>
        <v>31624</v>
      </c>
      <c r="T54" s="54">
        <f t="shared" si="8"/>
        <v>12827</v>
      </c>
      <c r="U54" s="54">
        <f t="shared" si="8"/>
        <v>5780</v>
      </c>
      <c r="V54" s="54"/>
      <c r="W54" s="54">
        <f t="shared" si="8"/>
        <v>201333</v>
      </c>
    </row>
    <row r="55" spans="1:22" ht="12" customHeight="1">
      <c r="A55" s="1"/>
      <c r="D55" s="42"/>
      <c r="E55" s="42"/>
      <c r="F55" s="42"/>
      <c r="G55" s="42"/>
      <c r="H55" s="42"/>
      <c r="I55" s="23"/>
      <c r="J55" s="23"/>
      <c r="K55" s="23"/>
      <c r="L55" s="23"/>
      <c r="N55" s="20"/>
      <c r="Q55" s="20"/>
      <c r="S55" s="20"/>
      <c r="U55" s="20"/>
      <c r="V55" s="34"/>
    </row>
    <row r="56" spans="1:23" ht="13.5" thickBot="1">
      <c r="A56" s="1">
        <f>A54+1</f>
        <v>36</v>
      </c>
      <c r="B56" t="s">
        <v>40</v>
      </c>
      <c r="D56" s="41">
        <f aca="true" t="shared" si="9" ref="D56:W56">D50+D54</f>
        <v>1292541</v>
      </c>
      <c r="E56" s="41">
        <f t="shared" si="9"/>
        <v>1339430</v>
      </c>
      <c r="F56" s="41">
        <f t="shared" si="9"/>
        <v>942430</v>
      </c>
      <c r="G56" s="41">
        <f t="shared" si="9"/>
        <v>942865</v>
      </c>
      <c r="H56" s="41">
        <f t="shared" si="9"/>
        <v>1233514</v>
      </c>
      <c r="I56" s="41">
        <f t="shared" si="9"/>
        <v>1257027</v>
      </c>
      <c r="J56" s="111">
        <f t="shared" si="9"/>
        <v>1413525</v>
      </c>
      <c r="K56" s="52">
        <f t="shared" si="9"/>
        <v>1496991</v>
      </c>
      <c r="L56" s="52">
        <f t="shared" si="9"/>
        <v>1722290</v>
      </c>
      <c r="M56" s="53">
        <f t="shared" si="9"/>
        <v>1235949</v>
      </c>
      <c r="N56" s="53">
        <f t="shared" si="9"/>
        <v>784351</v>
      </c>
      <c r="O56" s="53">
        <f t="shared" si="9"/>
        <v>1528687</v>
      </c>
      <c r="P56" s="53">
        <f t="shared" si="9"/>
        <v>1705125</v>
      </c>
      <c r="Q56" s="53">
        <f t="shared" si="9"/>
        <v>1647378</v>
      </c>
      <c r="R56" s="53">
        <f t="shared" si="9"/>
        <v>1581143</v>
      </c>
      <c r="S56" s="53">
        <f t="shared" si="9"/>
        <v>1820776</v>
      </c>
      <c r="T56" s="53">
        <f t="shared" si="9"/>
        <v>1515336</v>
      </c>
      <c r="U56" s="53">
        <f t="shared" si="9"/>
        <v>1770996</v>
      </c>
      <c r="V56" s="54"/>
      <c r="W56" s="53">
        <f t="shared" si="9"/>
        <v>18222547</v>
      </c>
    </row>
    <row r="57" spans="1:22" ht="8.25" customHeight="1" thickTop="1">
      <c r="A57" s="1"/>
      <c r="D57" s="40"/>
      <c r="E57" s="40"/>
      <c r="F57" s="40"/>
      <c r="G57" s="40"/>
      <c r="H57" s="40"/>
      <c r="I57" s="20"/>
      <c r="J57" s="20"/>
      <c r="K57" s="20"/>
      <c r="L57" s="20"/>
      <c r="N57" s="20"/>
      <c r="S57" s="20"/>
      <c r="U57" s="20"/>
      <c r="V57" s="34"/>
    </row>
    <row r="58" spans="1:22" ht="12.75">
      <c r="A58" s="1"/>
      <c r="B58" s="39" t="s">
        <v>50</v>
      </c>
      <c r="D58" s="40"/>
      <c r="E58" s="40"/>
      <c r="F58" s="40"/>
      <c r="G58" s="40"/>
      <c r="H58" s="40"/>
      <c r="I58" s="20"/>
      <c r="J58" s="20"/>
      <c r="K58" s="20"/>
      <c r="L58" s="20"/>
      <c r="N58" s="20"/>
      <c r="S58" s="20"/>
      <c r="U58" s="20"/>
      <c r="V58" s="34"/>
    </row>
    <row r="59" spans="1:23" ht="12.75">
      <c r="A59" s="1">
        <f>A56+1</f>
        <v>37</v>
      </c>
      <c r="B59" t="s">
        <v>32</v>
      </c>
      <c r="C59" t="s">
        <v>51</v>
      </c>
      <c r="D59" s="40"/>
      <c r="E59" s="40"/>
      <c r="F59" s="40"/>
      <c r="G59" s="40"/>
      <c r="H59" s="40"/>
      <c r="I59" s="20">
        <v>49867</v>
      </c>
      <c r="J59" s="20">
        <v>46083</v>
      </c>
      <c r="K59" s="20">
        <v>45232</v>
      </c>
      <c r="L59" s="55">
        <v>48458</v>
      </c>
      <c r="M59" s="55">
        <v>44712</v>
      </c>
      <c r="N59" s="20">
        <v>21147</v>
      </c>
      <c r="O59" s="20">
        <v>36427</v>
      </c>
      <c r="P59" s="55">
        <v>46049</v>
      </c>
      <c r="Q59" s="55">
        <v>41993</v>
      </c>
      <c r="R59" s="55">
        <v>46044</v>
      </c>
      <c r="S59" s="20">
        <v>45702</v>
      </c>
      <c r="T59" s="20">
        <v>48547</v>
      </c>
      <c r="U59" s="20">
        <v>53976</v>
      </c>
      <c r="V59" s="34"/>
      <c r="W59" s="35">
        <f>SUM(J59:U59)</f>
        <v>524370</v>
      </c>
    </row>
    <row r="60" spans="1:23" ht="12.75">
      <c r="A60" s="1">
        <f>A59+1</f>
        <v>38</v>
      </c>
      <c r="B60" t="s">
        <v>52</v>
      </c>
      <c r="D60" s="40"/>
      <c r="E60" s="40"/>
      <c r="F60" s="40"/>
      <c r="G60" s="40"/>
      <c r="H60" s="40"/>
      <c r="I60" s="20">
        <v>91484</v>
      </c>
      <c r="J60" s="20">
        <v>101926</v>
      </c>
      <c r="K60" s="20">
        <v>89232</v>
      </c>
      <c r="L60" s="55">
        <v>102899</v>
      </c>
      <c r="M60" s="55">
        <v>62461</v>
      </c>
      <c r="N60" s="20">
        <v>47454</v>
      </c>
      <c r="O60" s="20">
        <v>64628</v>
      </c>
      <c r="P60" s="55">
        <v>85911</v>
      </c>
      <c r="Q60" s="55">
        <v>83125</v>
      </c>
      <c r="R60" s="20">
        <v>85080</v>
      </c>
      <c r="S60" s="20">
        <v>101446</v>
      </c>
      <c r="T60" s="20">
        <v>99600</v>
      </c>
      <c r="U60" s="20">
        <v>96882</v>
      </c>
      <c r="V60" s="34"/>
      <c r="W60" s="35">
        <f>SUM(J60:U60)</f>
        <v>1020644</v>
      </c>
    </row>
    <row r="61" spans="1:22" ht="9" customHeight="1">
      <c r="A61" s="1"/>
      <c r="D61" s="40"/>
      <c r="E61" s="40"/>
      <c r="F61" s="40"/>
      <c r="G61" s="40"/>
      <c r="H61" s="40"/>
      <c r="I61" s="20"/>
      <c r="J61" s="20"/>
      <c r="K61" s="20"/>
      <c r="L61" s="20"/>
      <c r="N61" s="20"/>
      <c r="S61" s="20"/>
      <c r="U61" s="20"/>
      <c r="V61" s="34"/>
    </row>
    <row r="62" spans="1:22" ht="12.75">
      <c r="A62" s="1"/>
      <c r="B62" s="39" t="s">
        <v>53</v>
      </c>
      <c r="D62" s="40"/>
      <c r="E62" s="40"/>
      <c r="F62" s="40"/>
      <c r="G62" s="40"/>
      <c r="H62" s="40"/>
      <c r="I62" s="20"/>
      <c r="J62" s="20"/>
      <c r="K62" s="20"/>
      <c r="L62" s="20"/>
      <c r="N62" s="20"/>
      <c r="S62" s="20"/>
      <c r="U62" s="20"/>
      <c r="V62" s="34"/>
    </row>
    <row r="63" spans="1:23" ht="12.75">
      <c r="A63" s="1">
        <f>A60+1</f>
        <v>39</v>
      </c>
      <c r="B63" t="s">
        <v>32</v>
      </c>
      <c r="C63" s="43" t="s">
        <v>33</v>
      </c>
      <c r="D63" s="40"/>
      <c r="E63" s="40"/>
      <c r="F63" s="40"/>
      <c r="G63" s="40"/>
      <c r="H63" s="40"/>
      <c r="I63" s="20"/>
      <c r="J63" s="57">
        <f aca="true" t="shared" si="10" ref="J63:L64">J48/J59</f>
        <v>12.11</v>
      </c>
      <c r="K63" s="57">
        <f t="shared" si="10"/>
        <v>11.39</v>
      </c>
      <c r="L63" s="57">
        <f t="shared" si="10"/>
        <v>12.03</v>
      </c>
      <c r="M63" s="57">
        <f aca="true" t="shared" si="11" ref="M63:O64">M48/M59</f>
        <v>12.61</v>
      </c>
      <c r="N63" s="57">
        <f t="shared" si="11"/>
        <v>13.1</v>
      </c>
      <c r="O63" s="57">
        <f t="shared" si="11"/>
        <v>19.45</v>
      </c>
      <c r="P63" s="57">
        <f aca="true" t="shared" si="12" ref="P63:R64">P48/P59</f>
        <v>14.11</v>
      </c>
      <c r="Q63" s="57">
        <f t="shared" si="12"/>
        <v>14.76</v>
      </c>
      <c r="R63" s="57">
        <f t="shared" si="12"/>
        <v>13.72</v>
      </c>
      <c r="S63" s="57">
        <f aca="true" t="shared" si="13" ref="S63:U64">S48/S59</f>
        <v>14.29</v>
      </c>
      <c r="T63" s="57">
        <f t="shared" si="13"/>
        <v>15.18</v>
      </c>
      <c r="U63" s="57">
        <f t="shared" si="13"/>
        <v>16.59</v>
      </c>
      <c r="V63" s="88"/>
      <c r="W63" s="57">
        <f>W48/W59</f>
        <v>14.1</v>
      </c>
    </row>
    <row r="64" spans="1:23" ht="12.75">
      <c r="A64" s="1">
        <f>A63+1</f>
        <v>40</v>
      </c>
      <c r="B64" t="s">
        <v>35</v>
      </c>
      <c r="C64" s="1" t="s">
        <v>34</v>
      </c>
      <c r="D64" s="40"/>
      <c r="E64" s="40"/>
      <c r="F64" s="40"/>
      <c r="G64" s="40"/>
      <c r="H64" s="40"/>
      <c r="I64" s="20"/>
      <c r="J64" s="57">
        <f t="shared" si="10"/>
        <v>8.46</v>
      </c>
      <c r="K64" s="57">
        <f t="shared" si="10"/>
        <v>11</v>
      </c>
      <c r="L64" s="57">
        <f t="shared" si="10"/>
        <v>10.98</v>
      </c>
      <c r="M64" s="57">
        <f t="shared" si="11"/>
        <v>10.74</v>
      </c>
      <c r="N64" s="57">
        <f t="shared" si="11"/>
        <v>10.61</v>
      </c>
      <c r="O64" s="57">
        <f t="shared" si="11"/>
        <v>12.22</v>
      </c>
      <c r="P64" s="57">
        <f t="shared" si="12"/>
        <v>11.51</v>
      </c>
      <c r="Q64" s="57">
        <f t="shared" si="12"/>
        <v>12.1</v>
      </c>
      <c r="R64" s="57">
        <f t="shared" si="12"/>
        <v>10.88</v>
      </c>
      <c r="S64" s="57">
        <f t="shared" si="13"/>
        <v>11.2</v>
      </c>
      <c r="T64" s="57">
        <f t="shared" si="13"/>
        <v>7.69</v>
      </c>
      <c r="U64" s="57">
        <f t="shared" si="13"/>
        <v>8.98</v>
      </c>
      <c r="V64" s="88"/>
      <c r="W64" s="57">
        <f>W49/W60</f>
        <v>10.41</v>
      </c>
    </row>
    <row r="65" spans="1:22" ht="12.75">
      <c r="A65" s="1"/>
      <c r="D65" s="40"/>
      <c r="E65" s="40"/>
      <c r="F65" s="40"/>
      <c r="G65" s="40"/>
      <c r="H65" s="40"/>
      <c r="I65" s="20"/>
      <c r="J65" s="20"/>
      <c r="K65" s="20"/>
      <c r="L65" s="20"/>
      <c r="N65" s="20"/>
      <c r="S65" s="20"/>
      <c r="U65" s="20"/>
      <c r="V65" s="34"/>
    </row>
    <row r="66" spans="1:22" ht="18" customHeight="1">
      <c r="A66" s="1"/>
      <c r="D66" s="40"/>
      <c r="E66" s="40"/>
      <c r="F66" s="40"/>
      <c r="G66" s="40"/>
      <c r="H66" s="40"/>
      <c r="I66" s="20"/>
      <c r="J66" s="20"/>
      <c r="K66" s="20"/>
      <c r="L66" s="20"/>
      <c r="N66" s="20"/>
      <c r="S66" s="20"/>
      <c r="U66" s="20"/>
      <c r="V66" s="34"/>
    </row>
    <row r="67" spans="1:22" ht="13.5" customHeight="1">
      <c r="A67" s="1"/>
      <c r="B67" s="39" t="s">
        <v>41</v>
      </c>
      <c r="D67" s="40"/>
      <c r="E67" s="40"/>
      <c r="F67" s="40"/>
      <c r="G67" s="40"/>
      <c r="H67" s="40"/>
      <c r="I67" s="20"/>
      <c r="J67" s="20"/>
      <c r="K67" s="20"/>
      <c r="L67" s="20"/>
      <c r="N67" s="20"/>
      <c r="S67" s="20"/>
      <c r="U67" s="20"/>
      <c r="V67" s="34"/>
    </row>
    <row r="68" spans="1:23" ht="12.75">
      <c r="A68" s="1">
        <f>A64+1</f>
        <v>41</v>
      </c>
      <c r="B68" t="s">
        <v>42</v>
      </c>
      <c r="D68" s="40">
        <v>8028</v>
      </c>
      <c r="E68" s="40">
        <v>1239749</v>
      </c>
      <c r="F68" s="40">
        <v>885042</v>
      </c>
      <c r="G68" s="40">
        <v>-22329</v>
      </c>
      <c r="H68" s="40">
        <v>217329</v>
      </c>
      <c r="I68" s="20">
        <f>9475+70247</f>
        <v>79722</v>
      </c>
      <c r="J68" s="20">
        <v>7</v>
      </c>
      <c r="K68" s="20">
        <v>22</v>
      </c>
      <c r="L68" s="20">
        <v>629</v>
      </c>
      <c r="M68" s="20">
        <v>3678</v>
      </c>
      <c r="N68" s="20">
        <v>0</v>
      </c>
      <c r="O68" s="20">
        <v>978</v>
      </c>
      <c r="P68" s="55">
        <v>-47</v>
      </c>
      <c r="Q68" s="20">
        <v>-897</v>
      </c>
      <c r="R68" s="20">
        <v>0</v>
      </c>
      <c r="S68" s="20">
        <v>2954</v>
      </c>
      <c r="T68" s="20">
        <v>-154</v>
      </c>
      <c r="U68" s="20">
        <v>-5</v>
      </c>
      <c r="V68" s="34"/>
      <c r="W68" s="35">
        <f aca="true" t="shared" si="14" ref="W68:W73">SUM(J68:U68)</f>
        <v>7165</v>
      </c>
    </row>
    <row r="69" spans="1:23" ht="12.75">
      <c r="A69" s="1">
        <f aca="true" t="shared" si="15" ref="A69:A74">A68+1</f>
        <v>42</v>
      </c>
      <c r="B69" t="s">
        <v>65</v>
      </c>
      <c r="D69" s="40"/>
      <c r="E69" s="40"/>
      <c r="F69" s="40"/>
      <c r="G69" s="40"/>
      <c r="H69" s="40"/>
      <c r="I69" s="20"/>
      <c r="J69" s="20">
        <v>69742</v>
      </c>
      <c r="K69" s="20">
        <v>12</v>
      </c>
      <c r="L69" s="20">
        <v>-23</v>
      </c>
      <c r="M69" s="20">
        <v>61521</v>
      </c>
      <c r="N69" s="55">
        <v>72880</v>
      </c>
      <c r="O69" s="20">
        <v>25326</v>
      </c>
      <c r="P69" s="107">
        <v>311111</v>
      </c>
      <c r="Q69" s="20">
        <v>369940</v>
      </c>
      <c r="R69" s="20">
        <v>72923</v>
      </c>
      <c r="S69" s="20">
        <v>702</v>
      </c>
      <c r="T69" s="20">
        <v>1289</v>
      </c>
      <c r="U69" s="20">
        <v>6144</v>
      </c>
      <c r="V69" s="34"/>
      <c r="W69" s="35">
        <f t="shared" si="14"/>
        <v>991567</v>
      </c>
    </row>
    <row r="70" spans="1:23" ht="12.75">
      <c r="A70" s="1">
        <f t="shared" si="15"/>
        <v>43</v>
      </c>
      <c r="B70" t="s">
        <v>68</v>
      </c>
      <c r="D70" s="40"/>
      <c r="E70" s="40"/>
      <c r="F70" s="40"/>
      <c r="G70" s="40"/>
      <c r="H70" s="40"/>
      <c r="I70" s="20"/>
      <c r="J70" s="20">
        <v>28115</v>
      </c>
      <c r="K70" s="20">
        <v>17</v>
      </c>
      <c r="L70" s="20">
        <v>-32</v>
      </c>
      <c r="M70" s="20">
        <v>23727</v>
      </c>
      <c r="N70" s="55">
        <v>32755</v>
      </c>
      <c r="O70" s="20">
        <v>2730</v>
      </c>
      <c r="P70" s="107">
        <v>184645</v>
      </c>
      <c r="Q70" s="20">
        <v>167718</v>
      </c>
      <c r="R70" s="20">
        <v>34254</v>
      </c>
      <c r="S70" s="20">
        <v>24798</v>
      </c>
      <c r="T70" s="20">
        <v>1587</v>
      </c>
      <c r="U70" s="20">
        <v>26115</v>
      </c>
      <c r="V70" s="34"/>
      <c r="W70" s="35">
        <f t="shared" si="14"/>
        <v>526429</v>
      </c>
    </row>
    <row r="71" spans="1:23" ht="12.75">
      <c r="A71" s="1">
        <f t="shared" si="15"/>
        <v>44</v>
      </c>
      <c r="B71" t="s">
        <v>79</v>
      </c>
      <c r="D71" s="40"/>
      <c r="E71" s="40"/>
      <c r="F71" s="40"/>
      <c r="G71" s="40"/>
      <c r="H71" s="40"/>
      <c r="I71" s="20"/>
      <c r="J71" s="20">
        <v>1208463</v>
      </c>
      <c r="K71" s="20">
        <v>375047</v>
      </c>
      <c r="L71" s="20">
        <v>237939</v>
      </c>
      <c r="M71" s="20">
        <v>232347</v>
      </c>
      <c r="N71" s="55">
        <v>232486</v>
      </c>
      <c r="O71" s="20">
        <v>211947</v>
      </c>
      <c r="P71" s="107">
        <v>112878</v>
      </c>
      <c r="Q71" s="107">
        <v>202510</v>
      </c>
      <c r="R71" s="20">
        <v>2712069</v>
      </c>
      <c r="S71" s="20">
        <v>5048893</v>
      </c>
      <c r="T71" s="20">
        <v>3981012</v>
      </c>
      <c r="U71" s="20">
        <v>3209188</v>
      </c>
      <c r="V71" s="34"/>
      <c r="W71" s="35">
        <f t="shared" si="14"/>
        <v>17764779</v>
      </c>
    </row>
    <row r="72" spans="1:23" ht="12.75">
      <c r="A72" s="1">
        <f t="shared" si="15"/>
        <v>45</v>
      </c>
      <c r="B72" t="s">
        <v>43</v>
      </c>
      <c r="D72" s="40">
        <v>40056</v>
      </c>
      <c r="E72" s="40">
        <v>40001</v>
      </c>
      <c r="F72" s="40">
        <v>40001</v>
      </c>
      <c r="G72" s="40">
        <v>40001</v>
      </c>
      <c r="H72" s="40">
        <v>40001</v>
      </c>
      <c r="I72" s="20">
        <v>43734</v>
      </c>
      <c r="J72" s="20">
        <v>40000</v>
      </c>
      <c r="K72" s="20">
        <v>40000</v>
      </c>
      <c r="L72" s="20">
        <v>40000</v>
      </c>
      <c r="M72" s="20">
        <v>40000</v>
      </c>
      <c r="N72" s="20">
        <v>40000</v>
      </c>
      <c r="O72" s="20">
        <v>40000</v>
      </c>
      <c r="P72" s="20">
        <v>40000</v>
      </c>
      <c r="Q72" s="20">
        <v>40000</v>
      </c>
      <c r="R72" s="20">
        <v>40000</v>
      </c>
      <c r="S72" s="20">
        <v>40000</v>
      </c>
      <c r="T72" s="20">
        <v>40000</v>
      </c>
      <c r="U72" s="20">
        <v>40000</v>
      </c>
      <c r="V72" s="34"/>
      <c r="W72" s="35">
        <f t="shared" si="14"/>
        <v>480000</v>
      </c>
    </row>
    <row r="73" spans="1:23" ht="12.75">
      <c r="A73" s="1">
        <f t="shared" si="15"/>
        <v>46</v>
      </c>
      <c r="B73" s="5" t="s">
        <v>44</v>
      </c>
      <c r="C73" s="5"/>
      <c r="D73" s="42">
        <v>4240647</v>
      </c>
      <c r="E73" s="42">
        <v>4406000</v>
      </c>
      <c r="F73" s="42">
        <v>4362564</v>
      </c>
      <c r="G73" s="42">
        <v>5382244</v>
      </c>
      <c r="H73" s="42">
        <v>7344710</v>
      </c>
      <c r="I73" s="23">
        <v>8803851</v>
      </c>
      <c r="J73" s="23">
        <v>296579</v>
      </c>
      <c r="K73" s="23">
        <v>-11931</v>
      </c>
      <c r="L73" s="23">
        <v>27</v>
      </c>
      <c r="M73" s="23">
        <v>15</v>
      </c>
      <c r="N73" s="23">
        <v>-26</v>
      </c>
      <c r="O73" s="23">
        <v>-24</v>
      </c>
      <c r="P73" s="72">
        <v>42089</v>
      </c>
      <c r="Q73" s="23">
        <v>62</v>
      </c>
      <c r="R73" s="23">
        <v>6</v>
      </c>
      <c r="S73" s="23">
        <v>55</v>
      </c>
      <c r="T73" s="23">
        <v>46500</v>
      </c>
      <c r="U73" s="23">
        <v>40482</v>
      </c>
      <c r="V73" s="34"/>
      <c r="W73" s="56">
        <f t="shared" si="14"/>
        <v>413834</v>
      </c>
    </row>
    <row r="74" spans="1:23" ht="12.75">
      <c r="A74" s="1">
        <f t="shared" si="15"/>
        <v>47</v>
      </c>
      <c r="B74" t="s">
        <v>45</v>
      </c>
      <c r="D74" s="40">
        <f aca="true" t="shared" si="16" ref="D74:T74">SUM(D68:D73)</f>
        <v>4288731</v>
      </c>
      <c r="E74" s="40">
        <f t="shared" si="16"/>
        <v>5685750</v>
      </c>
      <c r="F74" s="40">
        <f t="shared" si="16"/>
        <v>5287607</v>
      </c>
      <c r="G74" s="40">
        <f t="shared" si="16"/>
        <v>5399916</v>
      </c>
      <c r="H74" s="40">
        <f t="shared" si="16"/>
        <v>7602040</v>
      </c>
      <c r="I74" s="20">
        <f t="shared" si="16"/>
        <v>8927307</v>
      </c>
      <c r="J74" s="34">
        <f t="shared" si="16"/>
        <v>1642906</v>
      </c>
      <c r="K74" s="34">
        <f t="shared" si="16"/>
        <v>403167</v>
      </c>
      <c r="L74" s="34">
        <f t="shared" si="16"/>
        <v>278540</v>
      </c>
      <c r="M74" s="34">
        <f t="shared" si="16"/>
        <v>361288</v>
      </c>
      <c r="N74" s="34">
        <f t="shared" si="16"/>
        <v>378095</v>
      </c>
      <c r="O74" s="34">
        <f t="shared" si="16"/>
        <v>280957</v>
      </c>
      <c r="P74" s="34">
        <f t="shared" si="16"/>
        <v>690676</v>
      </c>
      <c r="Q74" s="34">
        <f t="shared" si="16"/>
        <v>779333</v>
      </c>
      <c r="R74" s="34">
        <f t="shared" si="16"/>
        <v>2859252</v>
      </c>
      <c r="S74" s="34">
        <f t="shared" si="16"/>
        <v>5117402</v>
      </c>
      <c r="T74" s="34">
        <f t="shared" si="16"/>
        <v>4070234</v>
      </c>
      <c r="U74" s="34">
        <f>SUM(U68:U73)</f>
        <v>3321924</v>
      </c>
      <c r="V74" s="34"/>
      <c r="W74" s="34">
        <f>SUM(W68:W73)</f>
        <v>20183774</v>
      </c>
    </row>
    <row r="75" spans="1:22" ht="16.5" customHeight="1">
      <c r="A75" s="1"/>
      <c r="D75" s="40"/>
      <c r="E75" s="40"/>
      <c r="F75" s="40"/>
      <c r="G75" s="40"/>
      <c r="H75" s="40"/>
      <c r="I75" s="20"/>
      <c r="J75" s="20"/>
      <c r="K75" s="20"/>
      <c r="L75" s="20"/>
      <c r="N75" s="20"/>
      <c r="S75" s="20"/>
      <c r="U75" s="20"/>
      <c r="V75" s="34"/>
    </row>
    <row r="76" spans="1:23" ht="12.75">
      <c r="A76" s="1">
        <f>A74+1</f>
        <v>48</v>
      </c>
      <c r="B76" s="44" t="s">
        <v>89</v>
      </c>
      <c r="C76" s="44"/>
      <c r="D76" s="58" t="e">
        <f>D56+#REF!+D68+D72+D73</f>
        <v>#REF!</v>
      </c>
      <c r="E76" s="58" t="e">
        <f>E56+#REF!+E68+E72+E73</f>
        <v>#REF!</v>
      </c>
      <c r="F76" s="58" t="e">
        <f>F56+#REF!+F68+F72+F73</f>
        <v>#REF!</v>
      </c>
      <c r="G76" s="58" t="e">
        <f>G56+#REF!+G68+G72+G73</f>
        <v>#REF!</v>
      </c>
      <c r="H76" s="58" t="e">
        <f>H56+#REF!+H68+H72+H73</f>
        <v>#REF!</v>
      </c>
      <c r="I76" s="58">
        <f aca="true" t="shared" si="17" ref="I76:U76">I29-I44+I56+I74</f>
        <v>24167431</v>
      </c>
      <c r="J76" s="58">
        <f t="shared" si="17"/>
        <v>17814928</v>
      </c>
      <c r="K76" s="58">
        <f t="shared" si="17"/>
        <v>13779559</v>
      </c>
      <c r="L76" s="58">
        <f t="shared" si="17"/>
        <v>8176670</v>
      </c>
      <c r="M76" s="58">
        <f t="shared" si="17"/>
        <v>7773054</v>
      </c>
      <c r="N76" s="59">
        <f t="shared" si="17"/>
        <v>2043667</v>
      </c>
      <c r="O76" s="59">
        <f t="shared" si="17"/>
        <v>4201268</v>
      </c>
      <c r="P76" s="59">
        <f t="shared" si="17"/>
        <v>12603538</v>
      </c>
      <c r="Q76" s="59">
        <f t="shared" si="17"/>
        <v>16339199</v>
      </c>
      <c r="R76" s="59">
        <f t="shared" si="17"/>
        <v>9654073</v>
      </c>
      <c r="S76" s="59">
        <f t="shared" si="17"/>
        <v>9808443</v>
      </c>
      <c r="T76" s="59">
        <f t="shared" si="17"/>
        <v>11141155</v>
      </c>
      <c r="U76" s="59">
        <f t="shared" si="17"/>
        <v>9923140</v>
      </c>
      <c r="V76" s="89"/>
      <c r="W76" s="59">
        <f>W29-W44+W56+W74</f>
        <v>123258694</v>
      </c>
    </row>
    <row r="77" spans="7:22" ht="12.75">
      <c r="G77" s="40"/>
      <c r="H77" s="40"/>
      <c r="I77" s="40"/>
      <c r="J77" s="20"/>
      <c r="K77" s="20"/>
      <c r="L77" s="20"/>
      <c r="N77" s="20"/>
      <c r="S77" s="20"/>
      <c r="U77" s="20"/>
      <c r="V77" s="34"/>
    </row>
    <row r="78" spans="4:22" ht="12.75">
      <c r="D78" s="25"/>
      <c r="G78" s="40"/>
      <c r="H78" s="40"/>
      <c r="I78" s="40"/>
      <c r="J78" s="20"/>
      <c r="K78" s="20"/>
      <c r="L78" s="20"/>
      <c r="N78" s="20"/>
      <c r="S78" s="20"/>
      <c r="U78" s="20"/>
      <c r="V78" s="34"/>
    </row>
    <row r="79" spans="3:22" ht="12.75">
      <c r="C79" s="45" t="s">
        <v>51</v>
      </c>
      <c r="G79" s="40"/>
      <c r="H79" s="40"/>
      <c r="I79" s="40"/>
      <c r="J79" s="20"/>
      <c r="K79" s="20"/>
      <c r="L79" s="20"/>
      <c r="N79" s="20"/>
      <c r="S79" s="20"/>
      <c r="U79" s="20"/>
      <c r="V79" s="34"/>
    </row>
    <row r="80" spans="3:22" ht="12.75">
      <c r="C80" t="s">
        <v>51</v>
      </c>
      <c r="G80" s="40"/>
      <c r="H80" s="40"/>
      <c r="I80" s="40"/>
      <c r="J80" s="20"/>
      <c r="K80" s="20"/>
      <c r="L80" s="20"/>
      <c r="N80" s="20"/>
      <c r="S80" s="20"/>
      <c r="U80" s="20"/>
      <c r="V80" s="34"/>
    </row>
    <row r="81" spans="3:22" ht="12.75">
      <c r="C81" t="s">
        <v>51</v>
      </c>
      <c r="G81" s="40"/>
      <c r="H81" s="40"/>
      <c r="I81" s="40"/>
      <c r="J81" s="20"/>
      <c r="K81" s="20"/>
      <c r="L81" s="20"/>
      <c r="N81" s="20"/>
      <c r="S81" s="20"/>
      <c r="U81" s="20"/>
      <c r="V81" s="34"/>
    </row>
    <row r="82" spans="7:22" ht="12.75">
      <c r="G82" s="40"/>
      <c r="H82" s="40"/>
      <c r="I82" s="40"/>
      <c r="J82" s="20"/>
      <c r="K82" s="20"/>
      <c r="L82" s="20"/>
      <c r="N82" s="20"/>
      <c r="S82" s="20"/>
      <c r="U82" s="20"/>
      <c r="V82" s="34"/>
    </row>
    <row r="83" spans="7:22" ht="12.75">
      <c r="G83" s="40"/>
      <c r="H83" s="40"/>
      <c r="I83" s="40"/>
      <c r="J83" s="20"/>
      <c r="K83" s="20"/>
      <c r="L83" s="20"/>
      <c r="N83" s="20"/>
      <c r="S83" s="20"/>
      <c r="U83" s="20"/>
      <c r="V83" s="34"/>
    </row>
    <row r="84" spans="7:22" ht="12.75">
      <c r="G84" s="40"/>
      <c r="H84" s="40"/>
      <c r="I84" s="40"/>
      <c r="J84" s="20"/>
      <c r="K84" s="20"/>
      <c r="L84" s="20"/>
      <c r="N84" s="20"/>
      <c r="S84" s="20"/>
      <c r="U84" s="20"/>
      <c r="V84" s="34"/>
    </row>
    <row r="85" spans="7:22" ht="12.75">
      <c r="G85" s="40"/>
      <c r="H85" s="40"/>
      <c r="I85" s="40"/>
      <c r="J85" s="20"/>
      <c r="K85" s="20"/>
      <c r="L85" s="20"/>
      <c r="N85" s="20"/>
      <c r="S85" s="20"/>
      <c r="U85" s="20"/>
      <c r="V85" s="34"/>
    </row>
    <row r="86" spans="7:22" ht="12.75">
      <c r="G86" s="40"/>
      <c r="H86" s="40"/>
      <c r="I86" s="40"/>
      <c r="J86" s="20"/>
      <c r="K86" s="20"/>
      <c r="L86" s="20"/>
      <c r="N86" s="20"/>
      <c r="S86" s="20"/>
      <c r="U86" s="20"/>
      <c r="V86" s="34"/>
    </row>
    <row r="87" spans="7:22" ht="12.75">
      <c r="G87" s="40"/>
      <c r="H87" s="40"/>
      <c r="I87" s="40"/>
      <c r="J87" s="20"/>
      <c r="K87" s="20"/>
      <c r="L87" s="20"/>
      <c r="N87" s="20"/>
      <c r="S87" s="20"/>
      <c r="U87" s="20"/>
      <c r="V87" s="34"/>
    </row>
    <row r="88" spans="7:22" ht="12.75">
      <c r="G88" s="40"/>
      <c r="H88" s="40"/>
      <c r="I88" s="40"/>
      <c r="J88" s="20"/>
      <c r="K88" s="20"/>
      <c r="L88" s="20"/>
      <c r="N88" s="20"/>
      <c r="S88" s="20"/>
      <c r="U88" s="20"/>
      <c r="V88" s="34"/>
    </row>
    <row r="89" spans="7:22" ht="12.75">
      <c r="G89" s="40"/>
      <c r="H89" s="40"/>
      <c r="I89" s="40"/>
      <c r="J89" s="20"/>
      <c r="K89" s="20"/>
      <c r="L89" s="20"/>
      <c r="N89" s="20"/>
      <c r="S89" s="20"/>
      <c r="U89" s="20"/>
      <c r="V89" s="34"/>
    </row>
    <row r="90" spans="7:22" ht="12.75">
      <c r="G90" s="40"/>
      <c r="H90" s="40"/>
      <c r="I90" s="40"/>
      <c r="J90" s="20"/>
      <c r="K90" s="20"/>
      <c r="L90" s="20"/>
      <c r="N90" s="20"/>
      <c r="S90" s="20"/>
      <c r="U90" s="20"/>
      <c r="V90" s="34"/>
    </row>
    <row r="91" spans="7:22" ht="12.75">
      <c r="G91" s="40"/>
      <c r="H91" s="40"/>
      <c r="I91" s="40"/>
      <c r="J91" s="20"/>
      <c r="K91" s="20"/>
      <c r="L91" s="20"/>
      <c r="N91" s="20"/>
      <c r="S91" s="20"/>
      <c r="U91" s="20"/>
      <c r="V91" s="34"/>
    </row>
    <row r="92" spans="7:22" ht="12.75">
      <c r="G92" s="40"/>
      <c r="H92" s="40"/>
      <c r="I92" s="40"/>
      <c r="J92" s="20"/>
      <c r="K92" s="20"/>
      <c r="L92" s="20"/>
      <c r="N92" s="20"/>
      <c r="S92" s="20"/>
      <c r="U92" s="20"/>
      <c r="V92" s="34"/>
    </row>
    <row r="93" spans="7:22" ht="12.75">
      <c r="G93" s="40"/>
      <c r="H93" s="40"/>
      <c r="I93" s="40"/>
      <c r="J93" s="20"/>
      <c r="K93" s="20"/>
      <c r="L93" s="20"/>
      <c r="N93" s="20"/>
      <c r="S93" s="20"/>
      <c r="U93" s="20"/>
      <c r="V93" s="34"/>
    </row>
    <row r="94" spans="7:22" ht="12.75">
      <c r="G94" s="40"/>
      <c r="H94" s="40"/>
      <c r="I94" s="40"/>
      <c r="J94" s="20"/>
      <c r="K94" s="20"/>
      <c r="L94" s="20"/>
      <c r="N94" s="20"/>
      <c r="S94" s="20"/>
      <c r="U94" s="20"/>
      <c r="V94" s="34"/>
    </row>
    <row r="95" spans="7:22" ht="12.75">
      <c r="G95" s="40"/>
      <c r="H95" s="40"/>
      <c r="I95" s="40"/>
      <c r="J95" s="20"/>
      <c r="K95" s="20"/>
      <c r="L95" s="20"/>
      <c r="N95" s="20"/>
      <c r="S95" s="20"/>
      <c r="U95" s="20"/>
      <c r="V95" s="34"/>
    </row>
    <row r="96" spans="7:22" ht="12.75">
      <c r="G96" s="40"/>
      <c r="H96" s="40"/>
      <c r="I96" s="40"/>
      <c r="J96" s="20"/>
      <c r="K96" s="20"/>
      <c r="L96" s="20"/>
      <c r="N96" s="20"/>
      <c r="S96" s="20"/>
      <c r="U96" s="20"/>
      <c r="V96" s="34"/>
    </row>
    <row r="97" spans="7:22" ht="12.75">
      <c r="G97" s="40"/>
      <c r="H97" s="40"/>
      <c r="I97" s="40"/>
      <c r="J97" s="20"/>
      <c r="K97" s="20"/>
      <c r="L97" s="20"/>
      <c r="N97" s="20"/>
      <c r="S97" s="20"/>
      <c r="U97" s="20"/>
      <c r="V97" s="34"/>
    </row>
    <row r="98" spans="7:22" ht="12.75">
      <c r="G98" s="40"/>
      <c r="H98" s="40"/>
      <c r="I98" s="40"/>
      <c r="J98" s="20"/>
      <c r="K98" s="20"/>
      <c r="L98" s="20"/>
      <c r="N98" s="20"/>
      <c r="S98" s="20"/>
      <c r="U98" s="20"/>
      <c r="V98" s="34"/>
    </row>
    <row r="99" spans="7:22" ht="12.75">
      <c r="G99" s="40"/>
      <c r="H99" s="40"/>
      <c r="I99" s="40"/>
      <c r="J99" s="20"/>
      <c r="K99" s="20"/>
      <c r="L99" s="20"/>
      <c r="N99" s="20"/>
      <c r="S99" s="20"/>
      <c r="U99" s="20"/>
      <c r="V99" s="34"/>
    </row>
    <row r="100" spans="7:22" ht="12.75">
      <c r="G100" s="40"/>
      <c r="H100" s="40"/>
      <c r="I100" s="40"/>
      <c r="J100" s="20"/>
      <c r="K100" s="20"/>
      <c r="L100" s="20"/>
      <c r="N100" s="20"/>
      <c r="S100" s="20"/>
      <c r="U100" s="20"/>
      <c r="V100" s="34"/>
    </row>
    <row r="101" spans="7:22" ht="12.75">
      <c r="G101" s="40"/>
      <c r="H101" s="40"/>
      <c r="I101" s="40"/>
      <c r="J101" s="20"/>
      <c r="K101" s="20"/>
      <c r="L101" s="20"/>
      <c r="N101" s="20"/>
      <c r="S101" s="20"/>
      <c r="U101" s="20"/>
      <c r="V101" s="34"/>
    </row>
    <row r="102" spans="7:22" ht="12.75">
      <c r="G102" s="40"/>
      <c r="H102" s="40"/>
      <c r="I102" s="40"/>
      <c r="J102" s="20"/>
      <c r="K102" s="20"/>
      <c r="L102" s="20"/>
      <c r="N102" s="20"/>
      <c r="S102" s="20"/>
      <c r="U102" s="20"/>
      <c r="V102" s="34"/>
    </row>
    <row r="103" spans="10:22" ht="12.75">
      <c r="J103" s="20"/>
      <c r="K103" s="20"/>
      <c r="L103" s="20"/>
      <c r="N103" s="20"/>
      <c r="S103" s="20"/>
      <c r="U103" s="20"/>
      <c r="V103" s="34"/>
    </row>
    <row r="104" spans="10:22" ht="12.75">
      <c r="J104" s="20"/>
      <c r="K104" s="20"/>
      <c r="L104" s="20"/>
      <c r="N104" s="20"/>
      <c r="S104" s="20"/>
      <c r="U104" s="20"/>
      <c r="V104" s="34"/>
    </row>
    <row r="105" spans="10:22" ht="12.75">
      <c r="J105" s="20"/>
      <c r="K105" s="20"/>
      <c r="L105" s="20"/>
      <c r="N105" s="20"/>
      <c r="S105" s="20"/>
      <c r="U105" s="20"/>
      <c r="V105" s="34"/>
    </row>
    <row r="106" spans="10:22" ht="12.75">
      <c r="J106" s="20"/>
      <c r="K106" s="20"/>
      <c r="L106" s="20"/>
      <c r="N106" s="20"/>
      <c r="S106" s="20"/>
      <c r="U106" s="20"/>
      <c r="V106" s="34"/>
    </row>
    <row r="107" spans="10:22" ht="12.75">
      <c r="J107" s="20"/>
      <c r="K107" s="20"/>
      <c r="L107" s="20"/>
      <c r="N107" s="20"/>
      <c r="S107" s="20"/>
      <c r="U107" s="20"/>
      <c r="V107" s="34"/>
    </row>
    <row r="108" spans="10:22" ht="12.75">
      <c r="J108" s="20"/>
      <c r="K108" s="20"/>
      <c r="L108" s="20"/>
      <c r="N108" s="20"/>
      <c r="S108" s="20"/>
      <c r="U108" s="20"/>
      <c r="V108" s="34"/>
    </row>
    <row r="109" spans="10:22" ht="12.75">
      <c r="J109" s="20"/>
      <c r="K109" s="20"/>
      <c r="L109" s="20"/>
      <c r="N109" s="20"/>
      <c r="S109" s="20"/>
      <c r="U109" s="20"/>
      <c r="V109" s="34"/>
    </row>
    <row r="110" spans="10:22" ht="12.75">
      <c r="J110" s="20"/>
      <c r="K110" s="20"/>
      <c r="L110" s="20"/>
      <c r="N110" s="20"/>
      <c r="S110" s="20"/>
      <c r="U110" s="20"/>
      <c r="V110" s="34"/>
    </row>
    <row r="111" spans="10:22" ht="12.75">
      <c r="J111" s="20"/>
      <c r="K111" s="20"/>
      <c r="L111" s="20"/>
      <c r="N111" s="20"/>
      <c r="S111" s="20"/>
      <c r="U111" s="20"/>
      <c r="V111" s="34"/>
    </row>
    <row r="112" spans="10:22" ht="12.75">
      <c r="J112" s="20"/>
      <c r="K112" s="20"/>
      <c r="L112" s="20"/>
      <c r="N112" s="20"/>
      <c r="S112" s="20"/>
      <c r="U112" s="20"/>
      <c r="V112" s="34"/>
    </row>
    <row r="113" spans="10:22" ht="12.75">
      <c r="J113" s="20"/>
      <c r="K113" s="20"/>
      <c r="L113" s="20"/>
      <c r="N113" s="20"/>
      <c r="S113" s="20"/>
      <c r="U113" s="20"/>
      <c r="V113" s="34"/>
    </row>
    <row r="114" spans="10:22" ht="12.75">
      <c r="J114" s="20"/>
      <c r="K114" s="20"/>
      <c r="L114" s="20"/>
      <c r="N114" s="20"/>
      <c r="S114" s="20"/>
      <c r="U114" s="20"/>
      <c r="V114" s="34"/>
    </row>
    <row r="115" spans="10:22" ht="12.75">
      <c r="J115" s="20"/>
      <c r="K115" s="20"/>
      <c r="L115" s="20"/>
      <c r="N115" s="20"/>
      <c r="S115" s="20"/>
      <c r="U115" s="20"/>
      <c r="V115" s="34"/>
    </row>
    <row r="116" spans="10:22" ht="12.75">
      <c r="J116" s="20"/>
      <c r="K116" s="20"/>
      <c r="L116" s="20"/>
      <c r="N116" s="20"/>
      <c r="S116" s="20"/>
      <c r="U116" s="20"/>
      <c r="V116" s="34"/>
    </row>
    <row r="117" spans="10:22" ht="12.75">
      <c r="J117" s="20"/>
      <c r="K117" s="20"/>
      <c r="L117" s="20"/>
      <c r="N117" s="20"/>
      <c r="S117" s="20"/>
      <c r="U117" s="20"/>
      <c r="V117" s="34"/>
    </row>
    <row r="118" spans="10:22" ht="12.75">
      <c r="J118" s="20"/>
      <c r="K118" s="20"/>
      <c r="L118" s="20"/>
      <c r="N118" s="20"/>
      <c r="S118" s="20"/>
      <c r="U118" s="20"/>
      <c r="V118" s="34"/>
    </row>
    <row r="119" spans="10:22" ht="12.75">
      <c r="J119" s="20"/>
      <c r="K119" s="20"/>
      <c r="L119" s="20"/>
      <c r="N119" s="20"/>
      <c r="S119" s="20"/>
      <c r="U119" s="20"/>
      <c r="V119" s="34"/>
    </row>
    <row r="120" spans="10:22" ht="12.75">
      <c r="J120" s="20"/>
      <c r="K120" s="20"/>
      <c r="L120" s="20"/>
      <c r="N120" s="20"/>
      <c r="S120" s="20"/>
      <c r="U120" s="20"/>
      <c r="V120" s="34"/>
    </row>
    <row r="121" spans="10:22" ht="12.75">
      <c r="J121" s="20"/>
      <c r="K121" s="20"/>
      <c r="L121" s="20"/>
      <c r="N121" s="20"/>
      <c r="S121" s="20"/>
      <c r="U121" s="20"/>
      <c r="V121" s="34"/>
    </row>
    <row r="122" spans="10:22" ht="12.75">
      <c r="J122" s="20"/>
      <c r="K122" s="20"/>
      <c r="L122" s="20"/>
      <c r="N122" s="20"/>
      <c r="S122" s="20"/>
      <c r="U122" s="20"/>
      <c r="V122" s="34"/>
    </row>
    <row r="123" spans="10:22" ht="12.75">
      <c r="J123" s="20"/>
      <c r="K123" s="20"/>
      <c r="L123" s="20"/>
      <c r="N123" s="20"/>
      <c r="S123" s="20"/>
      <c r="U123" s="20"/>
      <c r="V123" s="34"/>
    </row>
    <row r="124" spans="10:22" ht="12.75">
      <c r="J124" s="20"/>
      <c r="K124" s="20"/>
      <c r="L124" s="20"/>
      <c r="N124" s="20"/>
      <c r="S124" s="20"/>
      <c r="U124" s="20"/>
      <c r="V124" s="34"/>
    </row>
    <row r="125" spans="10:22" ht="12.75">
      <c r="J125" s="20"/>
      <c r="K125" s="20"/>
      <c r="L125" s="20"/>
      <c r="N125" s="20"/>
      <c r="S125" s="20"/>
      <c r="U125" s="20"/>
      <c r="V125" s="34"/>
    </row>
    <row r="126" spans="10:22" ht="12.75">
      <c r="J126" s="20"/>
      <c r="K126" s="20"/>
      <c r="L126" s="20"/>
      <c r="N126" s="20"/>
      <c r="S126" s="20"/>
      <c r="U126" s="20"/>
      <c r="V126" s="34"/>
    </row>
    <row r="127" spans="10:22" ht="12.75">
      <c r="J127" s="20"/>
      <c r="K127" s="20"/>
      <c r="L127" s="20"/>
      <c r="N127" s="20"/>
      <c r="S127" s="20"/>
      <c r="U127" s="20"/>
      <c r="V127" s="34"/>
    </row>
    <row r="128" spans="10:22" ht="12.75">
      <c r="J128" s="20"/>
      <c r="K128" s="20"/>
      <c r="L128" s="20"/>
      <c r="N128" s="20"/>
      <c r="S128" s="20"/>
      <c r="U128" s="20"/>
      <c r="V128" s="34"/>
    </row>
    <row r="129" spans="10:22" ht="12.75">
      <c r="J129" s="20"/>
      <c r="K129" s="20"/>
      <c r="L129" s="20"/>
      <c r="N129" s="20"/>
      <c r="S129" s="20"/>
      <c r="U129" s="20"/>
      <c r="V129" s="34"/>
    </row>
    <row r="130" spans="10:22" ht="12.75">
      <c r="J130" s="20"/>
      <c r="K130" s="20"/>
      <c r="L130" s="20"/>
      <c r="N130" s="20"/>
      <c r="S130" s="20"/>
      <c r="U130" s="20"/>
      <c r="V130" s="34"/>
    </row>
    <row r="131" spans="10:22" ht="12.75">
      <c r="J131" s="20"/>
      <c r="K131" s="20"/>
      <c r="L131" s="20"/>
      <c r="N131" s="20"/>
      <c r="S131" s="20"/>
      <c r="U131" s="20"/>
      <c r="V131" s="34"/>
    </row>
    <row r="132" spans="10:22" ht="12.75">
      <c r="J132" s="20"/>
      <c r="K132" s="20"/>
      <c r="L132" s="20"/>
      <c r="N132" s="20"/>
      <c r="S132" s="20"/>
      <c r="U132" s="20"/>
      <c r="V132" s="34"/>
    </row>
    <row r="133" spans="10:22" ht="12.75">
      <c r="J133" s="20"/>
      <c r="K133" s="20"/>
      <c r="L133" s="20"/>
      <c r="N133" s="20"/>
      <c r="S133" s="20"/>
      <c r="U133" s="20"/>
      <c r="V133" s="34"/>
    </row>
    <row r="134" spans="10:22" ht="12.75">
      <c r="J134" s="20"/>
      <c r="K134" s="20"/>
      <c r="L134" s="20"/>
      <c r="N134" s="20"/>
      <c r="S134" s="20"/>
      <c r="U134" s="20"/>
      <c r="V134" s="34"/>
    </row>
    <row r="135" spans="10:22" ht="12.75">
      <c r="J135" s="20"/>
      <c r="K135" s="20"/>
      <c r="L135" s="20"/>
      <c r="N135" s="20"/>
      <c r="S135" s="20"/>
      <c r="U135" s="20"/>
      <c r="V135" s="34"/>
    </row>
    <row r="136" spans="10:22" ht="12.75">
      <c r="J136" s="20"/>
      <c r="K136" s="20"/>
      <c r="L136" s="20"/>
      <c r="N136" s="20"/>
      <c r="S136" s="20"/>
      <c r="U136" s="20"/>
      <c r="V136" s="34"/>
    </row>
    <row r="137" spans="10:22" ht="12.75">
      <c r="J137" s="20"/>
      <c r="K137" s="20"/>
      <c r="L137" s="20"/>
      <c r="N137" s="20"/>
      <c r="S137" s="20"/>
      <c r="U137" s="20"/>
      <c r="V137" s="34"/>
    </row>
    <row r="138" spans="10:22" ht="12.75">
      <c r="J138" s="20"/>
      <c r="K138" s="20"/>
      <c r="L138" s="20"/>
      <c r="N138" s="20"/>
      <c r="S138" s="20"/>
      <c r="U138" s="20"/>
      <c r="V138" s="34"/>
    </row>
    <row r="139" spans="10:22" ht="12.75">
      <c r="J139" s="20"/>
      <c r="K139" s="20"/>
      <c r="L139" s="20"/>
      <c r="N139" s="20"/>
      <c r="S139" s="20"/>
      <c r="U139" s="20"/>
      <c r="V139" s="34"/>
    </row>
    <row r="140" spans="10:22" ht="12.75">
      <c r="J140" s="20"/>
      <c r="K140" s="20"/>
      <c r="L140" s="20"/>
      <c r="N140" s="20"/>
      <c r="S140" s="20"/>
      <c r="U140" s="20"/>
      <c r="V140" s="34"/>
    </row>
    <row r="141" spans="10:22" ht="12.75">
      <c r="J141" s="20"/>
      <c r="K141" s="20"/>
      <c r="L141" s="20"/>
      <c r="N141" s="20"/>
      <c r="S141" s="20"/>
      <c r="U141" s="20"/>
      <c r="V141" s="34"/>
    </row>
    <row r="142" spans="10:22" ht="12.75">
      <c r="J142" s="20"/>
      <c r="K142" s="20"/>
      <c r="L142" s="20"/>
      <c r="N142" s="20"/>
      <c r="S142" s="20"/>
      <c r="U142" s="20"/>
      <c r="V142" s="34"/>
    </row>
    <row r="143" spans="10:22" ht="12.75">
      <c r="J143" s="20"/>
      <c r="K143" s="20"/>
      <c r="L143" s="20"/>
      <c r="N143" s="20"/>
      <c r="S143" s="20"/>
      <c r="U143" s="20"/>
      <c r="V143" s="34"/>
    </row>
    <row r="144" spans="10:22" ht="12.75">
      <c r="J144" s="20"/>
      <c r="K144" s="20"/>
      <c r="L144" s="20"/>
      <c r="N144" s="20"/>
      <c r="S144" s="20"/>
      <c r="U144" s="20"/>
      <c r="V144" s="34"/>
    </row>
    <row r="145" spans="10:22" ht="12.75">
      <c r="J145" s="20"/>
      <c r="K145" s="20"/>
      <c r="L145" s="20"/>
      <c r="N145" s="20"/>
      <c r="S145" s="20"/>
      <c r="U145" s="20"/>
      <c r="V145" s="34"/>
    </row>
    <row r="146" spans="10:22" ht="12.75">
      <c r="J146" s="20"/>
      <c r="K146" s="20"/>
      <c r="L146" s="20"/>
      <c r="N146" s="20"/>
      <c r="S146" s="20"/>
      <c r="U146" s="20"/>
      <c r="V146" s="34"/>
    </row>
    <row r="147" spans="10:22" ht="12.75">
      <c r="J147" s="20"/>
      <c r="K147" s="20"/>
      <c r="L147" s="20"/>
      <c r="N147" s="20"/>
      <c r="S147" s="20"/>
      <c r="U147" s="20"/>
      <c r="V147" s="34"/>
    </row>
    <row r="148" spans="10:22" ht="12.75">
      <c r="J148" s="20"/>
      <c r="K148" s="20"/>
      <c r="L148" s="20"/>
      <c r="N148" s="20"/>
      <c r="S148" s="20"/>
      <c r="U148" s="20"/>
      <c r="V148" s="34"/>
    </row>
    <row r="149" spans="10:22" ht="12.75">
      <c r="J149" s="20"/>
      <c r="K149" s="20"/>
      <c r="L149" s="20"/>
      <c r="N149" s="20"/>
      <c r="S149" s="20"/>
      <c r="U149" s="20"/>
      <c r="V149" s="34"/>
    </row>
    <row r="150" spans="10:22" ht="12.75">
      <c r="J150" s="20"/>
      <c r="K150" s="20"/>
      <c r="L150" s="20"/>
      <c r="N150" s="20"/>
      <c r="S150" s="20"/>
      <c r="U150" s="20"/>
      <c r="V150" s="34"/>
    </row>
    <row r="151" spans="10:22" ht="12.75">
      <c r="J151" s="20"/>
      <c r="K151" s="20"/>
      <c r="L151" s="20"/>
      <c r="N151" s="20"/>
      <c r="S151" s="20"/>
      <c r="U151" s="20"/>
      <c r="V151" s="34"/>
    </row>
    <row r="152" spans="10:22" ht="12.75">
      <c r="J152" s="20"/>
      <c r="K152" s="20"/>
      <c r="L152" s="20"/>
      <c r="N152" s="20"/>
      <c r="S152" s="20"/>
      <c r="U152" s="20"/>
      <c r="V152" s="34"/>
    </row>
    <row r="153" spans="10:22" ht="12.75">
      <c r="J153" s="20"/>
      <c r="K153" s="20"/>
      <c r="L153" s="20"/>
      <c r="N153" s="20"/>
      <c r="S153" s="20"/>
      <c r="U153" s="20"/>
      <c r="V153" s="34"/>
    </row>
    <row r="154" spans="10:22" ht="12.75">
      <c r="J154" s="20"/>
      <c r="K154" s="20"/>
      <c r="L154" s="20"/>
      <c r="N154" s="20"/>
      <c r="S154" s="20"/>
      <c r="U154" s="20"/>
      <c r="V154" s="34"/>
    </row>
    <row r="155" spans="10:22" ht="12.75">
      <c r="J155" s="20"/>
      <c r="K155" s="20"/>
      <c r="L155" s="20"/>
      <c r="N155" s="20"/>
      <c r="S155" s="20"/>
      <c r="U155" s="20"/>
      <c r="V155" s="34"/>
    </row>
    <row r="156" spans="10:22" ht="12.75">
      <c r="J156" s="20"/>
      <c r="K156" s="20"/>
      <c r="L156" s="20"/>
      <c r="N156" s="20"/>
      <c r="S156" s="20"/>
      <c r="U156" s="20"/>
      <c r="V156" s="34"/>
    </row>
    <row r="157" spans="10:22" ht="12.75">
      <c r="J157" s="20"/>
      <c r="K157" s="20"/>
      <c r="L157" s="20"/>
      <c r="N157" s="20"/>
      <c r="S157" s="20"/>
      <c r="U157" s="20"/>
      <c r="V157" s="34"/>
    </row>
    <row r="158" spans="10:22" ht="12.75">
      <c r="J158" s="20"/>
      <c r="K158" s="20"/>
      <c r="L158" s="20"/>
      <c r="N158" s="20"/>
      <c r="S158" s="20"/>
      <c r="U158" s="20"/>
      <c r="V158" s="34"/>
    </row>
    <row r="159" spans="10:22" ht="12.75">
      <c r="J159" s="20"/>
      <c r="K159" s="20"/>
      <c r="L159" s="20"/>
      <c r="N159" s="20"/>
      <c r="S159" s="20"/>
      <c r="U159" s="20"/>
      <c r="V159" s="34"/>
    </row>
    <row r="160" spans="10:22" ht="12.75">
      <c r="J160" s="20"/>
      <c r="K160" s="20"/>
      <c r="L160" s="20"/>
      <c r="N160" s="20"/>
      <c r="S160" s="20"/>
      <c r="U160" s="20"/>
      <c r="V160" s="34"/>
    </row>
    <row r="161" spans="10:22" ht="12.75">
      <c r="J161" s="20"/>
      <c r="K161" s="20"/>
      <c r="L161" s="20"/>
      <c r="N161" s="20"/>
      <c r="S161" s="20"/>
      <c r="U161" s="20"/>
      <c r="V161" s="34"/>
    </row>
    <row r="162" spans="10:22" ht="12.75">
      <c r="J162" s="20"/>
      <c r="K162" s="20"/>
      <c r="L162" s="20"/>
      <c r="N162" s="20"/>
      <c r="S162" s="20"/>
      <c r="U162" s="20"/>
      <c r="V162" s="34"/>
    </row>
    <row r="163" spans="10:22" ht="12.75">
      <c r="J163" s="20"/>
      <c r="K163" s="20"/>
      <c r="L163" s="20"/>
      <c r="N163" s="20"/>
      <c r="S163" s="20"/>
      <c r="U163" s="20"/>
      <c r="V163" s="34"/>
    </row>
    <row r="164" spans="10:22" ht="12.75">
      <c r="J164" s="20"/>
      <c r="K164" s="20"/>
      <c r="L164" s="20"/>
      <c r="N164" s="20"/>
      <c r="S164" s="20"/>
      <c r="U164" s="20"/>
      <c r="V164" s="34"/>
    </row>
    <row r="165" spans="10:22" ht="12.75">
      <c r="J165" s="20"/>
      <c r="K165" s="20"/>
      <c r="L165" s="20"/>
      <c r="N165" s="20"/>
      <c r="S165" s="20"/>
      <c r="U165" s="20"/>
      <c r="V165" s="34"/>
    </row>
    <row r="166" spans="10:22" ht="12.75">
      <c r="J166" s="20"/>
      <c r="K166" s="20"/>
      <c r="L166" s="20"/>
      <c r="N166" s="20"/>
      <c r="S166" s="20"/>
      <c r="U166" s="20"/>
      <c r="V166" s="34"/>
    </row>
    <row r="167" spans="10:22" ht="12.75">
      <c r="J167" s="20"/>
      <c r="K167" s="20"/>
      <c r="L167" s="20"/>
      <c r="N167" s="20"/>
      <c r="S167" s="20"/>
      <c r="U167" s="20"/>
      <c r="V167" s="34"/>
    </row>
    <row r="168" spans="10:22" ht="12.75">
      <c r="J168" s="20"/>
      <c r="K168" s="20"/>
      <c r="L168" s="20"/>
      <c r="N168" s="20"/>
      <c r="S168" s="20"/>
      <c r="U168" s="20"/>
      <c r="V168" s="34"/>
    </row>
    <row r="169" spans="10:22" ht="12.75">
      <c r="J169" s="20"/>
      <c r="K169" s="20"/>
      <c r="L169" s="20"/>
      <c r="N169" s="20"/>
      <c r="S169" s="20"/>
      <c r="U169" s="20"/>
      <c r="V169" s="34"/>
    </row>
    <row r="170" spans="10:22" ht="12.75">
      <c r="J170" s="20"/>
      <c r="K170" s="20"/>
      <c r="L170" s="20"/>
      <c r="N170" s="20"/>
      <c r="S170" s="20"/>
      <c r="U170" s="20"/>
      <c r="V170" s="34"/>
    </row>
    <row r="171" spans="10:22" ht="12.75">
      <c r="J171" s="20"/>
      <c r="K171" s="20"/>
      <c r="L171" s="20"/>
      <c r="N171" s="20"/>
      <c r="S171" s="20"/>
      <c r="U171" s="20"/>
      <c r="V171" s="34"/>
    </row>
    <row r="172" spans="10:22" ht="12.75">
      <c r="J172" s="20"/>
      <c r="K172" s="20"/>
      <c r="L172" s="20"/>
      <c r="N172" s="20"/>
      <c r="S172" s="20"/>
      <c r="U172" s="20"/>
      <c r="V172" s="34"/>
    </row>
    <row r="173" spans="10:22" ht="12.75">
      <c r="J173" s="20"/>
      <c r="K173" s="20"/>
      <c r="L173" s="20"/>
      <c r="N173" s="20"/>
      <c r="S173" s="20"/>
      <c r="U173" s="20"/>
      <c r="V173" s="34"/>
    </row>
    <row r="174" spans="10:22" ht="12.75">
      <c r="J174" s="20"/>
      <c r="K174" s="20"/>
      <c r="L174" s="20"/>
      <c r="N174" s="20"/>
      <c r="S174" s="20"/>
      <c r="U174" s="20"/>
      <c r="V174" s="34"/>
    </row>
    <row r="175" spans="10:22" ht="12.75">
      <c r="J175" s="20"/>
      <c r="K175" s="20"/>
      <c r="L175" s="20"/>
      <c r="N175" s="20"/>
      <c r="S175" s="20"/>
      <c r="U175" s="20"/>
      <c r="V175" s="34"/>
    </row>
    <row r="176" spans="10:22" ht="12.75">
      <c r="J176" s="20"/>
      <c r="K176" s="20"/>
      <c r="L176" s="20"/>
      <c r="N176" s="20"/>
      <c r="S176" s="20"/>
      <c r="U176" s="20"/>
      <c r="V176" s="34"/>
    </row>
    <row r="177" spans="10:22" ht="12.75">
      <c r="J177" s="20"/>
      <c r="K177" s="20"/>
      <c r="L177" s="20"/>
      <c r="N177" s="20"/>
      <c r="S177" s="20"/>
      <c r="U177" s="20"/>
      <c r="V177" s="34"/>
    </row>
    <row r="178" spans="10:22" ht="12.75">
      <c r="J178" s="20"/>
      <c r="K178" s="20"/>
      <c r="L178" s="20"/>
      <c r="N178" s="20"/>
      <c r="S178" s="20"/>
      <c r="U178" s="20"/>
      <c r="V178" s="34"/>
    </row>
    <row r="179" spans="10:22" ht="12.75">
      <c r="J179" s="20"/>
      <c r="K179" s="20"/>
      <c r="L179" s="20"/>
      <c r="N179" s="20"/>
      <c r="S179" s="20"/>
      <c r="U179" s="20"/>
      <c r="V179" s="34"/>
    </row>
    <row r="180" spans="10:22" ht="12.75">
      <c r="J180" s="20"/>
      <c r="K180" s="20"/>
      <c r="L180" s="20"/>
      <c r="N180" s="20"/>
      <c r="S180" s="20"/>
      <c r="U180" s="20"/>
      <c r="V180" s="34"/>
    </row>
    <row r="181" spans="10:22" ht="12.75">
      <c r="J181" s="20"/>
      <c r="K181" s="20"/>
      <c r="L181" s="20"/>
      <c r="N181" s="20"/>
      <c r="S181" s="20"/>
      <c r="U181" s="20"/>
      <c r="V181" s="34"/>
    </row>
    <row r="182" spans="10:22" ht="12.75">
      <c r="J182" s="20"/>
      <c r="K182" s="20"/>
      <c r="L182" s="20"/>
      <c r="N182" s="20"/>
      <c r="S182" s="20"/>
      <c r="U182" s="20"/>
      <c r="V182" s="34"/>
    </row>
    <row r="183" spans="10:22" ht="12.75">
      <c r="J183" s="20"/>
      <c r="K183" s="20"/>
      <c r="L183" s="20"/>
      <c r="N183" s="20"/>
      <c r="S183" s="20"/>
      <c r="U183" s="20"/>
      <c r="V183" s="34"/>
    </row>
    <row r="184" spans="10:22" ht="12.75">
      <c r="J184" s="20"/>
      <c r="K184" s="20"/>
      <c r="L184" s="20"/>
      <c r="N184" s="20"/>
      <c r="S184" s="20"/>
      <c r="U184" s="20"/>
      <c r="V184" s="34"/>
    </row>
    <row r="185" spans="10:22" ht="12.75">
      <c r="J185" s="20"/>
      <c r="K185" s="20"/>
      <c r="L185" s="20"/>
      <c r="N185" s="20"/>
      <c r="S185" s="20"/>
      <c r="U185" s="20"/>
      <c r="V185" s="34"/>
    </row>
    <row r="186" spans="10:22" ht="12.75">
      <c r="J186" s="20"/>
      <c r="K186" s="20"/>
      <c r="L186" s="20"/>
      <c r="N186" s="20"/>
      <c r="S186" s="20"/>
      <c r="U186" s="20"/>
      <c r="V186" s="34"/>
    </row>
    <row r="187" spans="10:22" ht="12.75">
      <c r="J187" s="20"/>
      <c r="K187" s="20"/>
      <c r="L187" s="20"/>
      <c r="N187" s="20"/>
      <c r="S187" s="20"/>
      <c r="U187" s="20"/>
      <c r="V187" s="34"/>
    </row>
    <row r="188" spans="10:22" ht="12.75">
      <c r="J188" s="20"/>
      <c r="K188" s="20"/>
      <c r="L188" s="20"/>
      <c r="N188" s="20"/>
      <c r="S188" s="20"/>
      <c r="U188" s="20"/>
      <c r="V188" s="34"/>
    </row>
    <row r="189" spans="10:22" ht="12.75">
      <c r="J189" s="20"/>
      <c r="K189" s="20"/>
      <c r="L189" s="20"/>
      <c r="N189" s="20"/>
      <c r="S189" s="20"/>
      <c r="U189" s="20"/>
      <c r="V189" s="34"/>
    </row>
    <row r="190" spans="10:22" ht="12.75">
      <c r="J190" s="20"/>
      <c r="K190" s="20"/>
      <c r="L190" s="20"/>
      <c r="N190" s="20"/>
      <c r="S190" s="20"/>
      <c r="U190" s="20"/>
      <c r="V190" s="34"/>
    </row>
    <row r="191" spans="10:22" ht="12.75">
      <c r="J191" s="20"/>
      <c r="K191" s="20"/>
      <c r="L191" s="20"/>
      <c r="N191" s="20"/>
      <c r="S191" s="20"/>
      <c r="U191" s="20"/>
      <c r="V191" s="34"/>
    </row>
    <row r="192" spans="10:22" ht="12.75">
      <c r="J192" s="20"/>
      <c r="K192" s="20"/>
      <c r="L192" s="20"/>
      <c r="N192" s="20"/>
      <c r="S192" s="20"/>
      <c r="U192" s="20"/>
      <c r="V192" s="34"/>
    </row>
    <row r="193" spans="10:22" ht="12.75">
      <c r="J193" s="20"/>
      <c r="K193" s="20"/>
      <c r="L193" s="20"/>
      <c r="N193" s="20"/>
      <c r="S193" s="20"/>
      <c r="U193" s="20"/>
      <c r="V193" s="34"/>
    </row>
    <row r="194" spans="10:22" ht="12.75">
      <c r="J194" s="20"/>
      <c r="K194" s="20"/>
      <c r="L194" s="20"/>
      <c r="N194" s="20"/>
      <c r="S194" s="20"/>
      <c r="U194" s="20"/>
      <c r="V194" s="34"/>
    </row>
    <row r="195" spans="10:22" ht="12.75">
      <c r="J195" s="20"/>
      <c r="K195" s="20"/>
      <c r="L195" s="20"/>
      <c r="N195" s="20"/>
      <c r="S195" s="20"/>
      <c r="U195" s="20"/>
      <c r="V195" s="34"/>
    </row>
    <row r="196" spans="10:22" ht="12.75">
      <c r="J196" s="20"/>
      <c r="K196" s="20"/>
      <c r="L196" s="20"/>
      <c r="N196" s="20"/>
      <c r="S196" s="20"/>
      <c r="U196" s="20"/>
      <c r="V196" s="34"/>
    </row>
    <row r="197" spans="10:22" ht="12.75">
      <c r="J197" s="20"/>
      <c r="L197" s="20"/>
      <c r="N197" s="20"/>
      <c r="S197" s="20"/>
      <c r="U197" s="20"/>
      <c r="V197" s="34"/>
    </row>
    <row r="198" spans="10:22" ht="12.75">
      <c r="J198" s="20"/>
      <c r="L198" s="20"/>
      <c r="N198" s="20"/>
      <c r="S198" s="20"/>
      <c r="U198" s="20"/>
      <c r="V198" s="34"/>
    </row>
    <row r="199" spans="14:22" ht="12.75">
      <c r="N199" s="20"/>
      <c r="S199" s="20"/>
      <c r="U199" s="20"/>
      <c r="V199" s="34"/>
    </row>
    <row r="200" spans="14:22" ht="12.75">
      <c r="N200" s="20"/>
      <c r="S200" s="20"/>
      <c r="U200" s="20"/>
      <c r="V200" s="34"/>
    </row>
    <row r="201" spans="14:22" ht="12.75">
      <c r="N201" s="20"/>
      <c r="S201" s="20"/>
      <c r="U201" s="20"/>
      <c r="V201" s="34"/>
    </row>
    <row r="202" spans="14:22" ht="12.75">
      <c r="N202" s="20"/>
      <c r="S202" s="20"/>
      <c r="U202" s="20"/>
      <c r="V202" s="34"/>
    </row>
    <row r="203" spans="14:22" ht="12.75">
      <c r="N203" s="20"/>
      <c r="S203" s="20"/>
      <c r="U203" s="20"/>
      <c r="V203" s="34"/>
    </row>
    <row r="204" spans="14:22" ht="12.75">
      <c r="N204" s="20"/>
      <c r="S204" s="20"/>
      <c r="U204" s="20"/>
      <c r="V204" s="34"/>
    </row>
    <row r="205" spans="14:22" ht="12.75">
      <c r="N205" s="20"/>
      <c r="S205" s="20"/>
      <c r="U205" s="20"/>
      <c r="V205" s="34"/>
    </row>
    <row r="206" spans="14:22" ht="12.75">
      <c r="N206" s="20"/>
      <c r="S206" s="20"/>
      <c r="U206" s="20"/>
      <c r="V206" s="34"/>
    </row>
    <row r="207" spans="14:22" ht="12.75">
      <c r="N207" s="20"/>
      <c r="S207" s="20"/>
      <c r="U207" s="20"/>
      <c r="V207" s="34"/>
    </row>
    <row r="208" spans="14:22" ht="12.75">
      <c r="N208" s="20"/>
      <c r="S208" s="20"/>
      <c r="U208" s="20"/>
      <c r="V208" s="34"/>
    </row>
    <row r="209" spans="14:22" ht="12.75">
      <c r="N209" s="20"/>
      <c r="S209" s="20"/>
      <c r="U209" s="20"/>
      <c r="V209" s="34"/>
    </row>
    <row r="210" spans="14:22" ht="12.75">
      <c r="N210" s="20"/>
      <c r="S210" s="20"/>
      <c r="U210" s="20"/>
      <c r="V210" s="34"/>
    </row>
    <row r="211" spans="14:22" ht="12.75">
      <c r="N211" s="20"/>
      <c r="S211" s="20"/>
      <c r="U211" s="20"/>
      <c r="V211" s="34"/>
    </row>
    <row r="212" spans="14:22" ht="12.75">
      <c r="N212" s="20"/>
      <c r="S212" s="20"/>
      <c r="U212" s="20"/>
      <c r="V212" s="34"/>
    </row>
    <row r="213" spans="14:22" ht="12.75">
      <c r="N213" s="20"/>
      <c r="S213" s="20"/>
      <c r="U213" s="20"/>
      <c r="V213" s="34"/>
    </row>
    <row r="214" spans="14:22" ht="12.75">
      <c r="N214" s="20"/>
      <c r="S214" s="20"/>
      <c r="U214" s="20"/>
      <c r="V214" s="34"/>
    </row>
    <row r="215" spans="14:22" ht="12.75">
      <c r="N215" s="20"/>
      <c r="S215" s="20"/>
      <c r="U215" s="20"/>
      <c r="V215" s="34"/>
    </row>
    <row r="216" spans="14:22" ht="12.75">
      <c r="N216" s="20"/>
      <c r="S216" s="20"/>
      <c r="U216" s="20"/>
      <c r="V216" s="34"/>
    </row>
    <row r="217" spans="14:22" ht="12.75">
      <c r="N217" s="20"/>
      <c r="S217" s="20"/>
      <c r="U217" s="20"/>
      <c r="V217" s="34"/>
    </row>
    <row r="218" spans="14:22" ht="12.75">
      <c r="N218" s="20"/>
      <c r="S218" s="20"/>
      <c r="U218" s="20"/>
      <c r="V218" s="34"/>
    </row>
    <row r="219" spans="14:22" ht="12.75">
      <c r="N219" s="20"/>
      <c r="S219" s="20"/>
      <c r="U219" s="20"/>
      <c r="V219" s="34"/>
    </row>
    <row r="220" spans="14:22" ht="12.75">
      <c r="N220" s="20"/>
      <c r="S220" s="20"/>
      <c r="U220" s="20"/>
      <c r="V220" s="34"/>
    </row>
    <row r="221" spans="14:22" ht="12.75">
      <c r="N221" s="20"/>
      <c r="S221" s="20"/>
      <c r="U221" s="20"/>
      <c r="V221" s="34"/>
    </row>
    <row r="222" spans="14:22" ht="12.75">
      <c r="N222" s="20"/>
      <c r="S222" s="20"/>
      <c r="U222" s="20"/>
      <c r="V222" s="34"/>
    </row>
    <row r="223" spans="14:22" ht="12.75">
      <c r="N223" s="20"/>
      <c r="S223" s="20"/>
      <c r="U223" s="20"/>
      <c r="V223" s="34"/>
    </row>
    <row r="224" spans="14:22" ht="12.75">
      <c r="N224" s="20"/>
      <c r="S224" s="20"/>
      <c r="U224" s="20"/>
      <c r="V224" s="34"/>
    </row>
    <row r="225" spans="14:22" ht="12.75">
      <c r="N225" s="20"/>
      <c r="S225" s="20"/>
      <c r="U225" s="20"/>
      <c r="V225" s="34"/>
    </row>
    <row r="226" spans="14:22" ht="12.75">
      <c r="N226" s="20"/>
      <c r="S226" s="20"/>
      <c r="U226" s="20"/>
      <c r="V226" s="34"/>
    </row>
    <row r="227" spans="14:22" ht="12.75">
      <c r="N227" s="20"/>
      <c r="S227" s="20"/>
      <c r="U227" s="20"/>
      <c r="V227" s="34"/>
    </row>
    <row r="228" spans="14:22" ht="12.75">
      <c r="N228" s="20"/>
      <c r="S228" s="20"/>
      <c r="U228" s="20"/>
      <c r="V228" s="34"/>
    </row>
    <row r="229" spans="14:22" ht="12.75">
      <c r="N229" s="20"/>
      <c r="S229" s="20"/>
      <c r="U229" s="20"/>
      <c r="V229" s="34"/>
    </row>
    <row r="230" spans="14:22" ht="12.75">
      <c r="N230" s="20"/>
      <c r="S230" s="20"/>
      <c r="U230" s="20"/>
      <c r="V230" s="34"/>
    </row>
    <row r="231" spans="14:22" ht="12.75">
      <c r="N231" s="20"/>
      <c r="S231" s="20"/>
      <c r="U231" s="20"/>
      <c r="V231" s="34"/>
    </row>
    <row r="232" spans="14:22" ht="12.75">
      <c r="N232" s="20"/>
      <c r="S232" s="20"/>
      <c r="U232" s="20"/>
      <c r="V232" s="34"/>
    </row>
    <row r="233" spans="14:22" ht="12.75">
      <c r="N233" s="20"/>
      <c r="S233" s="20"/>
      <c r="U233" s="20"/>
      <c r="V233" s="34"/>
    </row>
    <row r="234" spans="14:22" ht="12.75">
      <c r="N234" s="20"/>
      <c r="S234" s="20"/>
      <c r="U234" s="20"/>
      <c r="V234" s="34"/>
    </row>
    <row r="235" spans="14:22" ht="12.75">
      <c r="N235" s="20"/>
      <c r="S235" s="20"/>
      <c r="U235" s="20"/>
      <c r="V235" s="34"/>
    </row>
    <row r="236" spans="14:22" ht="12.75">
      <c r="N236" s="20"/>
      <c r="S236" s="20"/>
      <c r="U236" s="20"/>
      <c r="V236" s="34"/>
    </row>
    <row r="237" spans="14:22" ht="12.75">
      <c r="N237" s="20"/>
      <c r="S237" s="20"/>
      <c r="U237" s="20"/>
      <c r="V237" s="34"/>
    </row>
    <row r="238" spans="14:22" ht="12.75">
      <c r="N238" s="20"/>
      <c r="S238" s="20"/>
      <c r="U238" s="20"/>
      <c r="V238" s="34"/>
    </row>
    <row r="239" spans="14:22" ht="12.75">
      <c r="N239" s="20"/>
      <c r="S239" s="20"/>
      <c r="U239" s="20"/>
      <c r="V239" s="34"/>
    </row>
    <row r="240" spans="14:22" ht="12.75">
      <c r="N240" s="20"/>
      <c r="S240" s="20"/>
      <c r="U240" s="20"/>
      <c r="V240" s="34"/>
    </row>
    <row r="241" spans="14:22" ht="12.75">
      <c r="N241" s="20"/>
      <c r="S241" s="20"/>
      <c r="U241" s="20"/>
      <c r="V241" s="34"/>
    </row>
    <row r="242" spans="14:22" ht="12.75">
      <c r="N242" s="20"/>
      <c r="S242" s="20"/>
      <c r="U242" s="20"/>
      <c r="V242" s="34"/>
    </row>
    <row r="243" spans="14:22" ht="12.75">
      <c r="N243" s="20"/>
      <c r="S243" s="20"/>
      <c r="U243" s="20"/>
      <c r="V243" s="34"/>
    </row>
    <row r="244" spans="14:22" ht="12.75">
      <c r="N244" s="20"/>
      <c r="S244" s="20"/>
      <c r="U244" s="20"/>
      <c r="V244" s="34"/>
    </row>
    <row r="245" spans="14:22" ht="12.75">
      <c r="N245" s="20"/>
      <c r="S245" s="20"/>
      <c r="U245" s="20"/>
      <c r="V245" s="34"/>
    </row>
    <row r="246" spans="14:22" ht="12.75">
      <c r="N246" s="20"/>
      <c r="S246" s="20"/>
      <c r="U246" s="20"/>
      <c r="V246" s="34"/>
    </row>
    <row r="247" spans="14:22" ht="12.75">
      <c r="N247" s="20"/>
      <c r="S247" s="20"/>
      <c r="U247" s="20"/>
      <c r="V247" s="34"/>
    </row>
    <row r="248" spans="14:22" ht="12.75">
      <c r="N248" s="20"/>
      <c r="S248" s="20"/>
      <c r="U248" s="20"/>
      <c r="V248" s="34"/>
    </row>
    <row r="249" spans="14:22" ht="12.75">
      <c r="N249" s="20"/>
      <c r="S249" s="20"/>
      <c r="U249" s="20"/>
      <c r="V249" s="34"/>
    </row>
    <row r="250" spans="14:22" ht="12.75">
      <c r="N250" s="20"/>
      <c r="S250" s="20"/>
      <c r="U250" s="20"/>
      <c r="V250" s="34"/>
    </row>
    <row r="251" spans="14:22" ht="12.75">
      <c r="N251" s="20"/>
      <c r="S251" s="20"/>
      <c r="U251" s="20"/>
      <c r="V251" s="34"/>
    </row>
    <row r="252" spans="14:22" ht="12.75">
      <c r="N252" s="20"/>
      <c r="S252" s="20"/>
      <c r="U252" s="20"/>
      <c r="V252" s="34"/>
    </row>
    <row r="253" spans="14:22" ht="12.75">
      <c r="N253" s="20"/>
      <c r="S253" s="20"/>
      <c r="U253" s="20"/>
      <c r="V253" s="34"/>
    </row>
    <row r="254" spans="14:22" ht="12.75">
      <c r="N254" s="20"/>
      <c r="S254" s="20"/>
      <c r="U254" s="20"/>
      <c r="V254" s="34"/>
    </row>
    <row r="255" spans="14:22" ht="12.75">
      <c r="N255" s="20"/>
      <c r="S255" s="20"/>
      <c r="U255" s="20"/>
      <c r="V255" s="34"/>
    </row>
    <row r="256" spans="14:22" ht="12.75">
      <c r="N256" s="20"/>
      <c r="S256" s="20"/>
      <c r="U256" s="20"/>
      <c r="V256" s="34"/>
    </row>
    <row r="257" spans="14:22" ht="12.75">
      <c r="N257" s="20"/>
      <c r="S257" s="20"/>
      <c r="U257" s="20"/>
      <c r="V257" s="34"/>
    </row>
    <row r="258" spans="14:22" ht="12.75">
      <c r="N258" s="20"/>
      <c r="S258" s="20"/>
      <c r="U258" s="20"/>
      <c r="V258" s="34"/>
    </row>
    <row r="259" spans="14:22" ht="12.75">
      <c r="N259" s="20"/>
      <c r="S259" s="20"/>
      <c r="U259" s="20"/>
      <c r="V259" s="34"/>
    </row>
    <row r="260" spans="14:22" ht="12.75">
      <c r="N260" s="20"/>
      <c r="S260" s="20"/>
      <c r="U260" s="20"/>
      <c r="V260" s="34"/>
    </row>
    <row r="261" spans="14:22" ht="12.75">
      <c r="N261" s="20"/>
      <c r="S261" s="20"/>
      <c r="U261" s="20"/>
      <c r="V261" s="34"/>
    </row>
    <row r="262" spans="14:22" ht="12.75">
      <c r="N262" s="20"/>
      <c r="S262" s="20"/>
      <c r="U262" s="20"/>
      <c r="V262" s="34"/>
    </row>
    <row r="263" spans="14:22" ht="12.75">
      <c r="N263" s="20"/>
      <c r="S263" s="20"/>
      <c r="U263" s="20"/>
      <c r="V263" s="34"/>
    </row>
    <row r="264" spans="14:22" ht="12.75">
      <c r="N264" s="20"/>
      <c r="S264" s="20"/>
      <c r="U264" s="20"/>
      <c r="V264" s="34"/>
    </row>
    <row r="265" spans="14:22" ht="12.75">
      <c r="N265" s="20"/>
      <c r="S265" s="20"/>
      <c r="U265" s="20"/>
      <c r="V265" s="34"/>
    </row>
    <row r="266" spans="14:22" ht="12.75">
      <c r="N266" s="20"/>
      <c r="S266" s="20"/>
      <c r="U266" s="20"/>
      <c r="V266" s="34"/>
    </row>
    <row r="267" spans="14:22" ht="12.75">
      <c r="N267" s="20"/>
      <c r="S267" s="20"/>
      <c r="U267" s="20"/>
      <c r="V267" s="34"/>
    </row>
    <row r="268" spans="14:22" ht="12.75">
      <c r="N268" s="20"/>
      <c r="S268" s="20"/>
      <c r="U268" s="20"/>
      <c r="V268" s="34"/>
    </row>
    <row r="269" spans="14:22" ht="12.75">
      <c r="N269" s="20"/>
      <c r="S269" s="20"/>
      <c r="U269" s="20"/>
      <c r="V269" s="34"/>
    </row>
    <row r="270" spans="14:22" ht="12.75">
      <c r="N270" s="20"/>
      <c r="S270" s="20"/>
      <c r="U270" s="20"/>
      <c r="V270" s="34"/>
    </row>
    <row r="271" spans="14:22" ht="12.75">
      <c r="N271" s="20"/>
      <c r="S271" s="20"/>
      <c r="U271" s="20"/>
      <c r="V271" s="34"/>
    </row>
    <row r="272" spans="14:22" ht="12.75">
      <c r="N272" s="20"/>
      <c r="S272" s="20"/>
      <c r="U272" s="20"/>
      <c r="V272" s="34"/>
    </row>
    <row r="273" spans="14:22" ht="12.75">
      <c r="N273" s="20"/>
      <c r="S273" s="20"/>
      <c r="U273" s="20"/>
      <c r="V273" s="34"/>
    </row>
    <row r="274" spans="14:22" ht="12.75">
      <c r="N274" s="20"/>
      <c r="S274" s="20"/>
      <c r="U274" s="20"/>
      <c r="V274" s="34"/>
    </row>
    <row r="275" spans="14:22" ht="12.75">
      <c r="N275" s="20"/>
      <c r="S275" s="20"/>
      <c r="U275" s="20"/>
      <c r="V275" s="34"/>
    </row>
    <row r="276" spans="14:22" ht="12.75">
      <c r="N276" s="20"/>
      <c r="S276" s="20"/>
      <c r="U276" s="20"/>
      <c r="V276" s="34"/>
    </row>
    <row r="277" spans="14:22" ht="12.75">
      <c r="N277" s="20"/>
      <c r="S277" s="20"/>
      <c r="U277" s="20"/>
      <c r="V277" s="34"/>
    </row>
    <row r="278" spans="14:22" ht="12.75">
      <c r="N278" s="20"/>
      <c r="S278" s="20"/>
      <c r="U278" s="20"/>
      <c r="V278" s="34"/>
    </row>
    <row r="279" spans="14:22" ht="12.75">
      <c r="N279" s="20"/>
      <c r="S279" s="20"/>
      <c r="U279" s="20"/>
      <c r="V279" s="34"/>
    </row>
    <row r="280" spans="14:22" ht="12.75">
      <c r="N280" s="20"/>
      <c r="S280" s="20"/>
      <c r="U280" s="20"/>
      <c r="V280" s="34"/>
    </row>
    <row r="281" spans="14:22" ht="12.75">
      <c r="N281" s="20"/>
      <c r="S281" s="20"/>
      <c r="U281" s="20"/>
      <c r="V281" s="34"/>
    </row>
    <row r="282" spans="14:22" ht="12.75">
      <c r="N282" s="20"/>
      <c r="S282" s="20"/>
      <c r="U282" s="20"/>
      <c r="V282" s="34"/>
    </row>
    <row r="283" spans="14:22" ht="12.75">
      <c r="N283" s="20"/>
      <c r="S283" s="20"/>
      <c r="U283" s="20"/>
      <c r="V283" s="34"/>
    </row>
    <row r="284" spans="14:22" ht="12.75">
      <c r="N284" s="20"/>
      <c r="S284" s="20"/>
      <c r="U284" s="20"/>
      <c r="V284" s="34"/>
    </row>
    <row r="285" spans="14:22" ht="12.75">
      <c r="N285" s="20"/>
      <c r="S285" s="20"/>
      <c r="U285" s="20"/>
      <c r="V285" s="34"/>
    </row>
    <row r="286" spans="14:22" ht="12.75">
      <c r="N286" s="20"/>
      <c r="S286" s="20"/>
      <c r="U286" s="20"/>
      <c r="V286" s="34"/>
    </row>
    <row r="287" spans="14:22" ht="12.75">
      <c r="N287" s="20"/>
      <c r="S287" s="20"/>
      <c r="U287" s="20"/>
      <c r="V287" s="34"/>
    </row>
    <row r="288" spans="14:22" ht="12.75">
      <c r="N288" s="20"/>
      <c r="S288" s="20"/>
      <c r="U288" s="20"/>
      <c r="V288" s="34"/>
    </row>
    <row r="289" spans="14:22" ht="12.75">
      <c r="N289" s="20"/>
      <c r="S289" s="20"/>
      <c r="U289" s="20"/>
      <c r="V289" s="34"/>
    </row>
    <row r="290" spans="14:22" ht="12.75">
      <c r="N290" s="20"/>
      <c r="S290" s="20"/>
      <c r="U290" s="20"/>
      <c r="V290" s="34"/>
    </row>
    <row r="291" spans="14:22" ht="12.75">
      <c r="N291" s="20"/>
      <c r="S291" s="20"/>
      <c r="U291" s="20"/>
      <c r="V291" s="34"/>
    </row>
    <row r="292" spans="14:22" ht="12.75">
      <c r="N292" s="20"/>
      <c r="S292" s="20"/>
      <c r="U292" s="20"/>
      <c r="V292" s="34"/>
    </row>
    <row r="293" spans="14:22" ht="12.75">
      <c r="N293" s="20"/>
      <c r="S293" s="20"/>
      <c r="U293" s="20"/>
      <c r="V293" s="34"/>
    </row>
    <row r="294" spans="14:22" ht="12.75">
      <c r="N294" s="20"/>
      <c r="S294" s="20"/>
      <c r="U294" s="20"/>
      <c r="V294" s="34"/>
    </row>
    <row r="295" spans="14:22" ht="12.75">
      <c r="N295" s="20"/>
      <c r="S295" s="20"/>
      <c r="U295" s="20"/>
      <c r="V295" s="34"/>
    </row>
    <row r="296" spans="14:22" ht="12.75">
      <c r="N296" s="20"/>
      <c r="S296" s="20"/>
      <c r="U296" s="20"/>
      <c r="V296" s="34"/>
    </row>
    <row r="297" spans="14:22" ht="12.75">
      <c r="N297" s="20"/>
      <c r="S297" s="20"/>
      <c r="U297" s="20"/>
      <c r="V297" s="34"/>
    </row>
    <row r="298" spans="14:22" ht="12.75">
      <c r="N298" s="20"/>
      <c r="S298" s="20"/>
      <c r="U298" s="20"/>
      <c r="V298" s="34"/>
    </row>
    <row r="299" spans="14:22" ht="12.75">
      <c r="N299" s="20"/>
      <c r="S299" s="20"/>
      <c r="U299" s="20"/>
      <c r="V299" s="34"/>
    </row>
    <row r="300" spans="14:22" ht="12.75">
      <c r="N300" s="20"/>
      <c r="S300" s="20"/>
      <c r="U300" s="20"/>
      <c r="V300" s="34"/>
    </row>
    <row r="301" spans="14:22" ht="12.75">
      <c r="N301" s="20"/>
      <c r="S301" s="20"/>
      <c r="U301" s="20"/>
      <c r="V301" s="34"/>
    </row>
    <row r="302" spans="14:22" ht="12.75">
      <c r="N302" s="20"/>
      <c r="S302" s="20"/>
      <c r="U302" s="20"/>
      <c r="V302" s="34"/>
    </row>
    <row r="303" spans="14:22" ht="12.75">
      <c r="N303" s="20"/>
      <c r="S303" s="20"/>
      <c r="U303" s="20"/>
      <c r="V303" s="34"/>
    </row>
    <row r="304" spans="14:22" ht="12.75">
      <c r="N304" s="20"/>
      <c r="S304" s="20"/>
      <c r="U304" s="20"/>
      <c r="V304" s="34"/>
    </row>
    <row r="305" spans="14:22" ht="12.75">
      <c r="N305" s="20"/>
      <c r="S305" s="20"/>
      <c r="U305" s="20"/>
      <c r="V305" s="34"/>
    </row>
    <row r="306" spans="14:22" ht="12.75">
      <c r="N306" s="20"/>
      <c r="S306" s="20"/>
      <c r="U306" s="20"/>
      <c r="V306" s="34"/>
    </row>
    <row r="307" spans="14:22" ht="12.75">
      <c r="N307" s="20"/>
      <c r="S307" s="20"/>
      <c r="U307" s="20"/>
      <c r="V307" s="34"/>
    </row>
    <row r="308" spans="14:22" ht="12.75">
      <c r="N308" s="20"/>
      <c r="S308" s="20"/>
      <c r="U308" s="20"/>
      <c r="V308" s="34"/>
    </row>
    <row r="309" spans="14:22" ht="12.75">
      <c r="N309" s="20"/>
      <c r="S309" s="20"/>
      <c r="U309" s="20"/>
      <c r="V309" s="34"/>
    </row>
    <row r="310" spans="14:22" ht="12.75">
      <c r="N310" s="20"/>
      <c r="S310" s="20"/>
      <c r="U310" s="20"/>
      <c r="V310" s="34"/>
    </row>
    <row r="311" spans="14:22" ht="12.75">
      <c r="N311" s="20"/>
      <c r="S311" s="20"/>
      <c r="U311" s="20"/>
      <c r="V311" s="34"/>
    </row>
    <row r="312" spans="14:22" ht="12.75">
      <c r="N312" s="20"/>
      <c r="S312" s="20"/>
      <c r="U312" s="20"/>
      <c r="V312" s="34"/>
    </row>
    <row r="313" spans="14:22" ht="12.75">
      <c r="N313" s="20"/>
      <c r="S313" s="20"/>
      <c r="U313" s="20"/>
      <c r="V313" s="34"/>
    </row>
    <row r="314" spans="14:22" ht="12.75">
      <c r="N314" s="20"/>
      <c r="S314" s="20"/>
      <c r="U314" s="20"/>
      <c r="V314" s="34"/>
    </row>
    <row r="315" spans="14:22" ht="12.75">
      <c r="N315" s="20"/>
      <c r="S315" s="20"/>
      <c r="U315" s="20"/>
      <c r="V315" s="34"/>
    </row>
    <row r="316" spans="14:22" ht="12.75">
      <c r="N316" s="20"/>
      <c r="S316" s="20"/>
      <c r="U316" s="20"/>
      <c r="V316" s="34"/>
    </row>
    <row r="317" spans="14:22" ht="12.75">
      <c r="N317" s="20"/>
      <c r="S317" s="20"/>
      <c r="U317" s="20"/>
      <c r="V317" s="34"/>
    </row>
    <row r="318" spans="14:22" ht="12.75">
      <c r="N318" s="20"/>
      <c r="S318" s="20"/>
      <c r="U318" s="20"/>
      <c r="V318" s="34"/>
    </row>
    <row r="319" spans="14:22" ht="12.75">
      <c r="N319" s="20"/>
      <c r="S319" s="20"/>
      <c r="U319" s="20"/>
      <c r="V319" s="34"/>
    </row>
    <row r="320" spans="14:22" ht="12.75">
      <c r="N320" s="20"/>
      <c r="S320" s="20"/>
      <c r="U320" s="20"/>
      <c r="V320" s="34"/>
    </row>
    <row r="321" spans="14:22" ht="12.75">
      <c r="N321" s="20"/>
      <c r="S321" s="20"/>
      <c r="U321" s="20"/>
      <c r="V321" s="34"/>
    </row>
    <row r="322" spans="14:22" ht="12.75">
      <c r="N322" s="20"/>
      <c r="S322" s="20"/>
      <c r="U322" s="20"/>
      <c r="V322" s="34"/>
    </row>
    <row r="323" spans="14:22" ht="12.75">
      <c r="N323" s="20"/>
      <c r="S323" s="20"/>
      <c r="U323" s="20"/>
      <c r="V323" s="34"/>
    </row>
    <row r="324" spans="14:22" ht="12.75">
      <c r="N324" s="20"/>
      <c r="S324" s="20"/>
      <c r="U324" s="20"/>
      <c r="V324" s="34"/>
    </row>
    <row r="325" spans="14:22" ht="12.75">
      <c r="N325" s="20"/>
      <c r="S325" s="20"/>
      <c r="U325" s="20"/>
      <c r="V325" s="34"/>
    </row>
    <row r="326" spans="14:22" ht="12.75">
      <c r="N326" s="20"/>
      <c r="S326" s="20"/>
      <c r="U326" s="20"/>
      <c r="V326" s="34"/>
    </row>
    <row r="327" spans="14:22" ht="12.75">
      <c r="N327" s="20"/>
      <c r="S327" s="20"/>
      <c r="U327" s="20"/>
      <c r="V327" s="34"/>
    </row>
    <row r="328" spans="14:22" ht="12.75">
      <c r="N328" s="20"/>
      <c r="S328" s="20"/>
      <c r="U328" s="20"/>
      <c r="V328" s="34"/>
    </row>
    <row r="329" spans="14:22" ht="12.75">
      <c r="N329" s="20"/>
      <c r="S329" s="20"/>
      <c r="U329" s="20"/>
      <c r="V329" s="34"/>
    </row>
    <row r="330" spans="14:22" ht="12.75">
      <c r="N330" s="20"/>
      <c r="S330" s="20"/>
      <c r="U330" s="20"/>
      <c r="V330" s="34"/>
    </row>
    <row r="331" spans="14:22" ht="12.75">
      <c r="N331" s="20"/>
      <c r="S331" s="20"/>
      <c r="U331" s="20"/>
      <c r="V331" s="34"/>
    </row>
    <row r="332" spans="14:22" ht="12.75">
      <c r="N332" s="20"/>
      <c r="S332" s="20"/>
      <c r="U332" s="20"/>
      <c r="V332" s="34"/>
    </row>
    <row r="333" spans="14:22" ht="12.75">
      <c r="N333" s="20"/>
      <c r="S333" s="20"/>
      <c r="U333" s="20"/>
      <c r="V333" s="34"/>
    </row>
    <row r="334" spans="14:22" ht="12.75">
      <c r="N334" s="20"/>
      <c r="S334" s="20"/>
      <c r="U334" s="20"/>
      <c r="V334" s="34"/>
    </row>
    <row r="335" spans="14:22" ht="12.75">
      <c r="N335" s="20"/>
      <c r="S335" s="20"/>
      <c r="U335" s="20"/>
      <c r="V335" s="34"/>
    </row>
    <row r="336" spans="14:22" ht="12.75">
      <c r="N336" s="20"/>
      <c r="S336" s="20"/>
      <c r="U336" s="20"/>
      <c r="V336" s="34"/>
    </row>
    <row r="337" spans="14:22" ht="12.75">
      <c r="N337" s="20"/>
      <c r="S337" s="20"/>
      <c r="U337" s="20"/>
      <c r="V337" s="34"/>
    </row>
    <row r="338" spans="14:22" ht="12.75">
      <c r="N338" s="20"/>
      <c r="S338" s="20"/>
      <c r="U338" s="20"/>
      <c r="V338" s="34"/>
    </row>
    <row r="339" spans="14:22" ht="12.75">
      <c r="N339" s="20"/>
      <c r="S339" s="20"/>
      <c r="U339" s="20"/>
      <c r="V339" s="34"/>
    </row>
    <row r="340" spans="14:22" ht="12.75">
      <c r="N340" s="20"/>
      <c r="S340" s="20"/>
      <c r="U340" s="20"/>
      <c r="V340" s="34"/>
    </row>
    <row r="341" spans="14:22" ht="12.75">
      <c r="N341" s="20"/>
      <c r="S341" s="20"/>
      <c r="U341" s="20"/>
      <c r="V341" s="34"/>
    </row>
    <row r="342" spans="14:22" ht="12.75">
      <c r="N342" s="20"/>
      <c r="S342" s="20"/>
      <c r="U342" s="20"/>
      <c r="V342" s="34"/>
    </row>
    <row r="343" spans="14:22" ht="12.75">
      <c r="N343" s="20"/>
      <c r="S343" s="20"/>
      <c r="U343" s="20"/>
      <c r="V343" s="34"/>
    </row>
    <row r="344" spans="14:22" ht="12.75">
      <c r="N344" s="20"/>
      <c r="S344" s="20"/>
      <c r="U344" s="20"/>
      <c r="V344" s="34"/>
    </row>
    <row r="345" spans="14:22" ht="12.75">
      <c r="N345" s="20"/>
      <c r="S345" s="20"/>
      <c r="U345" s="20"/>
      <c r="V345" s="34"/>
    </row>
    <row r="346" spans="14:22" ht="12.75">
      <c r="N346" s="20"/>
      <c r="S346" s="20"/>
      <c r="U346" s="20"/>
      <c r="V346" s="34"/>
    </row>
    <row r="347" spans="14:22" ht="12.75">
      <c r="N347" s="20"/>
      <c r="S347" s="20"/>
      <c r="U347" s="20"/>
      <c r="V347" s="34"/>
    </row>
    <row r="348" spans="14:22" ht="12.75">
      <c r="N348" s="20"/>
      <c r="S348" s="20"/>
      <c r="U348" s="20"/>
      <c r="V348" s="34"/>
    </row>
    <row r="349" spans="14:22" ht="12.75">
      <c r="N349" s="20"/>
      <c r="S349" s="20"/>
      <c r="U349" s="20"/>
      <c r="V349" s="34"/>
    </row>
    <row r="350" spans="14:22" ht="12.75">
      <c r="N350" s="20"/>
      <c r="S350" s="20"/>
      <c r="U350" s="20"/>
      <c r="V350" s="34"/>
    </row>
    <row r="351" spans="14:22" ht="12.75">
      <c r="N351" s="20"/>
      <c r="S351" s="20"/>
      <c r="U351" s="20"/>
      <c r="V351" s="34"/>
    </row>
    <row r="352" spans="14:22" ht="12.75">
      <c r="N352" s="20"/>
      <c r="S352" s="20"/>
      <c r="U352" s="20"/>
      <c r="V352" s="34"/>
    </row>
    <row r="353" spans="14:22" ht="12.75">
      <c r="N353" s="20"/>
      <c r="S353" s="20"/>
      <c r="U353" s="20"/>
      <c r="V353" s="34"/>
    </row>
    <row r="354" spans="14:22" ht="12.75">
      <c r="N354" s="20"/>
      <c r="S354" s="20"/>
      <c r="U354" s="20"/>
      <c r="V354" s="34"/>
    </row>
    <row r="355" spans="14:22" ht="12.75">
      <c r="N355" s="20"/>
      <c r="S355" s="20"/>
      <c r="U355" s="20"/>
      <c r="V355" s="34"/>
    </row>
    <row r="356" spans="14:22" ht="12.75">
      <c r="N356" s="20"/>
      <c r="S356" s="20"/>
      <c r="U356" s="20"/>
      <c r="V356" s="34"/>
    </row>
    <row r="357" spans="14:22" ht="12.75">
      <c r="N357" s="20"/>
      <c r="S357" s="20"/>
      <c r="U357" s="20"/>
      <c r="V357" s="34"/>
    </row>
    <row r="358" spans="14:22" ht="12.75">
      <c r="N358" s="20"/>
      <c r="S358" s="20"/>
      <c r="U358" s="20"/>
      <c r="V358" s="34"/>
    </row>
    <row r="359" spans="14:22" ht="12.75">
      <c r="N359" s="20"/>
      <c r="S359" s="20"/>
      <c r="U359" s="20"/>
      <c r="V359" s="34"/>
    </row>
    <row r="360" spans="14:22" ht="12.75">
      <c r="N360" s="20"/>
      <c r="S360" s="20"/>
      <c r="U360" s="20"/>
      <c r="V360" s="34"/>
    </row>
    <row r="361" spans="14:22" ht="12.75">
      <c r="N361" s="20"/>
      <c r="S361" s="20"/>
      <c r="U361" s="20"/>
      <c r="V361" s="34"/>
    </row>
    <row r="362" spans="14:22" ht="12.75">
      <c r="N362" s="20"/>
      <c r="S362" s="20"/>
      <c r="U362" s="20"/>
      <c r="V362" s="34"/>
    </row>
    <row r="363" spans="14:22" ht="12.75">
      <c r="N363" s="20"/>
      <c r="S363" s="20"/>
      <c r="U363" s="20"/>
      <c r="V363" s="34"/>
    </row>
    <row r="364" spans="14:22" ht="12.75">
      <c r="N364" s="20"/>
      <c r="S364" s="20"/>
      <c r="U364" s="20"/>
      <c r="V364" s="34"/>
    </row>
    <row r="365" spans="14:22" ht="12.75">
      <c r="N365" s="20"/>
      <c r="S365" s="20"/>
      <c r="U365" s="20"/>
      <c r="V365" s="34"/>
    </row>
    <row r="366" spans="14:22" ht="12.75">
      <c r="N366" s="20"/>
      <c r="S366" s="20"/>
      <c r="U366" s="20"/>
      <c r="V366" s="34"/>
    </row>
    <row r="367" spans="14:22" ht="12.75">
      <c r="N367" s="20"/>
      <c r="S367" s="20"/>
      <c r="U367" s="20"/>
      <c r="V367" s="34"/>
    </row>
    <row r="368" spans="14:22" ht="12.75">
      <c r="N368" s="20"/>
      <c r="S368" s="20"/>
      <c r="U368" s="20"/>
      <c r="V368" s="34"/>
    </row>
    <row r="369" spans="14:22" ht="12.75">
      <c r="N369" s="20"/>
      <c r="S369" s="20"/>
      <c r="U369" s="20"/>
      <c r="V369" s="34"/>
    </row>
    <row r="370" spans="14:22" ht="12.75">
      <c r="N370" s="20"/>
      <c r="S370" s="20"/>
      <c r="U370" s="20"/>
      <c r="V370" s="34"/>
    </row>
    <row r="371" spans="14:22" ht="12.75">
      <c r="N371" s="20"/>
      <c r="S371" s="20"/>
      <c r="U371" s="20"/>
      <c r="V371" s="34"/>
    </row>
    <row r="372" spans="14:22" ht="12.75">
      <c r="N372" s="20"/>
      <c r="S372" s="20"/>
      <c r="U372" s="20"/>
      <c r="V372" s="34"/>
    </row>
    <row r="373" spans="14:22" ht="12.75">
      <c r="N373" s="20"/>
      <c r="S373" s="20"/>
      <c r="U373" s="20"/>
      <c r="V373" s="34"/>
    </row>
    <row r="374" spans="14:22" ht="12.75">
      <c r="N374" s="20"/>
      <c r="S374" s="20"/>
      <c r="U374" s="20"/>
      <c r="V374" s="34"/>
    </row>
    <row r="375" spans="14:22" ht="12.75">
      <c r="N375" s="20"/>
      <c r="S375" s="20"/>
      <c r="U375" s="20"/>
      <c r="V375" s="34"/>
    </row>
    <row r="376" spans="14:22" ht="12.75">
      <c r="N376" s="20"/>
      <c r="S376" s="20"/>
      <c r="U376" s="20"/>
      <c r="V376" s="34"/>
    </row>
    <row r="377" spans="14:22" ht="12.75">
      <c r="N377" s="20"/>
      <c r="S377" s="20"/>
      <c r="U377" s="20"/>
      <c r="V377" s="34"/>
    </row>
    <row r="378" spans="14:22" ht="12.75">
      <c r="N378" s="20"/>
      <c r="S378" s="20"/>
      <c r="U378" s="20"/>
      <c r="V378" s="34"/>
    </row>
    <row r="379" spans="14:22" ht="12.75">
      <c r="N379" s="20"/>
      <c r="S379" s="20"/>
      <c r="U379" s="20"/>
      <c r="V379" s="34"/>
    </row>
    <row r="380" spans="14:22" ht="12.75">
      <c r="N380" s="20"/>
      <c r="S380" s="20"/>
      <c r="U380" s="20"/>
      <c r="V380" s="34"/>
    </row>
    <row r="381" spans="14:22" ht="12.75">
      <c r="N381" s="20"/>
      <c r="S381" s="20"/>
      <c r="U381" s="20"/>
      <c r="V381" s="34"/>
    </row>
    <row r="382" spans="14:22" ht="12.75">
      <c r="N382" s="20"/>
      <c r="S382" s="20"/>
      <c r="U382" s="20"/>
      <c r="V382" s="34"/>
    </row>
    <row r="383" spans="14:22" ht="12.75">
      <c r="N383" s="20"/>
      <c r="S383" s="20"/>
      <c r="U383" s="20"/>
      <c r="V383" s="34"/>
    </row>
    <row r="384" spans="14:22" ht="12.75">
      <c r="N384" s="20"/>
      <c r="S384" s="20"/>
      <c r="U384" s="20"/>
      <c r="V384" s="34"/>
    </row>
    <row r="385" spans="14:22" ht="12.75">
      <c r="N385" s="20"/>
      <c r="S385" s="20"/>
      <c r="U385" s="20"/>
      <c r="V385" s="34"/>
    </row>
    <row r="386" spans="14:22" ht="12.75">
      <c r="N386" s="20"/>
      <c r="S386" s="20"/>
      <c r="U386" s="20"/>
      <c r="V386" s="34"/>
    </row>
    <row r="387" spans="14:22" ht="12.75">
      <c r="N387" s="20"/>
      <c r="S387" s="20"/>
      <c r="U387" s="20"/>
      <c r="V387" s="34"/>
    </row>
    <row r="388" spans="14:22" ht="12.75">
      <c r="N388" s="20"/>
      <c r="S388" s="20"/>
      <c r="U388" s="20"/>
      <c r="V388" s="34"/>
    </row>
    <row r="389" spans="14:22" ht="12.75">
      <c r="N389" s="20"/>
      <c r="S389" s="20"/>
      <c r="U389" s="20"/>
      <c r="V389" s="34"/>
    </row>
    <row r="390" spans="14:22" ht="12.75">
      <c r="N390" s="20"/>
      <c r="S390" s="20"/>
      <c r="U390" s="20"/>
      <c r="V390" s="34"/>
    </row>
    <row r="391" spans="14:22" ht="12.75">
      <c r="N391" s="20"/>
      <c r="S391" s="20"/>
      <c r="U391" s="20"/>
      <c r="V391" s="34"/>
    </row>
    <row r="392" spans="14:22" ht="12.75">
      <c r="N392" s="20"/>
      <c r="S392" s="20"/>
      <c r="U392" s="20"/>
      <c r="V392" s="34"/>
    </row>
    <row r="393" spans="14:22" ht="12.75">
      <c r="N393" s="20"/>
      <c r="S393" s="20"/>
      <c r="U393" s="20"/>
      <c r="V393" s="34"/>
    </row>
    <row r="394" spans="14:22" ht="12.75">
      <c r="N394" s="20"/>
      <c r="S394" s="20"/>
      <c r="U394" s="20"/>
      <c r="V394" s="34"/>
    </row>
    <row r="395" spans="14:22" ht="12.75">
      <c r="N395" s="20"/>
      <c r="S395" s="20"/>
      <c r="U395" s="20"/>
      <c r="V395" s="34"/>
    </row>
    <row r="396" spans="14:22" ht="12.75">
      <c r="N396" s="20"/>
      <c r="S396" s="20"/>
      <c r="U396" s="20"/>
      <c r="V396" s="34"/>
    </row>
    <row r="397" spans="14:22" ht="12.75">
      <c r="N397" s="20"/>
      <c r="S397" s="20"/>
      <c r="U397" s="20"/>
      <c r="V397" s="34"/>
    </row>
    <row r="398" spans="19:22" ht="12.75">
      <c r="S398" s="20"/>
      <c r="U398" s="20"/>
      <c r="V398" s="34"/>
    </row>
    <row r="399" spans="19:22" ht="12.75">
      <c r="S399" s="20"/>
      <c r="U399" s="20"/>
      <c r="V399" s="34"/>
    </row>
    <row r="400" spans="19:22" ht="12.75">
      <c r="S400" s="20"/>
      <c r="U400" s="20"/>
      <c r="V400" s="34"/>
    </row>
    <row r="401" spans="19:22" ht="12.75">
      <c r="S401" s="20"/>
      <c r="U401" s="20"/>
      <c r="V401" s="34"/>
    </row>
    <row r="402" spans="19:22" ht="12.75">
      <c r="S402" s="20"/>
      <c r="U402" s="20"/>
      <c r="V402" s="34"/>
    </row>
    <row r="403" spans="19:22" ht="12.75">
      <c r="S403" s="20"/>
      <c r="U403" s="20"/>
      <c r="V403" s="34"/>
    </row>
    <row r="404" spans="19:22" ht="12.75">
      <c r="S404" s="20"/>
      <c r="U404" s="20"/>
      <c r="V404" s="34"/>
    </row>
    <row r="405" spans="19:22" ht="12.75">
      <c r="S405" s="20"/>
      <c r="U405" s="20"/>
      <c r="V405" s="34"/>
    </row>
    <row r="406" spans="19:22" ht="12.75">
      <c r="S406" s="20"/>
      <c r="U406" s="20"/>
      <c r="V406" s="34"/>
    </row>
    <row r="407" spans="19:22" ht="12.75">
      <c r="S407" s="20"/>
      <c r="U407" s="20"/>
      <c r="V407" s="34"/>
    </row>
    <row r="408" spans="19:22" ht="12.75">
      <c r="S408" s="20"/>
      <c r="U408" s="20"/>
      <c r="V408" s="34"/>
    </row>
    <row r="409" spans="19:22" ht="12.75">
      <c r="S409" s="20"/>
      <c r="U409" s="20"/>
      <c r="V409" s="34"/>
    </row>
    <row r="410" spans="19:22" ht="12.75">
      <c r="S410" s="20"/>
      <c r="U410" s="20"/>
      <c r="V410" s="34"/>
    </row>
    <row r="411" spans="19:22" ht="12.75">
      <c r="S411" s="20"/>
      <c r="U411" s="20"/>
      <c r="V411" s="34"/>
    </row>
    <row r="412" spans="19:22" ht="12.75">
      <c r="S412" s="20"/>
      <c r="U412" s="20"/>
      <c r="V412" s="34"/>
    </row>
    <row r="413" spans="19:22" ht="12.75">
      <c r="S413" s="20"/>
      <c r="U413" s="20"/>
      <c r="V413" s="34"/>
    </row>
    <row r="414" spans="19:22" ht="12.75">
      <c r="S414" s="20"/>
      <c r="U414" s="20"/>
      <c r="V414" s="34"/>
    </row>
    <row r="415" spans="19:22" ht="12.75">
      <c r="S415" s="20"/>
      <c r="U415" s="20"/>
      <c r="V415" s="34"/>
    </row>
    <row r="416" spans="19:22" ht="12.75">
      <c r="S416" s="20"/>
      <c r="U416" s="20"/>
      <c r="V416" s="34"/>
    </row>
    <row r="417" spans="19:22" ht="12.75">
      <c r="S417" s="20"/>
      <c r="U417" s="20"/>
      <c r="V417" s="34"/>
    </row>
    <row r="418" spans="19:22" ht="12.75">
      <c r="S418" s="20"/>
      <c r="U418" s="20"/>
      <c r="V418" s="34"/>
    </row>
    <row r="419" spans="19:22" ht="12.75">
      <c r="S419" s="20"/>
      <c r="U419" s="20"/>
      <c r="V419" s="34"/>
    </row>
    <row r="420" spans="19:22" ht="12.75">
      <c r="S420" s="20"/>
      <c r="U420" s="20"/>
      <c r="V420" s="34"/>
    </row>
    <row r="421" spans="19:22" ht="12.75">
      <c r="S421" s="20"/>
      <c r="U421" s="20"/>
      <c r="V421" s="34"/>
    </row>
    <row r="422" spans="19:22" ht="12.75">
      <c r="S422" s="20"/>
      <c r="U422" s="20"/>
      <c r="V422" s="34"/>
    </row>
    <row r="423" spans="19:22" ht="12.75">
      <c r="S423" s="20"/>
      <c r="U423" s="20"/>
      <c r="V423" s="34"/>
    </row>
    <row r="424" spans="19:22" ht="12.75">
      <c r="S424" s="20"/>
      <c r="U424" s="20"/>
      <c r="V424" s="34"/>
    </row>
    <row r="425" spans="19:22" ht="12.75">
      <c r="S425" s="20"/>
      <c r="U425" s="20"/>
      <c r="V425" s="34"/>
    </row>
    <row r="426" spans="19:22" ht="12.75">
      <c r="S426" s="20"/>
      <c r="U426" s="20"/>
      <c r="V426" s="34"/>
    </row>
    <row r="427" spans="19:22" ht="12.75">
      <c r="S427" s="20"/>
      <c r="U427" s="20"/>
      <c r="V427" s="34"/>
    </row>
    <row r="428" spans="19:22" ht="12.75">
      <c r="S428" s="20"/>
      <c r="U428" s="20"/>
      <c r="V428" s="34"/>
    </row>
    <row r="429" spans="19:22" ht="12.75">
      <c r="S429" s="20"/>
      <c r="U429" s="20"/>
      <c r="V429" s="34"/>
    </row>
    <row r="430" spans="19:22" ht="12.75">
      <c r="S430" s="20"/>
      <c r="U430" s="20"/>
      <c r="V430" s="34"/>
    </row>
    <row r="431" spans="19:22" ht="12.75">
      <c r="S431" s="20"/>
      <c r="U431" s="20"/>
      <c r="V431" s="34"/>
    </row>
    <row r="432" spans="19:22" ht="12.75">
      <c r="S432" s="20"/>
      <c r="U432" s="20"/>
      <c r="V432" s="34"/>
    </row>
    <row r="433" spans="19:22" ht="12.75">
      <c r="S433" s="20"/>
      <c r="U433" s="20"/>
      <c r="V433" s="34"/>
    </row>
    <row r="434" spans="19:22" ht="12.75">
      <c r="S434" s="20"/>
      <c r="U434" s="20"/>
      <c r="V434" s="34"/>
    </row>
    <row r="435" spans="19:22" ht="12.75">
      <c r="S435" s="20"/>
      <c r="U435" s="20"/>
      <c r="V435" s="34"/>
    </row>
    <row r="436" spans="19:22" ht="12.75">
      <c r="S436" s="20"/>
      <c r="U436" s="20"/>
      <c r="V436" s="34"/>
    </row>
    <row r="437" spans="19:22" ht="12.75">
      <c r="S437" s="20"/>
      <c r="U437" s="20"/>
      <c r="V437" s="34"/>
    </row>
    <row r="438" spans="19:22" ht="12.75">
      <c r="S438" s="20"/>
      <c r="U438" s="20"/>
      <c r="V438" s="34"/>
    </row>
    <row r="439" spans="19:22" ht="12.75">
      <c r="S439" s="20"/>
      <c r="U439" s="20"/>
      <c r="V439" s="34"/>
    </row>
    <row r="440" spans="19:22" ht="12.75">
      <c r="S440" s="20"/>
      <c r="U440" s="20"/>
      <c r="V440" s="34"/>
    </row>
    <row r="441" spans="19:22" ht="12.75">
      <c r="S441" s="20"/>
      <c r="U441" s="20"/>
      <c r="V441" s="34"/>
    </row>
    <row r="442" spans="19:22" ht="12.75">
      <c r="S442" s="20"/>
      <c r="U442" s="20"/>
      <c r="V442" s="34"/>
    </row>
    <row r="443" spans="19:22" ht="12.75">
      <c r="S443" s="20"/>
      <c r="U443" s="20"/>
      <c r="V443" s="34"/>
    </row>
    <row r="444" spans="19:22" ht="12.75">
      <c r="S444" s="20"/>
      <c r="U444" s="20"/>
      <c r="V444" s="34"/>
    </row>
    <row r="445" spans="19:22" ht="12.75">
      <c r="S445" s="20"/>
      <c r="U445" s="20"/>
      <c r="V445" s="34"/>
    </row>
    <row r="446" spans="19:22" ht="12.75">
      <c r="S446" s="20"/>
      <c r="U446" s="20"/>
      <c r="V446" s="34"/>
    </row>
    <row r="447" spans="19:22" ht="12.75">
      <c r="S447" s="20"/>
      <c r="U447" s="20"/>
      <c r="V447" s="34"/>
    </row>
    <row r="448" spans="19:22" ht="12.75">
      <c r="S448" s="20"/>
      <c r="U448" s="20"/>
      <c r="V448" s="34"/>
    </row>
    <row r="449" spans="19:22" ht="12.75">
      <c r="S449" s="20"/>
      <c r="U449" s="20"/>
      <c r="V449" s="34"/>
    </row>
    <row r="450" spans="19:22" ht="12.75">
      <c r="S450" s="20"/>
      <c r="U450" s="20"/>
      <c r="V450" s="34"/>
    </row>
    <row r="451" spans="19:22" ht="12.75">
      <c r="S451" s="20"/>
      <c r="U451" s="20"/>
      <c r="V451" s="34"/>
    </row>
    <row r="452" spans="19:22" ht="12.75">
      <c r="S452" s="20"/>
      <c r="U452" s="20"/>
      <c r="V452" s="34"/>
    </row>
    <row r="453" spans="19:22" ht="12.75">
      <c r="S453" s="20"/>
      <c r="U453" s="20"/>
      <c r="V453" s="34"/>
    </row>
    <row r="454" spans="19:22" ht="12.75">
      <c r="S454" s="20"/>
      <c r="U454" s="20"/>
      <c r="V454" s="34"/>
    </row>
    <row r="455" spans="19:22" ht="12.75">
      <c r="S455" s="20"/>
      <c r="U455" s="20"/>
      <c r="V455" s="34"/>
    </row>
    <row r="456" spans="19:22" ht="12.75">
      <c r="S456" s="20"/>
      <c r="U456" s="20"/>
      <c r="V456" s="34"/>
    </row>
    <row r="457" spans="19:22" ht="12.75">
      <c r="S457" s="20"/>
      <c r="U457" s="20"/>
      <c r="V457" s="34"/>
    </row>
    <row r="458" spans="19:22" ht="12.75">
      <c r="S458" s="20"/>
      <c r="U458" s="20"/>
      <c r="V458" s="34"/>
    </row>
    <row r="459" ht="12.75">
      <c r="S459" s="20"/>
    </row>
    <row r="460" ht="12.75">
      <c r="S460" s="20"/>
    </row>
    <row r="461" ht="12.75">
      <c r="S461" s="20"/>
    </row>
    <row r="462" ht="12.75">
      <c r="S462" s="20"/>
    </row>
    <row r="463" ht="12.75">
      <c r="S463" s="20"/>
    </row>
    <row r="464" ht="12.75">
      <c r="S464" s="20"/>
    </row>
    <row r="465" ht="12.75">
      <c r="S465" s="20"/>
    </row>
    <row r="466" ht="12.75">
      <c r="S466" s="20"/>
    </row>
    <row r="467" ht="12.75">
      <c r="S467" s="20"/>
    </row>
    <row r="468" ht="12.75">
      <c r="S468" s="20"/>
    </row>
    <row r="469" ht="12.75">
      <c r="S469" s="20"/>
    </row>
    <row r="470" ht="12.75">
      <c r="S470" s="20"/>
    </row>
    <row r="471" ht="12.75">
      <c r="S471" s="20"/>
    </row>
    <row r="472" ht="12.75">
      <c r="S472" s="20"/>
    </row>
    <row r="473" ht="12.75">
      <c r="S473" s="20"/>
    </row>
    <row r="474" ht="12.75">
      <c r="S474" s="20"/>
    </row>
    <row r="475" ht="12.75">
      <c r="S475" s="20"/>
    </row>
    <row r="476" ht="12.75">
      <c r="S476" s="20"/>
    </row>
    <row r="477" ht="12.75">
      <c r="S477" s="20"/>
    </row>
    <row r="478" ht="12.75">
      <c r="S478" s="20"/>
    </row>
    <row r="479" ht="12.75">
      <c r="S479" s="20"/>
    </row>
    <row r="480" ht="12.75">
      <c r="S480" s="20"/>
    </row>
    <row r="481" ht="12.75">
      <c r="S481" s="20"/>
    </row>
    <row r="482" ht="12.75">
      <c r="S482" s="20"/>
    </row>
    <row r="483" ht="12.75">
      <c r="S483" s="20"/>
    </row>
    <row r="484" ht="12.75">
      <c r="S484" s="20"/>
    </row>
    <row r="485" ht="12.75">
      <c r="S485" s="20"/>
    </row>
    <row r="486" ht="12.75">
      <c r="S486" s="20"/>
    </row>
    <row r="487" ht="12.75">
      <c r="S487" s="20"/>
    </row>
    <row r="488" ht="12.75">
      <c r="S488" s="20"/>
    </row>
    <row r="489" ht="12.75">
      <c r="S489" s="20"/>
    </row>
    <row r="490" ht="12.75">
      <c r="S490" s="20"/>
    </row>
    <row r="491" ht="12.75">
      <c r="S491" s="20"/>
    </row>
    <row r="492" ht="12.75">
      <c r="S492" s="20"/>
    </row>
    <row r="493" ht="12.75">
      <c r="S493" s="20"/>
    </row>
    <row r="494" ht="12.75">
      <c r="S494" s="20"/>
    </row>
    <row r="495" ht="12.75">
      <c r="S495" s="20"/>
    </row>
    <row r="496" ht="12.75">
      <c r="S496" s="20"/>
    </row>
    <row r="497" ht="12.75">
      <c r="S497" s="20"/>
    </row>
    <row r="498" ht="12.75">
      <c r="S498" s="20"/>
    </row>
    <row r="499" ht="12.75">
      <c r="S499" s="20"/>
    </row>
    <row r="500" ht="12.75">
      <c r="S500" s="20"/>
    </row>
    <row r="501" ht="12.75">
      <c r="S501" s="20"/>
    </row>
    <row r="502" ht="12.75">
      <c r="S502" s="20"/>
    </row>
    <row r="503" ht="12.75">
      <c r="S503" s="20"/>
    </row>
    <row r="504" ht="12.75">
      <c r="S504" s="20"/>
    </row>
    <row r="505" ht="12.75">
      <c r="S505" s="20"/>
    </row>
    <row r="506" ht="12.75">
      <c r="S506" s="20"/>
    </row>
    <row r="507" ht="12.75">
      <c r="S507" s="20"/>
    </row>
    <row r="508" ht="12.75">
      <c r="S508" s="20"/>
    </row>
    <row r="509" ht="12.75">
      <c r="S509" s="20"/>
    </row>
    <row r="510" ht="12.75">
      <c r="S510" s="20"/>
    </row>
    <row r="511" ht="12.75">
      <c r="S511" s="20"/>
    </row>
    <row r="512" ht="12.75">
      <c r="S512" s="20"/>
    </row>
    <row r="513" ht="12.75">
      <c r="S513" s="20"/>
    </row>
    <row r="514" ht="12.75">
      <c r="S514" s="20"/>
    </row>
    <row r="515" ht="12.75">
      <c r="S515" s="20"/>
    </row>
    <row r="516" ht="12.75">
      <c r="S516" s="20"/>
    </row>
    <row r="517" ht="12.75">
      <c r="S517" s="20"/>
    </row>
    <row r="518" ht="12.75">
      <c r="S518" s="20"/>
    </row>
    <row r="519" ht="12.75">
      <c r="S519" s="20"/>
    </row>
    <row r="520" ht="12.75">
      <c r="S520" s="20"/>
    </row>
    <row r="521" ht="12.75">
      <c r="S521" s="20"/>
    </row>
    <row r="522" ht="12.75">
      <c r="S522" s="20"/>
    </row>
    <row r="523" ht="12.75">
      <c r="S523" s="20"/>
    </row>
    <row r="524" ht="12.75">
      <c r="S524" s="20"/>
    </row>
    <row r="525" ht="12.75">
      <c r="S525" s="20"/>
    </row>
    <row r="526" ht="12.75">
      <c r="S526" s="20"/>
    </row>
    <row r="527" ht="12.75">
      <c r="S527" s="20"/>
    </row>
    <row r="528" ht="12.75">
      <c r="S528" s="20"/>
    </row>
    <row r="529" ht="12.75">
      <c r="S529" s="20"/>
    </row>
    <row r="530" ht="12.75">
      <c r="S530" s="20"/>
    </row>
    <row r="531" ht="12.75">
      <c r="S531" s="20"/>
    </row>
    <row r="532" ht="12.75">
      <c r="S532" s="20"/>
    </row>
    <row r="533" ht="12.75">
      <c r="S533" s="20"/>
    </row>
    <row r="534" ht="12.75">
      <c r="S534" s="20"/>
    </row>
    <row r="535" ht="12.75">
      <c r="S535" s="20"/>
    </row>
    <row r="536" ht="12.75">
      <c r="S536" s="20"/>
    </row>
    <row r="537" ht="12.75">
      <c r="S537" s="20"/>
    </row>
    <row r="538" ht="12.75">
      <c r="S538" s="20"/>
    </row>
    <row r="539" ht="12.75">
      <c r="S539" s="20"/>
    </row>
    <row r="540" ht="12.75">
      <c r="S540" s="20"/>
    </row>
    <row r="541" ht="12.75">
      <c r="S541" s="20"/>
    </row>
    <row r="542" ht="12.75">
      <c r="S542" s="20"/>
    </row>
    <row r="543" ht="12.75">
      <c r="S543" s="20"/>
    </row>
    <row r="544" ht="12.75">
      <c r="S544" s="20"/>
    </row>
    <row r="545" ht="12.75">
      <c r="S545" s="20"/>
    </row>
    <row r="546" ht="12.75">
      <c r="S546" s="20"/>
    </row>
    <row r="547" ht="12.75">
      <c r="S547" s="20"/>
    </row>
    <row r="548" ht="12.75">
      <c r="S548" s="20"/>
    </row>
    <row r="549" ht="12.75">
      <c r="S549" s="20"/>
    </row>
    <row r="550" ht="12.75">
      <c r="S550" s="20"/>
    </row>
    <row r="551" ht="12.75">
      <c r="S551" s="20"/>
    </row>
    <row r="552" ht="12.75">
      <c r="S552" s="20"/>
    </row>
    <row r="553" ht="12.75">
      <c r="S553" s="20"/>
    </row>
    <row r="554" ht="12.75">
      <c r="S554" s="20"/>
    </row>
    <row r="555" ht="12.75">
      <c r="S555" s="20"/>
    </row>
    <row r="556" ht="12.75">
      <c r="S556" s="20"/>
    </row>
    <row r="557" ht="12.75">
      <c r="S557" s="20"/>
    </row>
    <row r="558" ht="12.75">
      <c r="S558" s="20"/>
    </row>
    <row r="559" ht="12.75">
      <c r="S559" s="20"/>
    </row>
    <row r="560" ht="12.75">
      <c r="S560" s="20"/>
    </row>
    <row r="561" ht="12.75">
      <c r="S561" s="20"/>
    </row>
    <row r="562" ht="12.75">
      <c r="S562" s="20"/>
    </row>
    <row r="563" ht="12.75">
      <c r="S563" s="20"/>
    </row>
    <row r="564" ht="12.75">
      <c r="S564" s="20"/>
    </row>
    <row r="565" ht="12.75">
      <c r="S565" s="20"/>
    </row>
    <row r="566" ht="12.75">
      <c r="S566" s="20"/>
    </row>
    <row r="567" ht="12.75">
      <c r="S567" s="20"/>
    </row>
    <row r="568" ht="12.75">
      <c r="S568" s="20"/>
    </row>
    <row r="569" ht="12.75">
      <c r="S569" s="20"/>
    </row>
    <row r="570" ht="12.75">
      <c r="S570" s="20"/>
    </row>
    <row r="571" ht="12.75">
      <c r="S571" s="20"/>
    </row>
    <row r="572" ht="12.75">
      <c r="S572" s="20"/>
    </row>
    <row r="573" ht="12.75">
      <c r="S573" s="20"/>
    </row>
    <row r="574" ht="12.75">
      <c r="S574" s="20"/>
    </row>
    <row r="575" ht="12.75">
      <c r="S575" s="20"/>
    </row>
    <row r="576" ht="12.75">
      <c r="S576" s="20"/>
    </row>
    <row r="577" ht="12.75">
      <c r="S577" s="20"/>
    </row>
    <row r="578" ht="12.75">
      <c r="S578" s="20"/>
    </row>
    <row r="579" ht="12.75">
      <c r="S579" s="20"/>
    </row>
    <row r="580" ht="12.75">
      <c r="S580" s="20"/>
    </row>
    <row r="581" ht="12.75">
      <c r="S581" s="20"/>
    </row>
    <row r="582" ht="12.75">
      <c r="S582" s="20"/>
    </row>
    <row r="583" ht="12.75">
      <c r="S583" s="20"/>
    </row>
    <row r="584" ht="12.75">
      <c r="S584" s="20"/>
    </row>
    <row r="585" ht="12.75">
      <c r="S585" s="20"/>
    </row>
    <row r="586" ht="12.75">
      <c r="S586" s="20"/>
    </row>
    <row r="587" ht="12.75">
      <c r="S587" s="20"/>
    </row>
    <row r="588" ht="12.75">
      <c r="S588" s="20"/>
    </row>
    <row r="589" ht="12.75">
      <c r="S589" s="20"/>
    </row>
    <row r="590" ht="12.75">
      <c r="S590" s="20"/>
    </row>
    <row r="591" ht="12.75">
      <c r="S591" s="20"/>
    </row>
    <row r="592" ht="12.75">
      <c r="S592" s="20"/>
    </row>
    <row r="593" ht="12.75">
      <c r="S593" s="20"/>
    </row>
    <row r="594" ht="12.75">
      <c r="S594" s="20"/>
    </row>
    <row r="595" ht="12.75">
      <c r="S595" s="20"/>
    </row>
    <row r="596" ht="12.75">
      <c r="S596" s="20"/>
    </row>
    <row r="597" ht="12.75">
      <c r="S597" s="20"/>
    </row>
    <row r="598" ht="12.75">
      <c r="S598" s="20"/>
    </row>
    <row r="599" ht="12.75">
      <c r="S599" s="20"/>
    </row>
    <row r="600" ht="12.75">
      <c r="S600" s="20"/>
    </row>
    <row r="601" ht="12.75">
      <c r="S601" s="20"/>
    </row>
    <row r="602" ht="12.75">
      <c r="S602" s="20"/>
    </row>
    <row r="603" ht="12.75">
      <c r="S603" s="20"/>
    </row>
    <row r="604" ht="12.75">
      <c r="S604" s="20"/>
    </row>
    <row r="605" ht="12.75">
      <c r="S605" s="20"/>
    </row>
    <row r="606" ht="12.75">
      <c r="S606" s="20"/>
    </row>
    <row r="607" ht="12.75">
      <c r="S607" s="20"/>
    </row>
    <row r="608" ht="12.75">
      <c r="S608" s="20"/>
    </row>
    <row r="609" ht="12.75">
      <c r="S609" s="20"/>
    </row>
    <row r="610" ht="12.75">
      <c r="S610" s="20"/>
    </row>
    <row r="611" ht="12.75">
      <c r="S611" s="20"/>
    </row>
    <row r="612" ht="12.75">
      <c r="S612" s="20"/>
    </row>
    <row r="613" ht="12.75">
      <c r="S613" s="20"/>
    </row>
    <row r="614" ht="12.75">
      <c r="S614" s="20"/>
    </row>
    <row r="615" ht="12.75">
      <c r="S615" s="20"/>
    </row>
    <row r="616" ht="12.75">
      <c r="S616" s="20"/>
    </row>
    <row r="617" ht="12.75">
      <c r="S617" s="20"/>
    </row>
    <row r="618" ht="12.75">
      <c r="S618" s="20"/>
    </row>
    <row r="619" ht="12.75">
      <c r="S619" s="20"/>
    </row>
    <row r="620" ht="12.75">
      <c r="S620" s="20"/>
    </row>
    <row r="621" ht="12.75">
      <c r="S621" s="20"/>
    </row>
    <row r="622" ht="12.75">
      <c r="S622" s="20"/>
    </row>
    <row r="623" ht="12.75">
      <c r="S623" s="20"/>
    </row>
    <row r="624" ht="12.75">
      <c r="S624" s="20"/>
    </row>
    <row r="625" ht="12.75">
      <c r="S625" s="20"/>
    </row>
    <row r="626" ht="12.75">
      <c r="S626" s="20"/>
    </row>
    <row r="627" ht="12.75">
      <c r="S627" s="20"/>
    </row>
    <row r="628" ht="12.75">
      <c r="S628" s="20"/>
    </row>
    <row r="629" ht="12.75">
      <c r="S629" s="20"/>
    </row>
    <row r="630" ht="12.75">
      <c r="S630" s="20"/>
    </row>
    <row r="631" ht="12.75">
      <c r="S631" s="20"/>
    </row>
    <row r="632" ht="12.75">
      <c r="S632" s="20"/>
    </row>
    <row r="633" ht="12.75">
      <c r="S633" s="20"/>
    </row>
    <row r="634" ht="12.75">
      <c r="S634" s="20"/>
    </row>
    <row r="635" ht="12.75">
      <c r="S635" s="20"/>
    </row>
    <row r="636" ht="12.75">
      <c r="S636" s="20"/>
    </row>
    <row r="637" ht="12.75">
      <c r="S637" s="20"/>
    </row>
    <row r="638" ht="12.75">
      <c r="S638" s="20"/>
    </row>
    <row r="639" ht="12.75">
      <c r="S639" s="20"/>
    </row>
    <row r="640" ht="12.75">
      <c r="S640" s="20"/>
    </row>
    <row r="641" ht="12.75">
      <c r="S641" s="20"/>
    </row>
    <row r="642" ht="12.75">
      <c r="S642" s="20"/>
    </row>
    <row r="643" ht="12.75">
      <c r="S643" s="20"/>
    </row>
    <row r="644" ht="12.75">
      <c r="S644" s="20"/>
    </row>
    <row r="645" ht="12.75">
      <c r="S645" s="20"/>
    </row>
    <row r="646" ht="12.75">
      <c r="S646" s="20"/>
    </row>
    <row r="647" ht="12.75">
      <c r="S647" s="20"/>
    </row>
    <row r="648" ht="12.75">
      <c r="S648" s="20"/>
    </row>
    <row r="649" ht="12.75">
      <c r="S649" s="20"/>
    </row>
    <row r="650" ht="12.75">
      <c r="S650" s="20"/>
    </row>
    <row r="651" ht="12.75">
      <c r="S651" s="20"/>
    </row>
    <row r="652" ht="12.75">
      <c r="S652" s="20"/>
    </row>
    <row r="653" ht="12.75">
      <c r="S653" s="20"/>
    </row>
    <row r="654" ht="12.75">
      <c r="S654" s="20"/>
    </row>
    <row r="655" ht="12.75">
      <c r="S655" s="20"/>
    </row>
    <row r="656" ht="12.75">
      <c r="S656" s="20"/>
    </row>
    <row r="657" ht="12.75">
      <c r="S657" s="20"/>
    </row>
    <row r="658" ht="12.75">
      <c r="S658" s="20"/>
    </row>
    <row r="659" ht="12.75">
      <c r="S659" s="20"/>
    </row>
    <row r="660" ht="12.75">
      <c r="S660" s="20"/>
    </row>
    <row r="661" ht="12.75">
      <c r="S661" s="20"/>
    </row>
    <row r="662" ht="12.75">
      <c r="S662" s="20"/>
    </row>
    <row r="663" ht="12.75">
      <c r="S663" s="20"/>
    </row>
    <row r="664" ht="12.75">
      <c r="S664" s="20"/>
    </row>
    <row r="665" ht="12.75">
      <c r="S665" s="20"/>
    </row>
    <row r="666" ht="12.75">
      <c r="S666" s="20"/>
    </row>
    <row r="667" ht="12.75">
      <c r="S667" s="20"/>
    </row>
    <row r="668" ht="12.75">
      <c r="S668" s="20"/>
    </row>
    <row r="669" ht="12.75">
      <c r="S669" s="20"/>
    </row>
    <row r="670" ht="12.75">
      <c r="S670" s="20"/>
    </row>
    <row r="671" ht="12.75">
      <c r="S671" s="20"/>
    </row>
    <row r="672" ht="12.75">
      <c r="S672" s="20"/>
    </row>
    <row r="673" ht="12.75">
      <c r="S673" s="20"/>
    </row>
    <row r="674" ht="12.75">
      <c r="S674" s="20"/>
    </row>
    <row r="675" ht="12.75">
      <c r="S675" s="20"/>
    </row>
    <row r="676" ht="12.75">
      <c r="S676" s="20"/>
    </row>
    <row r="677" ht="12.75">
      <c r="S677" s="20"/>
    </row>
    <row r="678" ht="12.75">
      <c r="S678" s="20"/>
    </row>
    <row r="679" ht="12.75">
      <c r="S679" s="20"/>
    </row>
    <row r="680" ht="12.75">
      <c r="S680" s="20"/>
    </row>
    <row r="681" ht="12.75">
      <c r="S681" s="20"/>
    </row>
    <row r="682" ht="12.75">
      <c r="S682" s="20"/>
    </row>
    <row r="683" ht="12.75">
      <c r="S683" s="20"/>
    </row>
    <row r="684" ht="12.75">
      <c r="S684" s="20"/>
    </row>
    <row r="685" ht="12.75">
      <c r="S685" s="20"/>
    </row>
    <row r="686" ht="12.75">
      <c r="S686" s="20"/>
    </row>
    <row r="687" ht="12.75">
      <c r="S687" s="20"/>
    </row>
    <row r="688" ht="12.75">
      <c r="S688" s="20"/>
    </row>
    <row r="689" ht="12.75">
      <c r="S689" s="20"/>
    </row>
    <row r="690" ht="12.75">
      <c r="S690" s="20"/>
    </row>
    <row r="691" ht="12.75">
      <c r="S691" s="20"/>
    </row>
    <row r="692" ht="12.75">
      <c r="S692" s="20"/>
    </row>
    <row r="693" ht="12.75">
      <c r="S693" s="20"/>
    </row>
    <row r="694" ht="12.75">
      <c r="S694" s="20"/>
    </row>
    <row r="695" ht="12.75">
      <c r="S695" s="20"/>
    </row>
    <row r="696" ht="12.75">
      <c r="S696" s="20"/>
    </row>
    <row r="697" ht="12.75">
      <c r="S697" s="20"/>
    </row>
    <row r="698" ht="12.75">
      <c r="S698" s="20"/>
    </row>
    <row r="699" ht="12.75">
      <c r="S699" s="20"/>
    </row>
    <row r="700" ht="12.75">
      <c r="S700" s="20"/>
    </row>
    <row r="701" ht="12.75">
      <c r="S701" s="20"/>
    </row>
    <row r="702" ht="12.75">
      <c r="S702" s="20"/>
    </row>
    <row r="703" ht="12.75">
      <c r="S703" s="20"/>
    </row>
    <row r="704" ht="12.75">
      <c r="S704" s="20"/>
    </row>
    <row r="705" ht="12.75">
      <c r="S705" s="20"/>
    </row>
    <row r="706" ht="12.75">
      <c r="S706" s="20"/>
    </row>
    <row r="707" ht="12.75">
      <c r="S707" s="20"/>
    </row>
    <row r="708" ht="12.75">
      <c r="S708" s="20"/>
    </row>
    <row r="709" ht="12.75">
      <c r="S709" s="20"/>
    </row>
    <row r="710" ht="12.75">
      <c r="S710" s="20"/>
    </row>
    <row r="711" ht="12.75">
      <c r="S711" s="20"/>
    </row>
    <row r="712" ht="12.75">
      <c r="S712" s="20"/>
    </row>
    <row r="713" ht="12.75">
      <c r="S713" s="20"/>
    </row>
    <row r="714" ht="12.75">
      <c r="S714" s="20"/>
    </row>
    <row r="715" ht="12.75">
      <c r="S715" s="20"/>
    </row>
    <row r="716" ht="12.75">
      <c r="S716" s="20"/>
    </row>
    <row r="717" ht="12.75">
      <c r="S717" s="20"/>
    </row>
    <row r="718" ht="12.75">
      <c r="S718" s="20"/>
    </row>
    <row r="719" ht="12.75">
      <c r="S719" s="20"/>
    </row>
    <row r="720" ht="12.75">
      <c r="S720" s="20"/>
    </row>
    <row r="721" ht="12.75">
      <c r="S721" s="20"/>
    </row>
    <row r="722" ht="12.75">
      <c r="S722" s="20"/>
    </row>
    <row r="723" ht="12.75">
      <c r="S723" s="20"/>
    </row>
    <row r="724" ht="12.75">
      <c r="S724" s="20"/>
    </row>
    <row r="725" ht="12.75">
      <c r="S725" s="20"/>
    </row>
    <row r="726" ht="12.75">
      <c r="S726" s="20"/>
    </row>
    <row r="727" ht="12.75">
      <c r="S727" s="20"/>
    </row>
    <row r="728" ht="12.75">
      <c r="S728" s="20"/>
    </row>
    <row r="729" ht="12.75">
      <c r="S729" s="20"/>
    </row>
    <row r="730" ht="12.75">
      <c r="S730" s="20"/>
    </row>
    <row r="731" ht="12.75">
      <c r="S731" s="20"/>
    </row>
    <row r="732" ht="12.75">
      <c r="S732" s="20"/>
    </row>
    <row r="733" ht="12.75">
      <c r="S733" s="20"/>
    </row>
    <row r="734" ht="12.75">
      <c r="S734" s="20"/>
    </row>
    <row r="735" ht="12.75">
      <c r="S735" s="20"/>
    </row>
    <row r="736" ht="12.75">
      <c r="S736" s="20"/>
    </row>
    <row r="737" ht="12.75">
      <c r="S737" s="20"/>
    </row>
    <row r="738" ht="12.75">
      <c r="S738" s="20"/>
    </row>
    <row r="739" ht="12.75">
      <c r="S739" s="20"/>
    </row>
    <row r="740" ht="12.75">
      <c r="S740" s="20"/>
    </row>
    <row r="741" ht="12.75">
      <c r="S741" s="20"/>
    </row>
    <row r="742" ht="12.75">
      <c r="S742" s="20"/>
    </row>
    <row r="743" ht="12.75">
      <c r="S743" s="20"/>
    </row>
    <row r="744" ht="12.75">
      <c r="S744" s="20"/>
    </row>
    <row r="745" ht="12.75">
      <c r="S745" s="20"/>
    </row>
    <row r="746" ht="12.75">
      <c r="S746" s="20"/>
    </row>
    <row r="747" ht="12.75">
      <c r="S747" s="20"/>
    </row>
    <row r="748" ht="12.75">
      <c r="S748" s="20"/>
    </row>
    <row r="749" ht="12.75">
      <c r="S749" s="20"/>
    </row>
    <row r="750" ht="12.75">
      <c r="S750" s="20"/>
    </row>
    <row r="751" ht="12.75">
      <c r="S751" s="20"/>
    </row>
    <row r="752" ht="12.75">
      <c r="S752" s="20"/>
    </row>
    <row r="753" ht="12.75">
      <c r="S753" s="20"/>
    </row>
    <row r="754" ht="12.75">
      <c r="S754" s="20"/>
    </row>
    <row r="755" ht="12.75">
      <c r="S755" s="20"/>
    </row>
    <row r="756" ht="12.75">
      <c r="S756" s="20"/>
    </row>
    <row r="757" ht="12.75">
      <c r="S757" s="20"/>
    </row>
    <row r="758" ht="12.75">
      <c r="S758" s="20"/>
    </row>
    <row r="759" ht="12.75">
      <c r="S759" s="20"/>
    </row>
    <row r="760" ht="12.75">
      <c r="S760" s="20"/>
    </row>
    <row r="761" ht="12.75">
      <c r="S761" s="20"/>
    </row>
    <row r="762" ht="12.75">
      <c r="S762" s="20"/>
    </row>
    <row r="763" ht="12.75">
      <c r="S763" s="20"/>
    </row>
    <row r="764" ht="12.75">
      <c r="S764" s="20"/>
    </row>
    <row r="765" ht="12.75">
      <c r="S765" s="20"/>
    </row>
    <row r="766" ht="12.75">
      <c r="S766" s="20"/>
    </row>
    <row r="767" ht="12.75">
      <c r="S767" s="20"/>
    </row>
    <row r="768" ht="12.75">
      <c r="S768" s="20"/>
    </row>
    <row r="769" ht="12.75">
      <c r="S769" s="20"/>
    </row>
    <row r="770" ht="12.75">
      <c r="S770" s="20"/>
    </row>
    <row r="771" ht="12.75">
      <c r="S771" s="20"/>
    </row>
    <row r="772" ht="12.75">
      <c r="S772" s="20"/>
    </row>
    <row r="773" ht="12.75">
      <c r="S773" s="20"/>
    </row>
    <row r="774" ht="12.75">
      <c r="S774" s="20"/>
    </row>
    <row r="775" ht="12.75">
      <c r="S775" s="20"/>
    </row>
    <row r="776" ht="12.75">
      <c r="S776" s="20"/>
    </row>
    <row r="777" ht="12.75">
      <c r="S777" s="20"/>
    </row>
    <row r="778" ht="12.75">
      <c r="S778" s="20"/>
    </row>
    <row r="779" ht="12.75">
      <c r="S779" s="20"/>
    </row>
    <row r="780" ht="12.75">
      <c r="S780" s="20"/>
    </row>
    <row r="781" ht="12.75">
      <c r="S781" s="20"/>
    </row>
    <row r="782" ht="12.75">
      <c r="S782" s="20"/>
    </row>
    <row r="783" ht="12.75">
      <c r="S783" s="20"/>
    </row>
    <row r="784" ht="12.75">
      <c r="S784" s="20"/>
    </row>
    <row r="785" ht="12.75">
      <c r="S785" s="20"/>
    </row>
    <row r="786" ht="12.75">
      <c r="S786" s="20"/>
    </row>
    <row r="787" ht="12.75">
      <c r="S787" s="20"/>
    </row>
    <row r="788" ht="12.75">
      <c r="S788" s="20"/>
    </row>
    <row r="789" ht="12.75">
      <c r="S789" s="20"/>
    </row>
    <row r="790" ht="12.75">
      <c r="S790" s="20"/>
    </row>
    <row r="791" ht="12.75">
      <c r="S791" s="20"/>
    </row>
    <row r="792" ht="12.75">
      <c r="S792" s="20"/>
    </row>
    <row r="793" ht="12.75">
      <c r="S793" s="20"/>
    </row>
    <row r="794" ht="12.75">
      <c r="S794" s="20"/>
    </row>
    <row r="795" ht="12.75">
      <c r="S795" s="20"/>
    </row>
    <row r="796" ht="12.75">
      <c r="S796" s="20"/>
    </row>
    <row r="797" ht="12.75">
      <c r="S797" s="20"/>
    </row>
    <row r="798" ht="12.75">
      <c r="S798" s="20"/>
    </row>
    <row r="799" ht="12.75">
      <c r="S799" s="20"/>
    </row>
    <row r="800" ht="12.75">
      <c r="S800" s="20"/>
    </row>
    <row r="801" ht="12.75">
      <c r="S801" s="20"/>
    </row>
    <row r="802" ht="12.75">
      <c r="S802" s="20"/>
    </row>
    <row r="803" ht="12.75">
      <c r="S803" s="20"/>
    </row>
    <row r="804" ht="12.75">
      <c r="S804" s="20"/>
    </row>
    <row r="805" ht="12.75">
      <c r="S805" s="20"/>
    </row>
    <row r="806" ht="12.75">
      <c r="S806" s="20"/>
    </row>
    <row r="807" ht="12.75">
      <c r="S807" s="20"/>
    </row>
    <row r="808" ht="12.75">
      <c r="S808" s="20"/>
    </row>
    <row r="809" ht="12.75">
      <c r="S809" s="20"/>
    </row>
    <row r="810" ht="12.75">
      <c r="S810" s="20"/>
    </row>
    <row r="811" ht="12.75">
      <c r="S811" s="20"/>
    </row>
    <row r="812" ht="12.75">
      <c r="S812" s="20"/>
    </row>
    <row r="813" ht="12.75">
      <c r="S813" s="20"/>
    </row>
    <row r="814" ht="12.75">
      <c r="S814" s="20"/>
    </row>
    <row r="815" ht="12.75">
      <c r="S815" s="20"/>
    </row>
    <row r="816" ht="12.75">
      <c r="S816" s="20"/>
    </row>
    <row r="817" ht="12.75">
      <c r="S817" s="20"/>
    </row>
    <row r="818" ht="12.75">
      <c r="S818" s="20"/>
    </row>
    <row r="819" ht="12.75">
      <c r="S819" s="20"/>
    </row>
    <row r="820" ht="12.75">
      <c r="S820" s="20"/>
    </row>
    <row r="821" ht="12.75">
      <c r="S821" s="20"/>
    </row>
    <row r="822" ht="12.75">
      <c r="S822" s="20"/>
    </row>
    <row r="823" ht="12.75">
      <c r="S823" s="20"/>
    </row>
    <row r="824" ht="12.75">
      <c r="S824" s="20"/>
    </row>
    <row r="825" ht="12.75">
      <c r="S825" s="20"/>
    </row>
    <row r="826" ht="12.75">
      <c r="S826" s="20"/>
    </row>
    <row r="827" ht="12.75">
      <c r="S827" s="20"/>
    </row>
    <row r="828" ht="12.75">
      <c r="S828" s="20"/>
    </row>
    <row r="829" ht="12.75">
      <c r="S829" s="20"/>
    </row>
    <row r="830" ht="12.75">
      <c r="S830" s="20"/>
    </row>
    <row r="831" ht="12.75">
      <c r="S831" s="20"/>
    </row>
    <row r="832" ht="12.75">
      <c r="S832" s="20"/>
    </row>
    <row r="833" ht="12.75">
      <c r="S833" s="20"/>
    </row>
    <row r="834" ht="12.75">
      <c r="S834" s="20"/>
    </row>
    <row r="835" ht="12.75">
      <c r="S835" s="20"/>
    </row>
    <row r="836" ht="12.75">
      <c r="S836" s="20"/>
    </row>
    <row r="837" ht="12.75">
      <c r="S837" s="20"/>
    </row>
    <row r="838" ht="12.75">
      <c r="S838" s="20"/>
    </row>
    <row r="839" ht="12.75">
      <c r="S839" s="20"/>
    </row>
    <row r="840" ht="12.75">
      <c r="S840" s="20"/>
    </row>
    <row r="841" ht="12.75">
      <c r="S841" s="20"/>
    </row>
    <row r="842" ht="12.75">
      <c r="S842" s="20"/>
    </row>
    <row r="843" ht="12.75">
      <c r="S843" s="20"/>
    </row>
    <row r="844" ht="12.75">
      <c r="S844" s="20"/>
    </row>
    <row r="845" ht="12.75">
      <c r="S845" s="20"/>
    </row>
    <row r="846" ht="12.75">
      <c r="S846" s="20"/>
    </row>
    <row r="847" ht="12.75">
      <c r="S847" s="20"/>
    </row>
    <row r="848" ht="12.75">
      <c r="S848" s="20"/>
    </row>
    <row r="849" ht="12.75">
      <c r="S849" s="20"/>
    </row>
    <row r="850" ht="12.75">
      <c r="S850" s="20"/>
    </row>
    <row r="851" ht="12.75">
      <c r="S851" s="20"/>
    </row>
    <row r="852" ht="12.75">
      <c r="S852" s="20"/>
    </row>
    <row r="853" ht="12.75">
      <c r="S853" s="20"/>
    </row>
    <row r="854" ht="12.75">
      <c r="S854" s="20"/>
    </row>
    <row r="855" ht="12.75">
      <c r="S855" s="20"/>
    </row>
    <row r="856" ht="12.75">
      <c r="S856" s="20"/>
    </row>
    <row r="857" ht="12.75">
      <c r="S857" s="20"/>
    </row>
    <row r="858" ht="12.75">
      <c r="S858" s="20"/>
    </row>
    <row r="859" ht="12.75">
      <c r="S859" s="20"/>
    </row>
    <row r="860" ht="12.75">
      <c r="S860" s="20"/>
    </row>
    <row r="861" ht="12.75">
      <c r="S861" s="20"/>
    </row>
    <row r="862" ht="12.75">
      <c r="S862" s="20"/>
    </row>
    <row r="863" ht="12.75">
      <c r="S863" s="20"/>
    </row>
    <row r="864" ht="12.75">
      <c r="S864" s="20"/>
    </row>
    <row r="865" ht="12.75">
      <c r="S865" s="20"/>
    </row>
    <row r="866" ht="12.75">
      <c r="S866" s="20"/>
    </row>
    <row r="867" ht="12.75">
      <c r="S867" s="20"/>
    </row>
    <row r="868" ht="12.75">
      <c r="S868" s="20"/>
    </row>
    <row r="869" ht="12.75">
      <c r="S869" s="20"/>
    </row>
    <row r="870" ht="12.75">
      <c r="S870" s="20"/>
    </row>
    <row r="871" ht="12.75">
      <c r="S871" s="20"/>
    </row>
    <row r="872" ht="12.75">
      <c r="S872" s="20"/>
    </row>
    <row r="873" ht="12.75">
      <c r="S873" s="20"/>
    </row>
    <row r="874" ht="12.75">
      <c r="S874" s="20"/>
    </row>
    <row r="875" ht="12.75">
      <c r="S875" s="20"/>
    </row>
    <row r="876" ht="12.75">
      <c r="S876" s="20"/>
    </row>
    <row r="877" ht="12.75">
      <c r="S877" s="20"/>
    </row>
    <row r="878" ht="12.75">
      <c r="S878" s="20"/>
    </row>
    <row r="879" ht="12.75">
      <c r="S879" s="20"/>
    </row>
    <row r="880" ht="12.75">
      <c r="S880" s="20"/>
    </row>
    <row r="881" ht="12.75">
      <c r="S881" s="20"/>
    </row>
    <row r="882" ht="12.75">
      <c r="S882" s="20"/>
    </row>
    <row r="883" ht="12.75">
      <c r="S883" s="20"/>
    </row>
    <row r="884" ht="12.75">
      <c r="S884" s="20"/>
    </row>
    <row r="885" ht="12.75">
      <c r="S885" s="20"/>
    </row>
    <row r="886" ht="12.75">
      <c r="S886" s="20"/>
    </row>
    <row r="887" ht="12.75">
      <c r="S887" s="20"/>
    </row>
    <row r="888" ht="12.75">
      <c r="S888" s="20"/>
    </row>
  </sheetData>
  <printOptions/>
  <pageMargins left="0" right="0" top="1" bottom="1" header="0.5" footer="0.5"/>
  <pageSetup horizontalDpi="600" verticalDpi="600" orientation="landscape" scale="73" r:id="rId3"/>
  <headerFooter alignWithMargins="0">
    <oddFooter>&amp;L&amp;F &amp;A &amp;R&amp;D &amp;T  sw</oddFooter>
  </headerFooter>
  <rowBreaks count="1" manualBreakCount="1">
    <brk id="45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0"/>
  <sheetViews>
    <sheetView workbookViewId="0" topLeftCell="F4">
      <selection activeCell="J52" sqref="J52"/>
    </sheetView>
  </sheetViews>
  <sheetFormatPr defaultColWidth="9.140625" defaultRowHeight="12.75"/>
  <cols>
    <col min="1" max="1" width="2.8515625" style="1" customWidth="1"/>
    <col min="2" max="2" width="10.421875" style="0" customWidth="1"/>
    <col min="3" max="3" width="26.00390625" style="0" customWidth="1"/>
    <col min="4" max="4" width="12.7109375" style="0" customWidth="1"/>
    <col min="5" max="5" width="12.140625" style="0" customWidth="1"/>
    <col min="6" max="6" width="12.57421875" style="0" customWidth="1"/>
    <col min="7" max="7" width="12.00390625" style="0" customWidth="1"/>
    <col min="8" max="9" width="12.140625" style="0" customWidth="1"/>
    <col min="10" max="10" width="12.8515625" style="0" customWidth="1"/>
    <col min="11" max="11" width="12.00390625" style="0" customWidth="1"/>
    <col min="12" max="12" width="12.140625" style="0" customWidth="1"/>
    <col min="13" max="13" width="12.421875" style="0" customWidth="1"/>
    <col min="14" max="14" width="12.140625" style="0" customWidth="1"/>
    <col min="15" max="15" width="12.421875" style="0" customWidth="1"/>
    <col min="16" max="16" width="12.28125" style="0" customWidth="1"/>
    <col min="17" max="17" width="10.421875" style="0" customWidth="1"/>
  </cols>
  <sheetData>
    <row r="1" spans="2:10" ht="18">
      <c r="B1" s="2"/>
      <c r="E1" s="3"/>
      <c r="J1" s="26" t="str">
        <f>'WA monthly-04'!O1</f>
        <v>Avista Utilities</v>
      </c>
    </row>
    <row r="2" spans="1:10" ht="12.75">
      <c r="A2" s="24" t="s">
        <v>0</v>
      </c>
      <c r="J2" s="26" t="s">
        <v>69</v>
      </c>
    </row>
    <row r="3" spans="1:10" ht="12.75">
      <c r="A3" s="1" t="s">
        <v>1</v>
      </c>
      <c r="B3" s="4"/>
      <c r="J3" s="5"/>
    </row>
    <row r="4" spans="2:16" ht="12.75">
      <c r="B4" s="6" t="s">
        <v>90</v>
      </c>
      <c r="C4" s="7"/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</row>
    <row r="5" spans="4:16" ht="12.75">
      <c r="D5" s="30"/>
      <c r="E5" s="10">
        <v>37987</v>
      </c>
      <c r="F5" s="10">
        <v>38018</v>
      </c>
      <c r="G5" s="10">
        <v>38047</v>
      </c>
      <c r="H5" s="10">
        <v>38078</v>
      </c>
      <c r="I5" s="10">
        <v>38108</v>
      </c>
      <c r="J5" s="10">
        <v>38139</v>
      </c>
      <c r="K5" s="10">
        <v>38169</v>
      </c>
      <c r="L5" s="10">
        <v>38200</v>
      </c>
      <c r="M5" s="10">
        <v>38231</v>
      </c>
      <c r="N5" s="10">
        <v>38261</v>
      </c>
      <c r="O5" s="10">
        <v>38292</v>
      </c>
      <c r="P5" s="10">
        <v>38322</v>
      </c>
    </row>
    <row r="6" spans="4:15" ht="12.75">
      <c r="D6" s="28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12.75">
      <c r="A7" s="1">
        <v>1</v>
      </c>
      <c r="B7" t="s">
        <v>3</v>
      </c>
      <c r="D7" s="12">
        <f>SUM(E7:P7)</f>
        <v>174845636</v>
      </c>
      <c r="E7" s="14">
        <f>'WA monthly-04'!J29</f>
        <v>20898976</v>
      </c>
      <c r="F7" s="14">
        <f>'WA monthly-04'!K29</f>
        <v>14705597</v>
      </c>
      <c r="G7" s="14">
        <f>'WA monthly-04'!L29</f>
        <v>10016319</v>
      </c>
      <c r="H7" s="14">
        <f>'WA monthly-04'!M29</f>
        <v>11120205</v>
      </c>
      <c r="I7" s="14">
        <f>'WA monthly-04'!N29</f>
        <v>12019655</v>
      </c>
      <c r="J7" s="14">
        <f>'WA monthly-04'!O29</f>
        <v>12473990</v>
      </c>
      <c r="K7" s="14">
        <f>'WA monthly-04'!P29</f>
        <v>18862665</v>
      </c>
      <c r="L7" s="14">
        <f>'WA monthly-04'!Q29</f>
        <v>19801656</v>
      </c>
      <c r="M7" s="14">
        <f>'WA monthly-04'!R29</f>
        <v>12633272</v>
      </c>
      <c r="N7" s="14">
        <f>'WA monthly-04'!S29</f>
        <v>11943468</v>
      </c>
      <c r="O7" s="14">
        <f>'WA monthly-04'!T29</f>
        <v>14336972</v>
      </c>
      <c r="P7" s="14">
        <f>'WA monthly-04'!U29</f>
        <v>16032861</v>
      </c>
    </row>
    <row r="8" spans="4:16" ht="12.75">
      <c r="D8" s="11"/>
      <c r="E8" s="14"/>
      <c r="F8" s="67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1">
        <f>A7+1</f>
        <v>2</v>
      </c>
      <c r="B9" t="s">
        <v>4</v>
      </c>
      <c r="D9" s="12">
        <f>SUM(E9:P9)</f>
        <v>18222547</v>
      </c>
      <c r="E9" s="14">
        <f>'WA monthly-04'!J56</f>
        <v>1413525</v>
      </c>
      <c r="F9" s="14">
        <f>'WA monthly-04'!K56</f>
        <v>1496991</v>
      </c>
      <c r="G9" s="14">
        <f>'WA monthly-04'!L56</f>
        <v>1722290</v>
      </c>
      <c r="H9" s="14">
        <f>'WA monthly-04'!M56</f>
        <v>1235949</v>
      </c>
      <c r="I9" s="14">
        <f>'WA monthly-04'!N56</f>
        <v>784351</v>
      </c>
      <c r="J9" s="14">
        <f>'WA monthly-04'!O56</f>
        <v>1528687</v>
      </c>
      <c r="K9" s="14">
        <f>'WA monthly-04'!P56</f>
        <v>1705125</v>
      </c>
      <c r="L9" s="14">
        <f>'WA monthly-04'!Q56</f>
        <v>1647378</v>
      </c>
      <c r="M9" s="14">
        <f>'WA monthly-04'!R56</f>
        <v>1581143</v>
      </c>
      <c r="N9" s="14">
        <f>'WA monthly-04'!S56</f>
        <v>1820776</v>
      </c>
      <c r="O9" s="14">
        <f>'WA monthly-04'!T56</f>
        <v>1515336</v>
      </c>
      <c r="P9" s="14">
        <f>'WA monthly-04'!U56</f>
        <v>1770996</v>
      </c>
    </row>
    <row r="10" spans="4:16" ht="12.75">
      <c r="D10" s="11"/>
      <c r="E10" s="14"/>
      <c r="F10" s="14"/>
      <c r="G10" s="67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>
      <c r="A11" s="1">
        <f>A9+1</f>
        <v>3</v>
      </c>
      <c r="B11" t="s">
        <v>5</v>
      </c>
      <c r="D11" s="12">
        <f>SUM(E11:P11)</f>
        <v>20183774</v>
      </c>
      <c r="E11" s="14">
        <f>'WA monthly-04'!J74</f>
        <v>1642906</v>
      </c>
      <c r="F11" s="14">
        <f>'WA monthly-04'!K74</f>
        <v>403167</v>
      </c>
      <c r="G11" s="14">
        <f>'WA monthly-04'!L74</f>
        <v>278540</v>
      </c>
      <c r="H11" s="14">
        <f>'WA monthly-04'!M74</f>
        <v>361288</v>
      </c>
      <c r="I11" s="14">
        <f>'WA monthly-04'!N74</f>
        <v>378095</v>
      </c>
      <c r="J11" s="14">
        <f>'WA monthly-04'!O74</f>
        <v>280957</v>
      </c>
      <c r="K11" s="14">
        <f>'WA monthly-04'!P74</f>
        <v>690676</v>
      </c>
      <c r="L11" s="14">
        <f>'WA monthly-04'!Q74</f>
        <v>779333</v>
      </c>
      <c r="M11" s="14">
        <f>'WA monthly-04'!R74</f>
        <v>2859252</v>
      </c>
      <c r="N11" s="14">
        <f>'WA monthly-04'!S74</f>
        <v>5117402</v>
      </c>
      <c r="O11" s="14">
        <f>'WA monthly-04'!T74</f>
        <v>4070234</v>
      </c>
      <c r="P11" s="14">
        <f>'WA monthly-04'!U74</f>
        <v>3321924</v>
      </c>
    </row>
    <row r="12" spans="4:16" ht="12.75">
      <c r="D12" s="11"/>
      <c r="E12" s="14"/>
      <c r="F12" s="14"/>
      <c r="G12" s="67"/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1">
        <f>A11+1</f>
        <v>4</v>
      </c>
      <c r="B13" s="7" t="s">
        <v>6</v>
      </c>
      <c r="C13" s="7"/>
      <c r="D13" s="15">
        <f>SUM(E13:P13)</f>
        <v>89993263</v>
      </c>
      <c r="E13" s="17">
        <f>'WA monthly-04'!J44</f>
        <v>6140479</v>
      </c>
      <c r="F13" s="17">
        <f>'WA monthly-04'!K44</f>
        <v>2826196</v>
      </c>
      <c r="G13" s="17">
        <f>'WA monthly-04'!L44</f>
        <v>3840479</v>
      </c>
      <c r="H13" s="17">
        <f>'WA monthly-04'!M44</f>
        <v>4944388</v>
      </c>
      <c r="I13" s="17">
        <f>'WA monthly-04'!N44</f>
        <v>11138434</v>
      </c>
      <c r="J13" s="17">
        <f>'WA monthly-04'!O44</f>
        <v>10082366</v>
      </c>
      <c r="K13" s="17">
        <f>'WA monthly-04'!P44</f>
        <v>8654928</v>
      </c>
      <c r="L13" s="17">
        <f>'WA monthly-04'!Q44</f>
        <v>5889168</v>
      </c>
      <c r="M13" s="17">
        <f>'WA monthly-04'!R44</f>
        <v>7419594</v>
      </c>
      <c r="N13" s="17">
        <f>'WA monthly-04'!S44</f>
        <v>9073203</v>
      </c>
      <c r="O13" s="17">
        <f>'WA monthly-04'!T44</f>
        <v>8781387</v>
      </c>
      <c r="P13" s="17">
        <f>'WA monthly-04'!U44</f>
        <v>11202641</v>
      </c>
    </row>
    <row r="14" spans="4:15" ht="6.75" customHeight="1">
      <c r="D14" s="11"/>
      <c r="E14" s="68"/>
      <c r="F14" s="67"/>
      <c r="G14" s="5"/>
      <c r="H14" s="5"/>
      <c r="I14" s="5"/>
      <c r="J14" s="5"/>
      <c r="K14" s="5"/>
      <c r="L14" s="5"/>
      <c r="M14" s="5"/>
      <c r="N14" s="5"/>
      <c r="O14" s="5"/>
    </row>
    <row r="15" spans="1:16" ht="12.75">
      <c r="A15" s="1">
        <f>A13+1</f>
        <v>5</v>
      </c>
      <c r="B15" t="s">
        <v>7</v>
      </c>
      <c r="D15" s="12">
        <f>SUM(E15:P15)</f>
        <v>123258694</v>
      </c>
      <c r="E15" s="67">
        <f>E7+E9+E11-E13</f>
        <v>17814928</v>
      </c>
      <c r="F15" s="67">
        <f aca="true" t="shared" si="0" ref="F15:P15">F7+F9+F11-F13</f>
        <v>13779559</v>
      </c>
      <c r="G15" s="67">
        <f t="shared" si="0"/>
        <v>8176670</v>
      </c>
      <c r="H15" s="67">
        <f t="shared" si="0"/>
        <v>7773054</v>
      </c>
      <c r="I15" s="67">
        <f t="shared" si="0"/>
        <v>2043667</v>
      </c>
      <c r="J15" s="67">
        <f t="shared" si="0"/>
        <v>4201268</v>
      </c>
      <c r="K15" s="67">
        <f t="shared" si="0"/>
        <v>12603538</v>
      </c>
      <c r="L15" s="67">
        <f t="shared" si="0"/>
        <v>16339199</v>
      </c>
      <c r="M15" s="67">
        <f t="shared" si="0"/>
        <v>9654073</v>
      </c>
      <c r="N15" s="67">
        <f t="shared" si="0"/>
        <v>9808443</v>
      </c>
      <c r="O15" s="67">
        <f t="shared" si="0"/>
        <v>11141155</v>
      </c>
      <c r="P15" s="67">
        <f t="shared" si="0"/>
        <v>9923140</v>
      </c>
    </row>
    <row r="16" spans="4:15" ht="12.75">
      <c r="D16" s="12"/>
      <c r="E16" s="68"/>
      <c r="F16" s="67"/>
      <c r="G16" s="13"/>
      <c r="H16" s="13"/>
      <c r="I16" s="13"/>
      <c r="J16" s="13"/>
      <c r="K16" s="13"/>
      <c r="L16" s="13"/>
      <c r="M16" s="13"/>
      <c r="N16" s="13"/>
      <c r="O16" s="13"/>
    </row>
    <row r="17" spans="1:16" ht="12.75">
      <c r="A17" s="1">
        <f>A15+1</f>
        <v>6</v>
      </c>
      <c r="B17" t="s">
        <v>16</v>
      </c>
      <c r="D17" s="64">
        <f>SUM(E17:P17)</f>
        <v>-7104060</v>
      </c>
      <c r="E17" s="31">
        <f>-25*744*32.35</f>
        <v>-601710</v>
      </c>
      <c r="F17" s="31">
        <f>-25*696*32.35</f>
        <v>-562890</v>
      </c>
      <c r="G17" s="31">
        <f>-25*744*32.35</f>
        <v>-601710</v>
      </c>
      <c r="H17" s="31">
        <f>-25*719*32.35</f>
        <v>-581491</v>
      </c>
      <c r="I17" s="31">
        <f>-25*744*32.35</f>
        <v>-601710</v>
      </c>
      <c r="J17" s="31">
        <f>-25*720*32.35</f>
        <v>-582300</v>
      </c>
      <c r="K17" s="31">
        <f>-25*744*32.35</f>
        <v>-601710</v>
      </c>
      <c r="L17" s="31">
        <f>-25*744*32.35</f>
        <v>-601710</v>
      </c>
      <c r="M17" s="31">
        <f>-25*720*32.35</f>
        <v>-582300</v>
      </c>
      <c r="N17" s="31">
        <f>-25*745*32.35</f>
        <v>-602519</v>
      </c>
      <c r="O17" s="31">
        <f>-25*720*32.35</f>
        <v>-582300</v>
      </c>
      <c r="P17" s="31">
        <f>-25*744*32.35</f>
        <v>-601710</v>
      </c>
    </row>
    <row r="18" spans="4:16" ht="12.75">
      <c r="D18" s="64"/>
      <c r="E18" s="31"/>
      <c r="F18" s="31"/>
      <c r="G18" s="31"/>
      <c r="H18" s="31"/>
      <c r="I18" s="31"/>
      <c r="J18" s="31"/>
      <c r="K18" s="32"/>
      <c r="L18" s="32"/>
      <c r="M18" s="32"/>
      <c r="N18" s="32"/>
      <c r="O18" s="32"/>
      <c r="P18" s="32"/>
    </row>
    <row r="19" spans="1:16" ht="12.75">
      <c r="A19" s="1">
        <f>A17+1</f>
        <v>7</v>
      </c>
      <c r="B19" s="102" t="s">
        <v>76</v>
      </c>
      <c r="D19" s="110">
        <f>SUM(E19:P19)</f>
        <v>-22797280</v>
      </c>
      <c r="E19" s="83">
        <f>-'WA monthly-04'!J25</f>
        <v>-2047319</v>
      </c>
      <c r="F19" s="83">
        <f>-'WA monthly-04'!K25</f>
        <v>-1907665</v>
      </c>
      <c r="G19" s="83">
        <f>-'WA monthly-04'!L25</f>
        <v>-1575121</v>
      </c>
      <c r="H19" s="83">
        <f>-'WA monthly-04'!M25</f>
        <v>-1933319</v>
      </c>
      <c r="I19" s="83">
        <f>-'WA monthly-04'!N25</f>
        <v>-1968354</v>
      </c>
      <c r="J19" s="83">
        <f>-'WA monthly-04'!O25</f>
        <v>-1880368</v>
      </c>
      <c r="K19" s="83">
        <f>-'WA monthly-04'!P25</f>
        <v>-1966680</v>
      </c>
      <c r="L19" s="83">
        <f>-'WA monthly-04'!Q25</f>
        <v>-2002261</v>
      </c>
      <c r="M19" s="83">
        <f>-'WA monthly-04'!R25</f>
        <v>-1674610</v>
      </c>
      <c r="N19" s="83">
        <f>-'WA monthly-04'!S25</f>
        <v>-1987582</v>
      </c>
      <c r="O19" s="83">
        <f>-'WA monthly-04'!T25</f>
        <v>-1782725</v>
      </c>
      <c r="P19" s="83">
        <f>-'WA monthly-04'!U25</f>
        <v>-2071276</v>
      </c>
    </row>
    <row r="20" spans="4:15" ht="12.75">
      <c r="D20" s="12"/>
      <c r="E20" s="68"/>
      <c r="F20" s="67"/>
      <c r="G20" s="13"/>
      <c r="H20" s="13"/>
      <c r="I20" s="13"/>
      <c r="J20" s="13"/>
      <c r="K20" s="13"/>
      <c r="L20" s="13"/>
      <c r="M20" s="13"/>
      <c r="N20" s="13"/>
      <c r="O20" s="13"/>
    </row>
    <row r="21" spans="1:16" ht="12.75">
      <c r="A21" s="1">
        <f>A19+1</f>
        <v>8</v>
      </c>
      <c r="B21" t="s">
        <v>14</v>
      </c>
      <c r="D21" s="15">
        <f>SUM(E21:P21)</f>
        <v>93357354</v>
      </c>
      <c r="E21" s="31">
        <f aca="true" t="shared" si="1" ref="E21:P21">SUM(E15:E20)</f>
        <v>15165899</v>
      </c>
      <c r="F21" s="31">
        <f t="shared" si="1"/>
        <v>11309004</v>
      </c>
      <c r="G21" s="31">
        <f t="shared" si="1"/>
        <v>5999839</v>
      </c>
      <c r="H21" s="31">
        <f t="shared" si="1"/>
        <v>5258244</v>
      </c>
      <c r="I21" s="31">
        <f t="shared" si="1"/>
        <v>-526397</v>
      </c>
      <c r="J21" s="31">
        <f t="shared" si="1"/>
        <v>1738600</v>
      </c>
      <c r="K21" s="31">
        <f t="shared" si="1"/>
        <v>10035148</v>
      </c>
      <c r="L21" s="31">
        <f t="shared" si="1"/>
        <v>13735228</v>
      </c>
      <c r="M21" s="31">
        <f t="shared" si="1"/>
        <v>7397163</v>
      </c>
      <c r="N21" s="31">
        <f t="shared" si="1"/>
        <v>7218342</v>
      </c>
      <c r="O21" s="31">
        <f t="shared" si="1"/>
        <v>8776130</v>
      </c>
      <c r="P21" s="31">
        <f t="shared" si="1"/>
        <v>7250154</v>
      </c>
    </row>
    <row r="22" spans="5:15" ht="12.75">
      <c r="E22" s="66"/>
      <c r="F22" s="65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12.75">
      <c r="B23" s="6" t="s">
        <v>17</v>
      </c>
      <c r="C23" s="7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4:16" ht="12.75">
      <c r="D24" s="9"/>
      <c r="E24" s="10">
        <f>E5</f>
        <v>37987</v>
      </c>
      <c r="F24" s="10">
        <f aca="true" t="shared" si="2" ref="F24:P24">F5</f>
        <v>38018</v>
      </c>
      <c r="G24" s="10">
        <f t="shared" si="2"/>
        <v>38047</v>
      </c>
      <c r="H24" s="10">
        <f t="shared" si="2"/>
        <v>38078</v>
      </c>
      <c r="I24" s="10">
        <f t="shared" si="2"/>
        <v>38108</v>
      </c>
      <c r="J24" s="10">
        <f t="shared" si="2"/>
        <v>38139</v>
      </c>
      <c r="K24" s="10">
        <f t="shared" si="2"/>
        <v>38169</v>
      </c>
      <c r="L24" s="10">
        <f t="shared" si="2"/>
        <v>38200</v>
      </c>
      <c r="M24" s="10">
        <f t="shared" si="2"/>
        <v>38231</v>
      </c>
      <c r="N24" s="10">
        <f t="shared" si="2"/>
        <v>38261</v>
      </c>
      <c r="O24" s="10">
        <f t="shared" si="2"/>
        <v>38292</v>
      </c>
      <c r="P24" s="10">
        <f t="shared" si="2"/>
        <v>38322</v>
      </c>
    </row>
    <row r="25" spans="4:15" ht="12.75">
      <c r="D25" s="11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ht="12.75">
      <c r="A26" s="1">
        <f>A21+1</f>
        <v>9</v>
      </c>
      <c r="B26" t="s">
        <v>3</v>
      </c>
      <c r="D26" s="12">
        <f>SUM(E26:P26)</f>
        <v>68370477</v>
      </c>
      <c r="E26" s="14">
        <v>7820601</v>
      </c>
      <c r="F26" s="67">
        <v>6873178</v>
      </c>
      <c r="G26" s="13">
        <v>6877530</v>
      </c>
      <c r="H26" s="13">
        <v>2970502</v>
      </c>
      <c r="I26" s="13">
        <v>1220238</v>
      </c>
      <c r="J26" s="13">
        <v>781522</v>
      </c>
      <c r="K26" s="13">
        <v>5416130</v>
      </c>
      <c r="L26" s="13">
        <v>7510269</v>
      </c>
      <c r="M26" s="13">
        <v>6079663</v>
      </c>
      <c r="N26" s="13">
        <v>6429357</v>
      </c>
      <c r="O26" s="13">
        <v>8215787</v>
      </c>
      <c r="P26" s="14">
        <v>8175700</v>
      </c>
    </row>
    <row r="27" spans="4:16" ht="12.75">
      <c r="D27" s="11"/>
      <c r="E27" s="14"/>
      <c r="F27" s="67"/>
      <c r="G27" s="13"/>
      <c r="H27" s="13"/>
      <c r="I27" s="13"/>
      <c r="J27" s="13"/>
      <c r="K27" s="13"/>
      <c r="L27" s="13"/>
      <c r="M27" s="13"/>
      <c r="N27" s="13"/>
      <c r="O27" s="13"/>
      <c r="P27" s="14"/>
    </row>
    <row r="28" spans="1:16" ht="12.75">
      <c r="A28" s="1">
        <f>A26+1</f>
        <v>10</v>
      </c>
      <c r="B28" t="s">
        <v>4</v>
      </c>
      <c r="D28" s="12">
        <f>SUM(E28:P28)</f>
        <v>15777429</v>
      </c>
      <c r="E28" s="14">
        <v>1497543</v>
      </c>
      <c r="F28" s="67">
        <v>1328377</v>
      </c>
      <c r="G28" s="13">
        <v>1321593</v>
      </c>
      <c r="H28" s="13">
        <v>1193467</v>
      </c>
      <c r="I28" s="13">
        <v>566463</v>
      </c>
      <c r="J28" s="13">
        <v>1103034</v>
      </c>
      <c r="K28" s="13">
        <v>1501955</v>
      </c>
      <c r="L28" s="13">
        <v>1550936</v>
      </c>
      <c r="M28" s="13">
        <v>1519166</v>
      </c>
      <c r="N28" s="13">
        <v>1449825</v>
      </c>
      <c r="O28" s="13">
        <v>1289090</v>
      </c>
      <c r="P28" s="14">
        <v>1455980</v>
      </c>
    </row>
    <row r="29" spans="4:16" ht="12.75">
      <c r="D29" s="11"/>
      <c r="E29" s="14"/>
      <c r="F29" s="67"/>
      <c r="G29" s="13"/>
      <c r="H29" s="13"/>
      <c r="I29" s="13"/>
      <c r="J29" s="13"/>
      <c r="K29" s="13"/>
      <c r="L29" s="13"/>
      <c r="M29" s="13"/>
      <c r="N29" s="13"/>
      <c r="O29" s="13"/>
      <c r="P29" s="14"/>
    </row>
    <row r="30" spans="1:16" ht="12.75">
      <c r="A30" s="1">
        <f>A28+1</f>
        <v>11</v>
      </c>
      <c r="B30" t="s">
        <v>5</v>
      </c>
      <c r="D30" s="12">
        <f>SUM(E30:P30)</f>
        <v>30931880</v>
      </c>
      <c r="E30" s="14">
        <v>3209570</v>
      </c>
      <c r="F30" s="67">
        <v>2713553</v>
      </c>
      <c r="G30" s="13">
        <v>2216117</v>
      </c>
      <c r="H30" s="13">
        <v>1302967</v>
      </c>
      <c r="I30" s="13">
        <v>642820</v>
      </c>
      <c r="J30" s="13">
        <v>1720868</v>
      </c>
      <c r="K30" s="13">
        <v>3644073</v>
      </c>
      <c r="L30" s="13">
        <v>4169327</v>
      </c>
      <c r="M30" s="13">
        <v>4111073</v>
      </c>
      <c r="N30" s="13">
        <v>2703227</v>
      </c>
      <c r="O30" s="13">
        <v>2355980</v>
      </c>
      <c r="P30" s="14">
        <v>2142305</v>
      </c>
    </row>
    <row r="31" spans="4:15" ht="12.75">
      <c r="D31" s="11"/>
      <c r="E31" s="14"/>
      <c r="F31" s="67"/>
      <c r="G31" s="13"/>
      <c r="H31" s="13"/>
      <c r="I31" s="13"/>
      <c r="J31" s="13"/>
      <c r="K31" s="13"/>
      <c r="L31" s="13"/>
      <c r="M31" s="13"/>
      <c r="N31" s="13"/>
      <c r="O31" s="13"/>
    </row>
    <row r="32" spans="1:16" ht="12.75">
      <c r="A32" s="1">
        <f>A30+1</f>
        <v>12</v>
      </c>
      <c r="B32" s="7" t="s">
        <v>6</v>
      </c>
      <c r="C32" s="7"/>
      <c r="D32" s="15">
        <f>SUM(E32:P32)</f>
        <v>49213167</v>
      </c>
      <c r="E32" s="17">
        <v>3395816</v>
      </c>
      <c r="F32" s="69">
        <v>3610669</v>
      </c>
      <c r="G32" s="16">
        <v>2796420</v>
      </c>
      <c r="H32" s="16">
        <v>1922246</v>
      </c>
      <c r="I32" s="16">
        <v>2752789</v>
      </c>
      <c r="J32" s="16">
        <v>8044786</v>
      </c>
      <c r="K32" s="17">
        <v>9136979</v>
      </c>
      <c r="L32" s="17">
        <v>5227838</v>
      </c>
      <c r="M32" s="17">
        <v>4654564</v>
      </c>
      <c r="N32" s="17">
        <v>1545341</v>
      </c>
      <c r="O32" s="17">
        <v>2563932</v>
      </c>
      <c r="P32" s="17">
        <v>3561787</v>
      </c>
    </row>
    <row r="33" spans="4:15" ht="7.5" customHeight="1">
      <c r="D33" s="11"/>
      <c r="E33" s="68"/>
      <c r="F33" s="67"/>
      <c r="G33" s="5"/>
      <c r="H33" s="5"/>
      <c r="I33" s="5"/>
      <c r="J33" s="5"/>
      <c r="K33" s="5"/>
      <c r="L33" s="5"/>
      <c r="M33" s="5"/>
      <c r="N33" s="5"/>
      <c r="O33" s="5"/>
    </row>
    <row r="34" spans="1:16" ht="12.75">
      <c r="A34" s="1">
        <f>A32+1</f>
        <v>13</v>
      </c>
      <c r="B34" t="s">
        <v>8</v>
      </c>
      <c r="D34" s="12">
        <f>SUM(E34:P34)</f>
        <v>65866619</v>
      </c>
      <c r="E34" s="67">
        <f>E26+E28+E30-E32</f>
        <v>9131898</v>
      </c>
      <c r="F34" s="67">
        <f aca="true" t="shared" si="3" ref="F34:P34">F26+F28+F30-F32</f>
        <v>7304439</v>
      </c>
      <c r="G34" s="13">
        <f t="shared" si="3"/>
        <v>7618820</v>
      </c>
      <c r="H34" s="13">
        <f t="shared" si="3"/>
        <v>3544690</v>
      </c>
      <c r="I34" s="67">
        <f t="shared" si="3"/>
        <v>-323268</v>
      </c>
      <c r="J34" s="67">
        <f t="shared" si="3"/>
        <v>-4439362</v>
      </c>
      <c r="K34" s="13">
        <f t="shared" si="3"/>
        <v>1425179</v>
      </c>
      <c r="L34" s="13">
        <f t="shared" si="3"/>
        <v>8002694</v>
      </c>
      <c r="M34" s="13">
        <f t="shared" si="3"/>
        <v>7055338</v>
      </c>
      <c r="N34" s="13">
        <f t="shared" si="3"/>
        <v>9037068</v>
      </c>
      <c r="O34" s="13">
        <f t="shared" si="3"/>
        <v>9296925</v>
      </c>
      <c r="P34" s="13">
        <f t="shared" si="3"/>
        <v>8212198</v>
      </c>
    </row>
    <row r="35" spans="2:15" ht="12.75" customHeight="1">
      <c r="B35" s="18"/>
      <c r="D35" s="11"/>
      <c r="E35" s="68"/>
      <c r="F35" s="67"/>
      <c r="G35" s="13"/>
      <c r="H35" s="13"/>
      <c r="I35" s="13"/>
      <c r="J35" s="13"/>
      <c r="K35" s="13"/>
      <c r="L35" s="13"/>
      <c r="M35" s="13"/>
      <c r="N35" s="13"/>
      <c r="O35" s="13"/>
    </row>
    <row r="36" spans="1:16" ht="12.75">
      <c r="A36" s="1">
        <f>A34+1</f>
        <v>14</v>
      </c>
      <c r="B36" t="s">
        <v>9</v>
      </c>
      <c r="D36" s="64">
        <f>SUM(E36:P36)</f>
        <v>27490735</v>
      </c>
      <c r="E36" s="67">
        <f aca="true" t="shared" si="4" ref="E36:P36">E21-E34</f>
        <v>6034001</v>
      </c>
      <c r="F36" s="67">
        <f t="shared" si="4"/>
        <v>4004565</v>
      </c>
      <c r="G36" s="67">
        <f t="shared" si="4"/>
        <v>-1618981</v>
      </c>
      <c r="H36" s="67">
        <f t="shared" si="4"/>
        <v>1713554</v>
      </c>
      <c r="I36" s="67">
        <f t="shared" si="4"/>
        <v>-203129</v>
      </c>
      <c r="J36" s="67">
        <f t="shared" si="4"/>
        <v>6177962</v>
      </c>
      <c r="K36" s="67">
        <f t="shared" si="4"/>
        <v>8609969</v>
      </c>
      <c r="L36" s="67">
        <f t="shared" si="4"/>
        <v>5732534</v>
      </c>
      <c r="M36" s="67">
        <f t="shared" si="4"/>
        <v>341825</v>
      </c>
      <c r="N36" s="67">
        <f t="shared" si="4"/>
        <v>-1818726</v>
      </c>
      <c r="O36" s="67">
        <f t="shared" si="4"/>
        <v>-520795</v>
      </c>
      <c r="P36" s="67">
        <f t="shared" si="4"/>
        <v>-962044</v>
      </c>
    </row>
    <row r="37" spans="4:15" ht="12.75" customHeight="1">
      <c r="D37" s="11"/>
      <c r="E37" s="68"/>
      <c r="F37" s="67"/>
      <c r="G37" s="5"/>
      <c r="H37" s="5"/>
      <c r="I37" s="5"/>
      <c r="J37" s="5"/>
      <c r="K37" s="5"/>
      <c r="L37" s="5"/>
      <c r="M37" s="5"/>
      <c r="N37" s="5"/>
      <c r="O37" s="5"/>
    </row>
    <row r="38" spans="1:16" ht="12.75">
      <c r="A38" s="1">
        <f>A36+1</f>
        <v>15</v>
      </c>
      <c r="B38" t="s">
        <v>10</v>
      </c>
      <c r="D38" s="21">
        <f>SUM(E38:P38)</f>
        <v>8612002</v>
      </c>
      <c r="E38" s="67">
        <f>9902168-9720151</f>
        <v>182017</v>
      </c>
      <c r="F38" s="67">
        <v>102000</v>
      </c>
      <c r="G38" s="19">
        <f>7199237.36-6197395.07</f>
        <v>1001842</v>
      </c>
      <c r="H38" s="19">
        <f>6454280.66-5076507.4</f>
        <v>1377773</v>
      </c>
      <c r="I38" s="19">
        <f>6871142-5501108</f>
        <v>1370034</v>
      </c>
      <c r="J38" s="19">
        <v>1604325</v>
      </c>
      <c r="K38" s="13">
        <f>8324157.59-7297900.43</f>
        <v>1026257</v>
      </c>
      <c r="L38" s="13">
        <f>8172592.62-7254833.36</f>
        <v>917759</v>
      </c>
      <c r="M38" s="19">
        <f>5791942-5016366</f>
        <v>775576</v>
      </c>
      <c r="N38" s="84">
        <f>3776729-3248539</f>
        <v>528190</v>
      </c>
      <c r="O38" s="19">
        <f>-35965</f>
        <v>-35965</v>
      </c>
      <c r="P38" s="19">
        <f>1358190-1595996</f>
        <v>-237806</v>
      </c>
    </row>
    <row r="39" spans="4:15" ht="12.75">
      <c r="D39" s="11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6" ht="12.75">
      <c r="A40" s="1">
        <f>A38+1</f>
        <v>16</v>
      </c>
      <c r="B40" t="s">
        <v>60</v>
      </c>
      <c r="D40" s="60">
        <f>SUM(E40:P40)</f>
        <v>36102737</v>
      </c>
      <c r="E40" s="115">
        <f aca="true" t="shared" si="5" ref="E40:P40">SUM(E36:E39)</f>
        <v>6216018</v>
      </c>
      <c r="F40" s="115">
        <f t="shared" si="5"/>
        <v>4106565</v>
      </c>
      <c r="G40" s="115">
        <f t="shared" si="5"/>
        <v>-617139</v>
      </c>
      <c r="H40" s="115">
        <f t="shared" si="5"/>
        <v>3091327</v>
      </c>
      <c r="I40" s="115">
        <f t="shared" si="5"/>
        <v>1166905</v>
      </c>
      <c r="J40" s="115">
        <f t="shared" si="5"/>
        <v>7782287</v>
      </c>
      <c r="K40" s="115">
        <f t="shared" si="5"/>
        <v>9636226</v>
      </c>
      <c r="L40" s="115">
        <f t="shared" si="5"/>
        <v>6650293</v>
      </c>
      <c r="M40" s="115">
        <f t="shared" si="5"/>
        <v>1117401</v>
      </c>
      <c r="N40" s="115">
        <f t="shared" si="5"/>
        <v>-1290536</v>
      </c>
      <c r="O40" s="115">
        <f t="shared" si="5"/>
        <v>-556760</v>
      </c>
      <c r="P40" s="115">
        <f t="shared" si="5"/>
        <v>-1199850</v>
      </c>
    </row>
    <row r="41" spans="4:15" ht="12.75">
      <c r="D41" s="11"/>
      <c r="E41" s="70"/>
      <c r="F41" s="61"/>
      <c r="G41" s="5"/>
      <c r="H41" s="5"/>
      <c r="I41" s="5"/>
      <c r="J41" s="5"/>
      <c r="K41" s="5"/>
      <c r="L41" s="5"/>
      <c r="M41" s="5"/>
      <c r="N41" s="5"/>
      <c r="O41" s="5"/>
    </row>
    <row r="42" spans="1:16" ht="12.75">
      <c r="A42" s="1">
        <f>A40+1</f>
        <v>17</v>
      </c>
      <c r="B42" t="s">
        <v>71</v>
      </c>
      <c r="D42" s="64">
        <f>SUM(E42:P42)</f>
        <v>23932504</v>
      </c>
      <c r="E42" s="61">
        <f aca="true" t="shared" si="6" ref="E42:P42">E40*0.6629</f>
        <v>4120598</v>
      </c>
      <c r="F42" s="61">
        <f t="shared" si="6"/>
        <v>2722242</v>
      </c>
      <c r="G42" s="61">
        <f t="shared" si="6"/>
        <v>-409101</v>
      </c>
      <c r="H42" s="61">
        <f t="shared" si="6"/>
        <v>2049241</v>
      </c>
      <c r="I42" s="61">
        <f t="shared" si="6"/>
        <v>773541</v>
      </c>
      <c r="J42" s="61">
        <f t="shared" si="6"/>
        <v>5158878</v>
      </c>
      <c r="K42" s="61">
        <f t="shared" si="6"/>
        <v>6387854</v>
      </c>
      <c r="L42" s="61">
        <f t="shared" si="6"/>
        <v>4408479</v>
      </c>
      <c r="M42" s="61">
        <f t="shared" si="6"/>
        <v>740725</v>
      </c>
      <c r="N42" s="61">
        <f t="shared" si="6"/>
        <v>-855496</v>
      </c>
      <c r="O42" s="61">
        <f t="shared" si="6"/>
        <v>-369076</v>
      </c>
      <c r="P42" s="61">
        <f t="shared" si="6"/>
        <v>-795381</v>
      </c>
    </row>
    <row r="43" spans="4:15" ht="12.75">
      <c r="D43" s="11"/>
      <c r="E43" s="70"/>
      <c r="F43" s="70"/>
      <c r="K43" s="5"/>
      <c r="L43" s="5"/>
      <c r="M43" s="5"/>
      <c r="N43" s="5"/>
      <c r="O43" s="5"/>
    </row>
    <row r="44" spans="1:16" ht="12.75">
      <c r="A44" s="1">
        <f>A42+1</f>
        <v>18</v>
      </c>
      <c r="B44" s="112" t="s">
        <v>91</v>
      </c>
      <c r="C44" s="112"/>
      <c r="D44" s="113">
        <f>SUM(E44:P44)</f>
        <v>391494</v>
      </c>
      <c r="E44" s="114">
        <v>32626</v>
      </c>
      <c r="F44" s="114">
        <v>32626</v>
      </c>
      <c r="G44" s="114">
        <v>32626</v>
      </c>
      <c r="H44" s="114">
        <v>32626</v>
      </c>
      <c r="I44" s="114">
        <v>32626</v>
      </c>
      <c r="J44" s="114">
        <v>32626</v>
      </c>
      <c r="K44" s="114">
        <v>32623</v>
      </c>
      <c r="L44" s="114">
        <v>32623</v>
      </c>
      <c r="M44" s="114">
        <v>32623</v>
      </c>
      <c r="N44" s="114">
        <v>32623</v>
      </c>
      <c r="O44" s="114">
        <v>32623</v>
      </c>
      <c r="P44" s="114">
        <v>32623</v>
      </c>
    </row>
    <row r="45" spans="4:15" ht="12.75">
      <c r="D45" s="11"/>
      <c r="E45" s="70"/>
      <c r="F45" s="70"/>
      <c r="K45" s="5"/>
      <c r="L45" s="5"/>
      <c r="M45" s="5"/>
      <c r="N45" s="5"/>
      <c r="O45" s="5"/>
    </row>
    <row r="46" spans="1:16" ht="12.75">
      <c r="A46" s="1">
        <f>A44+1</f>
        <v>19</v>
      </c>
      <c r="B46" s="99" t="s">
        <v>11</v>
      </c>
      <c r="C46" s="99"/>
      <c r="D46" s="101">
        <f>SUM(E46:P46)</f>
        <v>-3660425</v>
      </c>
      <c r="E46" s="100">
        <v>-669274</v>
      </c>
      <c r="F46" s="100">
        <v>-1277781</v>
      </c>
      <c r="G46" s="100">
        <v>258633</v>
      </c>
      <c r="H46" s="100">
        <v>-148209</v>
      </c>
      <c r="I46" s="100">
        <v>13583</v>
      </c>
      <c r="J46" s="82">
        <v>421956</v>
      </c>
      <c r="K46" s="100">
        <v>-569821</v>
      </c>
      <c r="L46" s="100">
        <v>-814669</v>
      </c>
      <c r="M46" s="100">
        <v>-1376782</v>
      </c>
      <c r="N46" s="100">
        <v>-1202899</v>
      </c>
      <c r="O46" s="100">
        <v>-512683</v>
      </c>
      <c r="P46" s="100">
        <v>2217521</v>
      </c>
    </row>
    <row r="47" spans="4:15" ht="12.75">
      <c r="D47" s="11"/>
      <c r="E47" s="70"/>
      <c r="F47" s="61"/>
      <c r="G47" s="5"/>
      <c r="H47" s="5"/>
      <c r="I47" s="5"/>
      <c r="J47" s="5"/>
      <c r="K47" s="5"/>
      <c r="L47" s="5"/>
      <c r="M47" s="5"/>
      <c r="N47" s="5"/>
      <c r="O47" s="5"/>
    </row>
    <row r="48" spans="1:16" ht="12.75">
      <c r="A48" s="1">
        <f>A46+1</f>
        <v>20</v>
      </c>
      <c r="B48" t="s">
        <v>15</v>
      </c>
      <c r="D48" s="22">
        <f>SUM(E48:P48)</f>
        <v>20663573</v>
      </c>
      <c r="E48" s="62">
        <f aca="true" t="shared" si="7" ref="E48:P48">E42+E44+E46</f>
        <v>3483950</v>
      </c>
      <c r="F48" s="62">
        <f t="shared" si="7"/>
        <v>1477087</v>
      </c>
      <c r="G48" s="62">
        <f t="shared" si="7"/>
        <v>-117842</v>
      </c>
      <c r="H48" s="62">
        <f t="shared" si="7"/>
        <v>1933658</v>
      </c>
      <c r="I48" s="62">
        <f t="shared" si="7"/>
        <v>819750</v>
      </c>
      <c r="J48" s="62">
        <f>J42+J44+J46</f>
        <v>5613460</v>
      </c>
      <c r="K48" s="62">
        <f t="shared" si="7"/>
        <v>5850656</v>
      </c>
      <c r="L48" s="62">
        <f t="shared" si="7"/>
        <v>3626433</v>
      </c>
      <c r="M48" s="62">
        <f t="shared" si="7"/>
        <v>-603434</v>
      </c>
      <c r="N48" s="62">
        <f t="shared" si="7"/>
        <v>-2025772</v>
      </c>
      <c r="O48" s="62">
        <f t="shared" si="7"/>
        <v>-849136</v>
      </c>
      <c r="P48" s="62">
        <f t="shared" si="7"/>
        <v>1454763</v>
      </c>
    </row>
    <row r="49" ht="14.25" customHeight="1"/>
    <row r="50" spans="1:16" ht="12.75" customHeight="1">
      <c r="A50" s="1">
        <f>A48+1</f>
        <v>21</v>
      </c>
      <c r="B50" s="29" t="s">
        <v>72</v>
      </c>
      <c r="D50" s="19">
        <f>SUM(E50:P50)</f>
        <v>4210063</v>
      </c>
      <c r="H50" s="70"/>
      <c r="J50" s="70">
        <f>E48+F48+G48+H48+I48+J48-9000000</f>
        <v>4210063</v>
      </c>
      <c r="K50" s="32"/>
      <c r="L50" s="61"/>
      <c r="M50" s="61"/>
      <c r="N50" s="61"/>
      <c r="O50" s="61"/>
      <c r="P50" s="61"/>
    </row>
    <row r="51" spans="2:4" ht="12.75" customHeight="1">
      <c r="B51" s="29"/>
      <c r="D51" s="5"/>
    </row>
    <row r="52" spans="1:16" ht="12.75" customHeight="1" thickBot="1">
      <c r="A52" s="1">
        <f>A50+1</f>
        <v>22</v>
      </c>
      <c r="B52" s="29" t="s">
        <v>73</v>
      </c>
      <c r="D52" s="108">
        <f>SUM(E52:P52)</f>
        <v>10497216</v>
      </c>
      <c r="H52" s="63">
        <f>H50*0.9</f>
        <v>0</v>
      </c>
      <c r="I52" s="63">
        <f>I50*0.9</f>
        <v>0</v>
      </c>
      <c r="J52" s="63">
        <f>J50*0.9</f>
        <v>3789057</v>
      </c>
      <c r="K52" s="63">
        <f aca="true" t="shared" si="8" ref="K52:P52">K48*0.9</f>
        <v>5265590</v>
      </c>
      <c r="L52" s="63">
        <f t="shared" si="8"/>
        <v>3263790</v>
      </c>
      <c r="M52" s="63">
        <f t="shared" si="8"/>
        <v>-543091</v>
      </c>
      <c r="N52" s="63">
        <f t="shared" si="8"/>
        <v>-1823195</v>
      </c>
      <c r="O52" s="63">
        <f t="shared" si="8"/>
        <v>-764222</v>
      </c>
      <c r="P52" s="63">
        <f t="shared" si="8"/>
        <v>1309287</v>
      </c>
    </row>
    <row r="53" ht="12.75" customHeight="1" thickTop="1"/>
    <row r="54" spans="1:8" ht="14.25" customHeight="1">
      <c r="A54" s="33" t="s">
        <v>12</v>
      </c>
      <c r="D54" s="70"/>
      <c r="E54" s="70"/>
      <c r="H54" t="s">
        <v>95</v>
      </c>
    </row>
    <row r="55" spans="3:16" ht="12.75">
      <c r="C55" s="91"/>
      <c r="D55" s="19"/>
      <c r="E55" s="70"/>
      <c r="F55" s="70"/>
      <c r="G55" s="70"/>
      <c r="H55" s="70" t="s">
        <v>93</v>
      </c>
      <c r="I55" s="70"/>
      <c r="J55" s="70">
        <f>J48-J52</f>
        <v>1824403</v>
      </c>
      <c r="K55" s="70">
        <f aca="true" t="shared" si="9" ref="K55:P55">K48-K52</f>
        <v>585066</v>
      </c>
      <c r="L55" s="70">
        <f t="shared" si="9"/>
        <v>362643</v>
      </c>
      <c r="M55" s="70">
        <f t="shared" si="9"/>
        <v>-60343</v>
      </c>
      <c r="N55" s="70">
        <f t="shared" si="9"/>
        <v>-202577</v>
      </c>
      <c r="O55" s="70">
        <f t="shared" si="9"/>
        <v>-84914</v>
      </c>
      <c r="P55" s="70">
        <f t="shared" si="9"/>
        <v>145476</v>
      </c>
    </row>
    <row r="56" spans="4:8" ht="12.75">
      <c r="D56" s="19"/>
      <c r="E56" s="70"/>
      <c r="F56" s="70"/>
      <c r="G56" s="70"/>
      <c r="H56" s="70" t="s">
        <v>94</v>
      </c>
    </row>
    <row r="57" spans="1:16" ht="12.75">
      <c r="A57" s="33"/>
      <c r="D57" s="73"/>
      <c r="E57" s="74"/>
      <c r="F57" s="74"/>
      <c r="G57" s="74"/>
      <c r="H57" s="74"/>
      <c r="I57" s="74"/>
      <c r="J57" s="74"/>
      <c r="K57" s="61"/>
      <c r="L57" s="61"/>
      <c r="M57" s="61"/>
      <c r="N57" s="61"/>
      <c r="O57" s="61"/>
      <c r="P57" s="61"/>
    </row>
    <row r="58" spans="4:16" ht="15" customHeight="1">
      <c r="D58" s="1" t="str">
        <f>IF(D57&lt;0,"SURCHARGE","REBATE")</f>
        <v>REBATE</v>
      </c>
      <c r="E58" s="1"/>
      <c r="F58" s="1"/>
      <c r="G58" s="1"/>
      <c r="H58" s="1"/>
      <c r="I58" s="1"/>
      <c r="J58" s="1" t="str">
        <f>IF(J52&lt;0,"REBATE","SURCHARGE")</f>
        <v>SURCHARGE</v>
      </c>
      <c r="K58" s="1" t="str">
        <f aca="true" t="shared" si="10" ref="K58:P58">IF(K52&lt;0,"REBATE","SURCHARGE")</f>
        <v>SURCHARGE</v>
      </c>
      <c r="L58" s="1" t="str">
        <f t="shared" si="10"/>
        <v>SURCHARGE</v>
      </c>
      <c r="M58" s="1" t="str">
        <f t="shared" si="10"/>
        <v>REBATE</v>
      </c>
      <c r="N58" s="1" t="str">
        <f t="shared" si="10"/>
        <v>REBATE</v>
      </c>
      <c r="O58" s="1" t="str">
        <f t="shared" si="10"/>
        <v>REBATE</v>
      </c>
      <c r="P58" s="1" t="str">
        <f t="shared" si="10"/>
        <v>SURCHARGE</v>
      </c>
    </row>
    <row r="59" spans="5:43" ht="12.75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2:43" ht="12.75" customHeight="1">
      <c r="B60" t="s">
        <v>82</v>
      </c>
      <c r="E60" s="1"/>
      <c r="F60" s="1"/>
      <c r="G60" s="1"/>
      <c r="H60" s="96">
        <f>H50-H46</f>
        <v>148209</v>
      </c>
      <c r="I60" s="104">
        <f aca="true" t="shared" si="11" ref="I60:N60">I65/0.9</f>
        <v>0</v>
      </c>
      <c r="J60" s="104">
        <f t="shared" si="11"/>
        <v>0</v>
      </c>
      <c r="K60" s="104">
        <f t="shared" si="11"/>
        <v>0</v>
      </c>
      <c r="L60" s="104">
        <f t="shared" si="11"/>
        <v>0</v>
      </c>
      <c r="M60" s="104">
        <f t="shared" si="11"/>
        <v>0</v>
      </c>
      <c r="N60" s="104">
        <f t="shared" si="11"/>
        <v>0</v>
      </c>
      <c r="O60" s="104">
        <f>O65/0.9</f>
        <v>0</v>
      </c>
      <c r="P60" s="104">
        <f>P65/0.9</f>
        <v>0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2:43" ht="12.75" customHeight="1">
      <c r="B61" t="s">
        <v>80</v>
      </c>
      <c r="E61" s="1"/>
      <c r="F61" s="1"/>
      <c r="G61" s="1"/>
      <c r="H61" s="1"/>
      <c r="I61" s="1"/>
      <c r="J61" s="76">
        <f>J66/0.9</f>
        <v>0</v>
      </c>
      <c r="K61" s="76">
        <f>K66/0.9</f>
        <v>0</v>
      </c>
      <c r="L61" s="76">
        <f>L66/0.9</f>
        <v>0</v>
      </c>
      <c r="M61" s="76">
        <f>M66/0.9</f>
        <v>0</v>
      </c>
      <c r="N61" s="76">
        <f>N66/0.9</f>
        <v>0</v>
      </c>
      <c r="O61" s="76">
        <f>O66/0.9</f>
        <v>0</v>
      </c>
      <c r="P61" s="76">
        <f>P66/0.9</f>
        <v>0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2:43" ht="12.75" customHeight="1">
      <c r="B62" t="s">
        <v>81</v>
      </c>
      <c r="E62" s="1"/>
      <c r="F62" s="1"/>
      <c r="G62" s="1"/>
      <c r="H62" s="1"/>
      <c r="I62" s="1"/>
      <c r="J62" s="105">
        <f aca="true" t="shared" si="12" ref="J62:P62">J60-J61</f>
        <v>0</v>
      </c>
      <c r="K62" s="105">
        <f t="shared" si="12"/>
        <v>0</v>
      </c>
      <c r="L62" s="105">
        <f t="shared" si="12"/>
        <v>0</v>
      </c>
      <c r="M62" s="105">
        <f t="shared" si="12"/>
        <v>0</v>
      </c>
      <c r="N62" s="105">
        <f t="shared" si="12"/>
        <v>0</v>
      </c>
      <c r="O62" s="105">
        <f t="shared" si="12"/>
        <v>0</v>
      </c>
      <c r="P62" s="105">
        <f t="shared" si="12"/>
        <v>0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2:43" ht="12.75" customHeight="1">
      <c r="B63" t="s">
        <v>13</v>
      </c>
      <c r="E63" s="1"/>
      <c r="F63" s="1"/>
      <c r="G63" s="1"/>
      <c r="H63" s="1"/>
      <c r="I63" s="1"/>
      <c r="J63" s="106">
        <f aca="true" t="shared" si="13" ref="J63:P63">J62-J67</f>
        <v>0</v>
      </c>
      <c r="K63" s="106">
        <f t="shared" si="13"/>
        <v>0</v>
      </c>
      <c r="L63" s="106">
        <f t="shared" si="13"/>
        <v>0</v>
      </c>
      <c r="M63" s="106">
        <f t="shared" si="13"/>
        <v>0</v>
      </c>
      <c r="N63" s="106">
        <f t="shared" si="13"/>
        <v>0</v>
      </c>
      <c r="O63" s="106">
        <f t="shared" si="13"/>
        <v>0</v>
      </c>
      <c r="P63" s="106">
        <f t="shared" si="13"/>
        <v>0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5:16" ht="12.75" customHeight="1">
      <c r="E64" s="1"/>
      <c r="F64" s="1"/>
      <c r="G64" s="1"/>
      <c r="H64" s="97"/>
      <c r="I64" s="1"/>
      <c r="J64" s="1"/>
      <c r="K64" s="1"/>
      <c r="L64" s="1"/>
      <c r="M64" s="1"/>
      <c r="N64" s="1"/>
      <c r="O64" s="1"/>
      <c r="P64" s="1"/>
    </row>
    <row r="65" spans="1:16" s="5" customFormat="1" ht="15" customHeight="1">
      <c r="A65" s="27"/>
      <c r="D65" s="19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1:16" s="5" customFormat="1" ht="15" customHeight="1">
      <c r="A66" s="27"/>
      <c r="D66" s="19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6" s="5" customFormat="1" ht="12.75">
      <c r="A67" s="27"/>
      <c r="D67" s="81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</row>
    <row r="68" spans="1:16" s="5" customFormat="1" ht="12.75">
      <c r="A68" s="27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</row>
    <row r="69" spans="1:16" s="5" customFormat="1" ht="12.75">
      <c r="A69" s="27"/>
      <c r="D69" s="19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="5" customFormat="1" ht="12.75" customHeight="1">
      <c r="A70" s="27"/>
    </row>
    <row r="71" spans="1:2" s="5" customFormat="1" ht="12.75">
      <c r="A71" s="27"/>
      <c r="B71" s="119"/>
    </row>
    <row r="72" spans="1:16" s="5" customFormat="1" ht="12.75">
      <c r="A72" s="27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spans="1:16" s="5" customFormat="1" ht="12.75">
      <c r="A73" s="27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1:16" s="5" customFormat="1" ht="12.75">
      <c r="A74" s="27"/>
      <c r="D74" s="61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="5" customFormat="1" ht="12.75">
      <c r="A75" s="27"/>
    </row>
    <row r="76" spans="1:16" s="5" customFormat="1" ht="12.75">
      <c r="A76" s="27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="5" customFormat="1" ht="12.75">
      <c r="A77" s="27"/>
    </row>
    <row r="78" s="5" customFormat="1" ht="12.75">
      <c r="A78" s="27"/>
    </row>
    <row r="80" spans="6:7" ht="12.75">
      <c r="F80" s="77"/>
      <c r="G80" s="77"/>
    </row>
  </sheetData>
  <printOptions/>
  <pageMargins left="0" right="0" top="0.5" bottom="0" header="0.5" footer="0.5"/>
  <pageSetup horizontalDpi="600" verticalDpi="600" orientation="landscape" scale="67" r:id="rId1"/>
  <headerFooter alignWithMargins="0">
    <oddFooter>&amp;L&amp;F &amp;A &amp;R&amp;D &amp;T  sw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Mike Sommerville, Customer Service Specialist 3</cp:lastModifiedBy>
  <cp:lastPrinted>2005-10-03T15:36:30Z</cp:lastPrinted>
  <dcterms:created xsi:type="dcterms:W3CDTF">2002-02-05T19:51:48Z</dcterms:created>
  <dcterms:modified xsi:type="dcterms:W3CDTF">2005-10-04T19:40:12Z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2005-10-04T00:00:00Z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