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April 2018\12\011595\"/>
    </mc:Choice>
  </mc:AlternateContent>
  <bookViews>
    <workbookView xWindow="-15" yWindow="4530" windowWidth="12120" windowHeight="3300" tabRatio="796" firstSheet="5" activeTab="7"/>
  </bookViews>
  <sheets>
    <sheet name="WA bud vs auth" sheetId="8" state="hidden" r:id="rId1"/>
    <sheet name="WA act vs auth" sheetId="7" state="hidden" r:id="rId2"/>
    <sheet name="Directions" sheetId="11" state="hidden" r:id="rId3"/>
    <sheet name="Instructions" sheetId="18" state="hidden" r:id="rId4"/>
    <sheet name="Input Tab" sheetId="27" state="hidden" r:id="rId5"/>
    <sheet name="WA Summary " sheetId="10" r:id="rId6"/>
    <sheet name="WA Monthly" sheetId="6" r:id="rId7"/>
    <sheet name="WA RRC" sheetId="24" r:id="rId8"/>
    <sheet name="ID Summary" sheetId="2" state="hidden" r:id="rId9"/>
    <sheet name="ID Monthly" sheetId="5" state="hidden" r:id="rId10"/>
    <sheet name="ID LCA" sheetId="23" state="hidden" r:id="rId11"/>
    <sheet name="ID Rec Adjustment" sheetId="25" state="hidden" r:id="rId12"/>
    <sheet name="Notes" sheetId="19" state="hidden" r:id="rId13"/>
    <sheet name="Our Focus" sheetId="21" state="hidden" r:id="rId14"/>
    <sheet name="RRC Instructions" sheetId="22" state="hidden" r:id="rId15"/>
  </sheets>
  <definedNames>
    <definedName name="AVARpt">'WA Monthly'!$A$6:$P$135</definedName>
    <definedName name="DefRpt">'WA Monthly'!$P$81</definedName>
    <definedName name="GLAccts">'WA Monthly'!$B$83:$R$123</definedName>
    <definedName name="IDAVARpt">'ID Monthly'!$A$6:$P$135</definedName>
    <definedName name="IDRevRpt">'ID Monthly'!$A$6:$P$81</definedName>
    <definedName name="INputs">'ID Monthly'!$A$3:$R$81</definedName>
    <definedName name="_xlnm.Print_Area" localSheetId="10">'ID LCA'!$A$1:$P$15</definedName>
    <definedName name="_xlnm.Print_Area" localSheetId="9">'ID Monthly'!$A$1:$R$134</definedName>
    <definedName name="_xlnm.Print_Area" localSheetId="8">'ID Summary'!$A$1:$P$33</definedName>
    <definedName name="_xlnm.Print_Area" localSheetId="13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6">'WA Monthly'!$A$1:$R$137</definedName>
    <definedName name="_xlnm.Print_Area" localSheetId="7">'WA RRC'!$A$1:$N$15</definedName>
    <definedName name="_xlnm.Print_Area" localSheetId="5">'WA Summary '!$A$1:$Q$41</definedName>
    <definedName name="_xlnm.Print_Titles" localSheetId="9">'ID Monthly'!$A:$C,'ID Monthly'!$1:$5</definedName>
    <definedName name="_xlnm.Print_Titles" localSheetId="8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6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P117" i="5"/>
  <c r="O117" i="5"/>
  <c r="N117" i="5"/>
  <c r="M117" i="5"/>
  <c r="L117" i="5"/>
  <c r="K117" i="5"/>
  <c r="J117" i="5"/>
  <c r="I117" i="5"/>
  <c r="H117" i="5"/>
  <c r="G117" i="5"/>
  <c r="F117" i="5"/>
  <c r="E117" i="5"/>
  <c r="D115" i="6" l="1"/>
  <c r="D117" i="5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06" i="5"/>
  <c r="D107" i="5" s="1"/>
  <c r="D11" i="2" l="1"/>
  <c r="C80" i="27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K42" i="5" s="1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42" i="6"/>
  <c r="G43" i="6"/>
  <c r="G43" i="5" s="1"/>
  <c r="D8" i="24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I9" i="6"/>
  <c r="I9" i="5" s="1"/>
  <c r="J9" i="6"/>
  <c r="J9" i="5" s="1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F10" i="5" s="1"/>
  <c r="G10" i="6"/>
  <c r="G10" i="5" s="1"/>
  <c r="H10" i="6"/>
  <c r="I10" i="6"/>
  <c r="J10" i="6"/>
  <c r="J10" i="5" s="1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F11" i="5" s="1"/>
  <c r="G11" i="6"/>
  <c r="G11" i="5" s="1"/>
  <c r="H11" i="6"/>
  <c r="I11" i="6"/>
  <c r="J11" i="6"/>
  <c r="J11" i="5" s="1"/>
  <c r="K11" i="6"/>
  <c r="K11" i="5" s="1"/>
  <c r="L11" i="6"/>
  <c r="AQ73" i="7"/>
  <c r="AS73" i="7"/>
  <c r="AU73" i="7" s="1"/>
  <c r="M11" i="6"/>
  <c r="N11" i="6"/>
  <c r="O11" i="6"/>
  <c r="P11" i="6"/>
  <c r="P11" i="5" s="1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F13" i="5" s="1"/>
  <c r="G13" i="6"/>
  <c r="H13" i="6"/>
  <c r="I13" i="6"/>
  <c r="J13" i="6"/>
  <c r="K13" i="6"/>
  <c r="K13" i="5" s="1"/>
  <c r="L13" i="6"/>
  <c r="L13" i="5" s="1"/>
  <c r="M13" i="6"/>
  <c r="N13" i="6"/>
  <c r="O13" i="6"/>
  <c r="P13" i="6"/>
  <c r="P13" i="5" s="1"/>
  <c r="N14" i="6"/>
  <c r="N14" i="5" s="1"/>
  <c r="E15" i="6"/>
  <c r="F15" i="6"/>
  <c r="F15" i="5" s="1"/>
  <c r="G15" i="6"/>
  <c r="H15" i="6"/>
  <c r="I15" i="6"/>
  <c r="J15" i="6"/>
  <c r="J15" i="5" s="1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 s="1"/>
  <c r="K17" i="6"/>
  <c r="L17" i="6"/>
  <c r="L17" i="5" s="1"/>
  <c r="M17" i="6"/>
  <c r="N17" i="6"/>
  <c r="N17" i="5" s="1"/>
  <c r="O17" i="6"/>
  <c r="O17" i="5" s="1"/>
  <c r="P17" i="6"/>
  <c r="P17" i="5" s="1"/>
  <c r="E18" i="6"/>
  <c r="F18" i="6"/>
  <c r="G18" i="6"/>
  <c r="G18" i="5" s="1"/>
  <c r="H18" i="6"/>
  <c r="H18" i="5" s="1"/>
  <c r="I18" i="6"/>
  <c r="J18" i="6"/>
  <c r="K18" i="6"/>
  <c r="L18" i="6"/>
  <c r="AQ68" i="7" s="1"/>
  <c r="M18" i="6"/>
  <c r="N18" i="6"/>
  <c r="O18" i="6"/>
  <c r="P18" i="6"/>
  <c r="F19" i="6"/>
  <c r="F19" i="5" s="1"/>
  <c r="G19" i="6"/>
  <c r="G19" i="5" s="1"/>
  <c r="H19" i="6"/>
  <c r="H19" i="5" s="1"/>
  <c r="J19" i="6"/>
  <c r="J19" i="5" s="1"/>
  <c r="K19" i="6"/>
  <c r="L19" i="6"/>
  <c r="L19" i="5"/>
  <c r="M19" i="6"/>
  <c r="M19" i="5" s="1"/>
  <c r="P19" i="6"/>
  <c r="E20" i="6"/>
  <c r="F20" i="6"/>
  <c r="F20" i="5" s="1"/>
  <c r="G20" i="6"/>
  <c r="G20" i="5" s="1"/>
  <c r="H20" i="6"/>
  <c r="I20" i="6"/>
  <c r="J20" i="6"/>
  <c r="K20" i="6"/>
  <c r="L20" i="6"/>
  <c r="L20" i="5" s="1"/>
  <c r="M20" i="6"/>
  <c r="M20" i="5" s="1"/>
  <c r="N20" i="6"/>
  <c r="N20" i="5" s="1"/>
  <c r="O20" i="6"/>
  <c r="O20" i="5" s="1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 s="1"/>
  <c r="N41" i="6"/>
  <c r="O41" i="6"/>
  <c r="O41" i="5"/>
  <c r="P41" i="6"/>
  <c r="P41" i="5" s="1"/>
  <c r="E42" i="6"/>
  <c r="E42" i="5" s="1"/>
  <c r="F42" i="6"/>
  <c r="F42" i="5" s="1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L43" i="5" s="1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P65" i="5" s="1"/>
  <c r="E66" i="6"/>
  <c r="E66" i="5" s="1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P66" i="5" s="1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G17" i="2"/>
  <c r="H17" i="2"/>
  <c r="I17" i="2"/>
  <c r="J17" i="2"/>
  <c r="K17" i="2"/>
  <c r="L17" i="2"/>
  <c r="M17" i="2"/>
  <c r="N17" i="2"/>
  <c r="O17" i="2"/>
  <c r="P17" i="2"/>
  <c r="E18" i="2"/>
  <c r="F18" i="2"/>
  <c r="G18" i="2"/>
  <c r="H18" i="2"/>
  <c r="I18" i="2"/>
  <c r="J18" i="2"/>
  <c r="K18" i="2"/>
  <c r="L18" i="2"/>
  <c r="M18" i="2"/>
  <c r="N18" i="2"/>
  <c r="O18" i="2"/>
  <c r="P18" i="2"/>
  <c r="E19" i="2"/>
  <c r="F19" i="2"/>
  <c r="G19" i="2"/>
  <c r="H19" i="2"/>
  <c r="I19" i="2"/>
  <c r="J19" i="2"/>
  <c r="K19" i="2"/>
  <c r="L19" i="2"/>
  <c r="M19" i="2"/>
  <c r="N19" i="2"/>
  <c r="O19" i="2"/>
  <c r="P19" i="2"/>
  <c r="E20" i="2"/>
  <c r="F20" i="2"/>
  <c r="G20" i="2"/>
  <c r="H20" i="2"/>
  <c r="I20" i="2"/>
  <c r="J20" i="2"/>
  <c r="K20" i="2"/>
  <c r="L20" i="2"/>
  <c r="M20" i="2"/>
  <c r="N20" i="2"/>
  <c r="O20" i="2"/>
  <c r="P20" i="2"/>
  <c r="E21" i="2"/>
  <c r="F21" i="2"/>
  <c r="G21" i="2"/>
  <c r="H21" i="2"/>
  <c r="I21" i="2"/>
  <c r="J21" i="2"/>
  <c r="K21" i="2"/>
  <c r="L21" i="2"/>
  <c r="M21" i="2"/>
  <c r="N21" i="2"/>
  <c r="O21" i="2"/>
  <c r="P21" i="2"/>
  <c r="E22" i="2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H8" i="5"/>
  <c r="I8" i="5"/>
  <c r="L8" i="5"/>
  <c r="A9" i="5"/>
  <c r="H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H10" i="5"/>
  <c r="I10" i="5"/>
  <c r="L10" i="5"/>
  <c r="M10" i="5"/>
  <c r="P10" i="5"/>
  <c r="E11" i="5"/>
  <c r="H11" i="5"/>
  <c r="I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G13" i="5"/>
  <c r="H13" i="5"/>
  <c r="I13" i="5"/>
  <c r="M13" i="5"/>
  <c r="N13" i="5"/>
  <c r="O13" i="5"/>
  <c r="E15" i="5"/>
  <c r="G15" i="5"/>
  <c r="H15" i="5"/>
  <c r="I15" i="5"/>
  <c r="K15" i="5"/>
  <c r="O15" i="5"/>
  <c r="P15" i="5"/>
  <c r="E16" i="5"/>
  <c r="H16" i="5"/>
  <c r="I16" i="5"/>
  <c r="L16" i="5"/>
  <c r="F17" i="5"/>
  <c r="G17" i="5"/>
  <c r="K17" i="5"/>
  <c r="M17" i="5"/>
  <c r="E18" i="5"/>
  <c r="F18" i="5"/>
  <c r="I18" i="5"/>
  <c r="J18" i="5"/>
  <c r="K18" i="5"/>
  <c r="M18" i="5"/>
  <c r="N18" i="5"/>
  <c r="O18" i="5"/>
  <c r="P18" i="5"/>
  <c r="K19" i="5"/>
  <c r="P19" i="5"/>
  <c r="E20" i="5"/>
  <c r="H20" i="5"/>
  <c r="I20" i="5"/>
  <c r="K20" i="5"/>
  <c r="B27" i="5"/>
  <c r="G41" i="5"/>
  <c r="H41" i="5"/>
  <c r="K41" i="5"/>
  <c r="N41" i="5"/>
  <c r="H42" i="5"/>
  <c r="I42" i="5"/>
  <c r="H43" i="5"/>
  <c r="N43" i="5"/>
  <c r="G65" i="5"/>
  <c r="K65" i="5"/>
  <c r="L65" i="5"/>
  <c r="F66" i="5"/>
  <c r="L66" i="5"/>
  <c r="D129" i="5"/>
  <c r="R129" i="5"/>
  <c r="E7" i="23"/>
  <c r="F7" i="23" s="1"/>
  <c r="D8" i="23"/>
  <c r="E8" i="23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F11" i="23" s="1"/>
  <c r="G10" i="23"/>
  <c r="H10" i="23"/>
  <c r="I10" i="23"/>
  <c r="J10" i="23"/>
  <c r="K10" i="23"/>
  <c r="L10" i="23"/>
  <c r="M10" i="23"/>
  <c r="N10" i="23"/>
  <c r="O10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G11" i="23"/>
  <c r="G13" i="23" s="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G15" i="23"/>
  <c r="G19" i="23" s="1"/>
  <c r="G20" i="23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J9" i="23"/>
  <c r="J11" i="23" s="1"/>
  <c r="K66" i="5"/>
  <c r="K9" i="23"/>
  <c r="K11" i="23" s="1"/>
  <c r="I9" i="24"/>
  <c r="I11" i="24" s="1"/>
  <c r="AQ63" i="7"/>
  <c r="L15" i="5"/>
  <c r="L11" i="5"/>
  <c r="D36" i="6"/>
  <c r="L9" i="23"/>
  <c r="L11" i="23" s="1"/>
  <c r="L13" i="23" s="1"/>
  <c r="M43" i="5"/>
  <c r="M8" i="5"/>
  <c r="M9" i="23"/>
  <c r="M11" i="23" s="1"/>
  <c r="M13" i="23" s="1"/>
  <c r="N9" i="23"/>
  <c r="N11" i="23"/>
  <c r="L11" i="24"/>
  <c r="O66" i="5"/>
  <c r="O65" i="5"/>
  <c r="O43" i="5"/>
  <c r="O19" i="5"/>
  <c r="L13" i="24"/>
  <c r="L15" i="24"/>
  <c r="L19" i="24"/>
  <c r="O9" i="23"/>
  <c r="N8" i="24"/>
  <c r="P42" i="5"/>
  <c r="A115" i="6" l="1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L18" i="5"/>
  <c r="R18" i="5" s="1"/>
  <c r="P12" i="23"/>
  <c r="F13" i="23"/>
  <c r="F15" i="23" s="1"/>
  <c r="F19" i="23" s="1"/>
  <c r="F20" i="23" s="1"/>
  <c r="D22" i="2"/>
  <c r="D21" i="2"/>
  <c r="D20" i="2"/>
  <c r="D19" i="2"/>
  <c r="D18" i="2"/>
  <c r="D17" i="2"/>
  <c r="D16" i="2"/>
  <c r="D15" i="2"/>
  <c r="N12" i="24"/>
  <c r="R13" i="6"/>
  <c r="D22" i="10"/>
  <c r="D21" i="10"/>
  <c r="D20" i="10"/>
  <c r="D19" i="10"/>
  <c r="D18" i="10"/>
  <c r="D17" i="10"/>
  <c r="D16" i="10"/>
  <c r="D15" i="10"/>
  <c r="D18" i="6"/>
  <c r="E9" i="23"/>
  <c r="D65" i="6"/>
  <c r="R12" i="6"/>
  <c r="F23" i="21"/>
  <c r="D20" i="21"/>
  <c r="D18" i="21"/>
  <c r="R41" i="6"/>
  <c r="D19" i="6"/>
  <c r="R20" i="6"/>
  <c r="D16" i="6"/>
  <c r="A11" i="2"/>
  <c r="A12" i="2" s="1"/>
  <c r="A13" i="2" s="1"/>
  <c r="A15" i="2" s="1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G14" i="2"/>
  <c r="E18" i="24"/>
  <c r="H5" i="10"/>
  <c r="H11" i="23"/>
  <c r="P9" i="23"/>
  <c r="I11" i="23"/>
  <c r="I13" i="23" s="1"/>
  <c r="O11" i="23"/>
  <c r="O13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H70" i="5"/>
  <c r="P69" i="5"/>
  <c r="O69" i="5"/>
  <c r="N69" i="5"/>
  <c r="M69" i="5"/>
  <c r="L69" i="5"/>
  <c r="K69" i="5"/>
  <c r="J69" i="5"/>
  <c r="H69" i="5"/>
  <c r="P70" i="6"/>
  <c r="O70" i="6"/>
  <c r="N70" i="6"/>
  <c r="M70" i="6"/>
  <c r="L70" i="6"/>
  <c r="K70" i="6"/>
  <c r="J70" i="6"/>
  <c r="I70" i="6"/>
  <c r="H70" i="6"/>
  <c r="P69" i="6"/>
  <c r="O69" i="6"/>
  <c r="N69" i="6"/>
  <c r="M69" i="6"/>
  <c r="L69" i="6"/>
  <c r="K69" i="6"/>
  <c r="J69" i="6"/>
  <c r="H69" i="6"/>
  <c r="D18" i="5" l="1"/>
  <c r="C20" i="24"/>
  <c r="G30" i="10"/>
  <c r="G31" i="21" s="1"/>
  <c r="D25" i="21"/>
  <c r="A16" i="2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A17" i="2"/>
  <c r="A117" i="5" l="1"/>
  <c r="A118" i="5" s="1"/>
  <c r="A119" i="5" s="1"/>
  <c r="A120" i="5" s="1"/>
  <c r="A121" i="5" s="1"/>
  <c r="A123" i="5" s="1"/>
  <c r="A124" i="5" s="1"/>
  <c r="A126" i="5" s="1"/>
  <c r="A127" i="5" s="1"/>
  <c r="A129" i="5" s="1"/>
  <c r="A130" i="5" s="1"/>
  <c r="A131" i="5" s="1"/>
  <c r="A132" i="5" s="1"/>
  <c r="A134" i="5" s="1"/>
  <c r="D51" i="6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M5" i="10" l="1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D30" i="10"/>
  <c r="F19" i="7"/>
  <c r="A21" i="2"/>
  <c r="A68" i="27"/>
  <c r="M14" i="10" l="1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O5" i="10" l="1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8" i="5"/>
  <c r="K118" i="5"/>
  <c r="O118" i="5"/>
  <c r="G119" i="5"/>
  <c r="K119" i="5"/>
  <c r="O119" i="5"/>
  <c r="G120" i="5"/>
  <c r="K120" i="5"/>
  <c r="O120" i="5"/>
  <c r="G123" i="5"/>
  <c r="K123" i="5"/>
  <c r="O123" i="5"/>
  <c r="G126" i="5"/>
  <c r="K126" i="5"/>
  <c r="O126" i="5"/>
  <c r="G130" i="5"/>
  <c r="K130" i="5"/>
  <c r="O130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8" i="5"/>
  <c r="L118" i="5"/>
  <c r="P118" i="5"/>
  <c r="H119" i="5"/>
  <c r="L119" i="5"/>
  <c r="P119" i="5"/>
  <c r="H120" i="5"/>
  <c r="L120" i="5"/>
  <c r="P120" i="5"/>
  <c r="H123" i="5"/>
  <c r="L123" i="5"/>
  <c r="P123" i="5"/>
  <c r="H126" i="5"/>
  <c r="L126" i="5"/>
  <c r="P126" i="5"/>
  <c r="H130" i="5"/>
  <c r="L130" i="5"/>
  <c r="P130" i="5"/>
  <c r="I113" i="5"/>
  <c r="I114" i="5"/>
  <c r="E115" i="5"/>
  <c r="M115" i="5"/>
  <c r="I116" i="5"/>
  <c r="E118" i="5"/>
  <c r="M118" i="5"/>
  <c r="I119" i="5"/>
  <c r="E120" i="5"/>
  <c r="M120" i="5"/>
  <c r="I123" i="5"/>
  <c r="E126" i="5"/>
  <c r="M126" i="5"/>
  <c r="I130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8" i="5"/>
  <c r="E119" i="5"/>
  <c r="M119" i="5"/>
  <c r="I120" i="5"/>
  <c r="E123" i="5"/>
  <c r="M123" i="5"/>
  <c r="I126" i="5"/>
  <c r="E130" i="5"/>
  <c r="M130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8" i="5"/>
  <c r="J123" i="5"/>
  <c r="N116" i="5"/>
  <c r="N123" i="5"/>
  <c r="I95" i="6"/>
  <c r="J108" i="6"/>
  <c r="F116" i="6"/>
  <c r="F127" i="6"/>
  <c r="F28" i="5"/>
  <c r="F32" i="5"/>
  <c r="F36" i="5"/>
  <c r="F52" i="5"/>
  <c r="F59" i="5"/>
  <c r="N76" i="5"/>
  <c r="N86" i="5"/>
  <c r="N90" i="5"/>
  <c r="N97" i="5"/>
  <c r="N111" i="5"/>
  <c r="N115" i="5"/>
  <c r="N120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9" i="5"/>
  <c r="F28" i="6"/>
  <c r="F60" i="6"/>
  <c r="M89" i="6"/>
  <c r="E101" i="6"/>
  <c r="F111" i="6"/>
  <c r="N113" i="6"/>
  <c r="N118" i="6"/>
  <c r="J130" i="6"/>
  <c r="N30" i="5"/>
  <c r="N34" i="5"/>
  <c r="J49" i="5"/>
  <c r="J53" i="5"/>
  <c r="J60" i="5"/>
  <c r="F74" i="5"/>
  <c r="F78" i="5"/>
  <c r="F88" i="5"/>
  <c r="F95" i="5"/>
  <c r="J110" i="5"/>
  <c r="F113" i="5"/>
  <c r="J119" i="5"/>
  <c r="J130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8" i="5"/>
  <c r="N119" i="5"/>
  <c r="F123" i="5"/>
  <c r="J126" i="5"/>
  <c r="N130" i="5"/>
  <c r="F54" i="5"/>
  <c r="F61" i="5"/>
  <c r="N74" i="5"/>
  <c r="J77" i="5"/>
  <c r="F86" i="5"/>
  <c r="N88" i="5"/>
  <c r="J91" i="5"/>
  <c r="F97" i="5"/>
  <c r="N102" i="5"/>
  <c r="J112" i="5"/>
  <c r="N113" i="5"/>
  <c r="J116" i="5"/>
  <c r="F120" i="5"/>
  <c r="N126" i="5"/>
  <c r="J120" i="5"/>
  <c r="F130" i="5"/>
  <c r="J33" i="6"/>
  <c r="J76" i="6"/>
  <c r="E87" i="6"/>
  <c r="M103" i="6"/>
  <c r="N109" i="6"/>
  <c r="J112" i="6"/>
  <c r="J117" i="6"/>
  <c r="N131" i="6"/>
  <c r="J29" i="5"/>
  <c r="J33" i="5"/>
  <c r="N50" i="5"/>
  <c r="N54" i="5"/>
  <c r="N61" i="5"/>
  <c r="J75" i="5"/>
  <c r="J85" i="5"/>
  <c r="J89" i="5"/>
  <c r="J96" i="5"/>
  <c r="F102" i="5"/>
  <c r="J114" i="5"/>
  <c r="F118" i="5"/>
  <c r="F126" i="5"/>
  <c r="J92" i="5" l="1"/>
  <c r="J9" i="2" s="1"/>
  <c r="D87" i="6"/>
  <c r="R87" i="6"/>
  <c r="J22" i="6"/>
  <c r="J22" i="5" s="1"/>
  <c r="N121" i="5"/>
  <c r="F103" i="5"/>
  <c r="F12" i="2" s="1"/>
  <c r="J98" i="5"/>
  <c r="J10" i="2" s="1"/>
  <c r="N92" i="5"/>
  <c r="N9" i="2" s="1"/>
  <c r="F79" i="5"/>
  <c r="F8" i="2" s="1"/>
  <c r="F69" i="5"/>
  <c r="F62" i="5"/>
  <c r="F7" i="2" s="1"/>
  <c r="N55" i="5"/>
  <c r="N45" i="5" s="1"/>
  <c r="N6" i="2" s="1"/>
  <c r="J37" i="5"/>
  <c r="J23" i="5" s="1"/>
  <c r="N133" i="6"/>
  <c r="O29" i="10" s="1"/>
  <c r="J128" i="6"/>
  <c r="N119" i="6"/>
  <c r="M105" i="6"/>
  <c r="N12" i="10" s="1"/>
  <c r="D96" i="6"/>
  <c r="R96" i="6"/>
  <c r="J121" i="5"/>
  <c r="F98" i="5"/>
  <c r="F10" i="2" s="1"/>
  <c r="J55" i="5"/>
  <c r="J45" i="5" s="1"/>
  <c r="J6" i="2" s="1"/>
  <c r="J133" i="6"/>
  <c r="K29" i="10" s="1"/>
  <c r="D101" i="6"/>
  <c r="E105" i="6"/>
  <c r="F12" i="10" s="1"/>
  <c r="F70" i="6"/>
  <c r="F121" i="5"/>
  <c r="N103" i="5"/>
  <c r="N12" i="2" s="1"/>
  <c r="F92" i="5"/>
  <c r="F9" i="2" s="1"/>
  <c r="N79" i="5"/>
  <c r="N8" i="2" s="1"/>
  <c r="F70" i="5"/>
  <c r="N62" i="5"/>
  <c r="N7" i="2" s="1"/>
  <c r="F55" i="5"/>
  <c r="F45" i="5" s="1"/>
  <c r="F6" i="2" s="1"/>
  <c r="F133" i="6"/>
  <c r="G29" i="10" s="1"/>
  <c r="F119" i="6"/>
  <c r="D103" i="6"/>
  <c r="D89" i="6"/>
  <c r="R89" i="6"/>
  <c r="N62" i="6"/>
  <c r="O8" i="10" s="1"/>
  <c r="F37" i="5"/>
  <c r="F23" i="5" s="1"/>
  <c r="F128" i="6"/>
  <c r="J119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28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30" i="5"/>
  <c r="R130" i="5"/>
  <c r="D123" i="5"/>
  <c r="R123" i="5"/>
  <c r="D119" i="5"/>
  <c r="R119" i="5"/>
  <c r="D116" i="5"/>
  <c r="R116" i="5"/>
  <c r="D114" i="5"/>
  <c r="R114" i="5"/>
  <c r="D113" i="5"/>
  <c r="R113" i="5"/>
  <c r="D112" i="5"/>
  <c r="R112" i="5"/>
  <c r="D111" i="5"/>
  <c r="R111" i="5"/>
  <c r="M121" i="5"/>
  <c r="I121" i="5"/>
  <c r="D110" i="5"/>
  <c r="R110" i="5"/>
  <c r="E121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R79" i="5" s="1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R55" i="5" s="1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D31" i="5"/>
  <c r="R31" i="5"/>
  <c r="D30" i="5"/>
  <c r="R30" i="5"/>
  <c r="D29" i="5"/>
  <c r="M37" i="5"/>
  <c r="M23" i="5" s="1"/>
  <c r="I37" i="5"/>
  <c r="I23" i="5" s="1"/>
  <c r="D28" i="5"/>
  <c r="R28" i="5"/>
  <c r="E37" i="5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6" i="5"/>
  <c r="R126" i="5"/>
  <c r="D120" i="5"/>
  <c r="R120" i="5"/>
  <c r="D118" i="5"/>
  <c r="R118" i="5"/>
  <c r="D115" i="5"/>
  <c r="R115" i="5"/>
  <c r="P121" i="5"/>
  <c r="L121" i="5"/>
  <c r="H121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P62" i="5"/>
  <c r="P7" i="2" s="1"/>
  <c r="L62" i="5"/>
  <c r="L7" i="2" s="1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L37" i="5"/>
  <c r="L23" i="5" s="1"/>
  <c r="H37" i="5"/>
  <c r="H23" i="5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21" i="5" s="1"/>
  <c r="J37" i="6"/>
  <c r="J23" i="6" s="1"/>
  <c r="O121" i="5"/>
  <c r="K121" i="5"/>
  <c r="G121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G70" i="5"/>
  <c r="O62" i="5"/>
  <c r="O7" i="2" s="1"/>
  <c r="K62" i="5"/>
  <c r="K7" i="2" s="1"/>
  <c r="G69" i="5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K37" i="5"/>
  <c r="K23" i="5" s="1"/>
  <c r="G37" i="5"/>
  <c r="G23" i="5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P62" i="6"/>
  <c r="Q8" i="10" s="1"/>
  <c r="AQ51" i="7"/>
  <c r="AS51" i="7" s="1"/>
  <c r="AT51" i="7" s="1"/>
  <c r="L62" i="6"/>
  <c r="M8" i="10" s="1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G70" i="6"/>
  <c r="O62" i="6"/>
  <c r="P8" i="10" s="1"/>
  <c r="K62" i="6"/>
  <c r="L8" i="10" s="1"/>
  <c r="G69" i="6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O14" i="10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D105" i="6" l="1"/>
  <c r="R55" i="6"/>
  <c r="R37" i="5"/>
  <c r="D119" i="6"/>
  <c r="D12" i="2"/>
  <c r="H6" i="10"/>
  <c r="G7" i="6"/>
  <c r="G81" i="6"/>
  <c r="G123" i="6"/>
  <c r="G135" i="6" s="1"/>
  <c r="H25" i="10" s="1"/>
  <c r="K137" i="6"/>
  <c r="L6" i="10"/>
  <c r="K7" i="6"/>
  <c r="K81" i="6"/>
  <c r="K123" i="6"/>
  <c r="K135" i="6" s="1"/>
  <c r="O137" i="6"/>
  <c r="O123" i="6"/>
  <c r="O135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81" i="6"/>
  <c r="H123" i="6"/>
  <c r="H135" i="6" s="1"/>
  <c r="I25" i="10" s="1"/>
  <c r="M6" i="10"/>
  <c r="L7" i="6"/>
  <c r="L81" i="6"/>
  <c r="L123" i="6"/>
  <c r="L135" i="6"/>
  <c r="L137" i="6"/>
  <c r="P137" i="6"/>
  <c r="P7" i="6"/>
  <c r="P81" i="6"/>
  <c r="P123" i="6"/>
  <c r="P135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5" i="2"/>
  <c r="G13" i="2" s="1"/>
  <c r="G7" i="5"/>
  <c r="G81" i="5"/>
  <c r="G124" i="5"/>
  <c r="G127" i="5"/>
  <c r="G131" i="5"/>
  <c r="K134" i="5"/>
  <c r="K5" i="2"/>
  <c r="K13" i="2" s="1"/>
  <c r="K7" i="5"/>
  <c r="K81" i="5"/>
  <c r="K124" i="5"/>
  <c r="K132" i="5" s="1"/>
  <c r="K25" i="2" s="1"/>
  <c r="K127" i="5"/>
  <c r="K131" i="5"/>
  <c r="O134" i="5"/>
  <c r="O5" i="2"/>
  <c r="O13" i="2" s="1"/>
  <c r="O7" i="5"/>
  <c r="O81" i="5"/>
  <c r="O124" i="5"/>
  <c r="O132" i="5" s="1"/>
  <c r="O25" i="2" s="1"/>
  <c r="O127" i="5"/>
  <c r="O131" i="5"/>
  <c r="K6" i="10"/>
  <c r="J7" i="6"/>
  <c r="J81" i="6"/>
  <c r="J137" i="6" s="1"/>
  <c r="J123" i="6"/>
  <c r="J135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134" i="5"/>
  <c r="H5" i="2"/>
  <c r="H13" i="2" s="1"/>
  <c r="H7" i="5"/>
  <c r="H81" i="5"/>
  <c r="H124" i="5"/>
  <c r="H132" i="5" s="1"/>
  <c r="H25" i="2" s="1"/>
  <c r="H127" i="5"/>
  <c r="H131" i="5"/>
  <c r="L134" i="5"/>
  <c r="L5" i="2"/>
  <c r="L13" i="2" s="1"/>
  <c r="L7" i="5"/>
  <c r="L81" i="5"/>
  <c r="L124" i="5"/>
  <c r="L132" i="5" s="1"/>
  <c r="L25" i="2" s="1"/>
  <c r="L127" i="5"/>
  <c r="L131" i="5"/>
  <c r="P134" i="5"/>
  <c r="P5" i="2"/>
  <c r="P13" i="2" s="1"/>
  <c r="P7" i="5"/>
  <c r="P81" i="5"/>
  <c r="P124" i="5"/>
  <c r="P132" i="5" s="1"/>
  <c r="P25" i="2" s="1"/>
  <c r="P127" i="5"/>
  <c r="P131" i="5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E23" i="5"/>
  <c r="D37" i="5"/>
  <c r="I134" i="5"/>
  <c r="I5" i="2"/>
  <c r="I13" i="2" s="1"/>
  <c r="I7" i="5"/>
  <c r="I81" i="5"/>
  <c r="I124" i="5"/>
  <c r="I132" i="5" s="1"/>
  <c r="I25" i="2" s="1"/>
  <c r="I127" i="5"/>
  <c r="I131" i="5"/>
  <c r="M134" i="5"/>
  <c r="M5" i="2"/>
  <c r="M13" i="2" s="1"/>
  <c r="M7" i="5"/>
  <c r="M81" i="5"/>
  <c r="M124" i="5"/>
  <c r="M132" i="5" s="1"/>
  <c r="M25" i="2" s="1"/>
  <c r="M127" i="5"/>
  <c r="M131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1" i="5"/>
  <c r="R121" i="5"/>
  <c r="G7" i="10"/>
  <c r="F40" i="6"/>
  <c r="F40" i="5" s="1"/>
  <c r="BB6" i="7"/>
  <c r="BD6" i="7" s="1"/>
  <c r="O10" i="21"/>
  <c r="N134" i="5"/>
  <c r="N5" i="2"/>
  <c r="N13" i="2" s="1"/>
  <c r="N7" i="5"/>
  <c r="N81" i="5"/>
  <c r="N124" i="5"/>
  <c r="N132" i="5" s="1"/>
  <c r="N25" i="2" s="1"/>
  <c r="N127" i="5"/>
  <c r="N131" i="5"/>
  <c r="AA8" i="7"/>
  <c r="AC8" i="7" s="1"/>
  <c r="J12" i="21"/>
  <c r="F5" i="2"/>
  <c r="F13" i="2" s="1"/>
  <c r="F7" i="5"/>
  <c r="F81" i="5"/>
  <c r="F124" i="5"/>
  <c r="F127" i="5"/>
  <c r="F131" i="5"/>
  <c r="BB5" i="7"/>
  <c r="BD5" i="7" s="1"/>
  <c r="O9" i="21"/>
  <c r="F11" i="7"/>
  <c r="D12" i="10"/>
  <c r="D13" i="21" s="1"/>
  <c r="F13" i="21"/>
  <c r="AW11" i="7"/>
  <c r="AY11" i="7" s="1"/>
  <c r="N13" i="21"/>
  <c r="J134" i="5"/>
  <c r="J5" i="2"/>
  <c r="J13" i="2" s="1"/>
  <c r="J7" i="5"/>
  <c r="J81" i="5"/>
  <c r="J124" i="5"/>
  <c r="J132" i="5" s="1"/>
  <c r="J25" i="2" s="1"/>
  <c r="J127" i="5"/>
  <c r="J131" i="5"/>
  <c r="P14" i="10"/>
  <c r="Q5" i="10"/>
  <c r="Q14" i="10" s="1"/>
  <c r="A45" i="27"/>
  <c r="A43" i="6"/>
  <c r="G132" i="5" l="1"/>
  <c r="G25" i="2" s="1"/>
  <c r="F137" i="6"/>
  <c r="C11" i="7"/>
  <c r="H137" i="6"/>
  <c r="G134" i="5"/>
  <c r="G137" i="6"/>
  <c r="C6" i="7"/>
  <c r="C5" i="7"/>
  <c r="F132" i="5"/>
  <c r="F25" i="2" s="1"/>
  <c r="J30" i="2"/>
  <c r="J31" i="2" s="1"/>
  <c r="J32" i="2" s="1"/>
  <c r="J33" i="2" s="1"/>
  <c r="J24" i="2"/>
  <c r="J26" i="2"/>
  <c r="J28" i="2" s="1"/>
  <c r="J29" i="2"/>
  <c r="B11" i="7"/>
  <c r="H11" i="7"/>
  <c r="F24" i="2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4" i="5"/>
  <c r="E127" i="5"/>
  <c r="E131" i="5"/>
  <c r="E132" i="5"/>
  <c r="O25" i="10"/>
  <c r="BB10" i="7" s="1"/>
  <c r="BD10" i="7" s="1"/>
  <c r="O27" i="21"/>
  <c r="BB4" i="7"/>
  <c r="O13" i="10"/>
  <c r="O6" i="21"/>
  <c r="P26" i="2"/>
  <c r="P28" i="2" s="1"/>
  <c r="P30" i="2" s="1"/>
  <c r="P31" i="2" s="1"/>
  <c r="P32" i="2" s="1"/>
  <c r="P33" i="2" s="1"/>
  <c r="P24" i="2"/>
  <c r="P29" i="2"/>
  <c r="L30" i="2"/>
  <c r="L31" i="2" s="1"/>
  <c r="L32" i="2" s="1"/>
  <c r="L33" i="2" s="1"/>
  <c r="L24" i="2"/>
  <c r="L26" i="2"/>
  <c r="L28" i="2"/>
  <c r="L29" i="2"/>
  <c r="H26" i="2"/>
  <c r="H28" i="2" s="1"/>
  <c r="H30" i="2"/>
  <c r="H31" i="2" s="1"/>
  <c r="H32" i="2" s="1"/>
  <c r="H33" i="2" s="1"/>
  <c r="H24" i="2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29" i="2"/>
  <c r="AG7" i="7"/>
  <c r="AI7" i="7" s="1"/>
  <c r="K7" i="21"/>
  <c r="G25" i="10"/>
  <c r="R135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F6" i="10"/>
  <c r="E7" i="6"/>
  <c r="E81" i="6"/>
  <c r="E123" i="6"/>
  <c r="E135" i="6" s="1"/>
  <c r="D135" i="6" s="1"/>
  <c r="D23" i="6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A44" i="6"/>
  <c r="A45" i="6" s="1"/>
  <c r="A58" i="6" s="1"/>
  <c r="A59" i="6" s="1"/>
  <c r="A60" i="6" s="1"/>
  <c r="A61" i="6" s="1"/>
  <c r="A62" i="6" s="1"/>
  <c r="A65" i="6" s="1"/>
  <c r="A46" i="27"/>
  <c r="F25" i="10" l="1"/>
  <c r="F27" i="21" s="1"/>
  <c r="J15" i="21"/>
  <c r="K15" i="21"/>
  <c r="I15" i="21"/>
  <c r="I32" i="21" s="1"/>
  <c r="Q15" i="21"/>
  <c r="D11" i="7"/>
  <c r="C7" i="7"/>
  <c r="O15" i="21"/>
  <c r="O26" i="21" s="1"/>
  <c r="O28" i="21" s="1"/>
  <c r="O30" i="21" s="1"/>
  <c r="F26" i="2"/>
  <c r="F28" i="2" s="1"/>
  <c r="F134" i="5"/>
  <c r="G30" i="2"/>
  <c r="G31" i="2" s="1"/>
  <c r="G32" i="2" s="1"/>
  <c r="G33" i="2" s="1"/>
  <c r="D29" i="2"/>
  <c r="D81" i="6"/>
  <c r="E137" i="6"/>
  <c r="D137" i="6" s="1"/>
  <c r="D81" i="5"/>
  <c r="E134" i="5"/>
  <c r="F30" i="2"/>
  <c r="F31" i="2" s="1"/>
  <c r="F32" i="2" s="1"/>
  <c r="F33" i="2" s="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38" i="21"/>
  <c r="O35" i="21"/>
  <c r="O40" i="21"/>
  <c r="O24" i="10"/>
  <c r="O26" i="10"/>
  <c r="O28" i="10" s="1"/>
  <c r="O31" i="10"/>
  <c r="BD4" i="7"/>
  <c r="BB16" i="7"/>
  <c r="E25" i="2"/>
  <c r="D25" i="2" s="1"/>
  <c r="D132" i="5"/>
  <c r="R132" i="5"/>
  <c r="D131" i="5"/>
  <c r="R131" i="5"/>
  <c r="D127" i="5"/>
  <c r="R127" i="5"/>
  <c r="D124" i="5"/>
  <c r="R124" i="5"/>
  <c r="D7" i="5"/>
  <c r="R7" i="5"/>
  <c r="R23" i="5" s="1"/>
  <c r="D5" i="2"/>
  <c r="E13" i="2"/>
  <c r="F10" i="7"/>
  <c r="A49" i="27"/>
  <c r="A66" i="6"/>
  <c r="I39" i="21" l="1"/>
  <c r="I35" i="21"/>
  <c r="R81" i="6"/>
  <c r="D27" i="21"/>
  <c r="D25" i="10"/>
  <c r="O41" i="21"/>
  <c r="O36" i="21"/>
  <c r="O34" i="21"/>
  <c r="I40" i="21"/>
  <c r="I36" i="21"/>
  <c r="I26" i="21"/>
  <c r="I28" i="21" s="1"/>
  <c r="I30" i="21" s="1"/>
  <c r="D15" i="21"/>
  <c r="D26" i="21" s="1"/>
  <c r="D28" i="21" s="1"/>
  <c r="I38" i="21"/>
  <c r="I34" i="21"/>
  <c r="K32" i="21"/>
  <c r="K37" i="21"/>
  <c r="K39" i="21"/>
  <c r="K34" i="21"/>
  <c r="K38" i="21"/>
  <c r="O39" i="21"/>
  <c r="O32" i="21"/>
  <c r="O37" i="21"/>
  <c r="I41" i="21"/>
  <c r="I37" i="21"/>
  <c r="N10" i="7"/>
  <c r="L16" i="7"/>
  <c r="F15" i="21"/>
  <c r="R134" i="5"/>
  <c r="D134" i="5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13" i="10"/>
  <c r="B4" i="7"/>
  <c r="H4" i="7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H10" i="7"/>
  <c r="I9" i="7" s="1"/>
  <c r="J9" i="7" s="1"/>
  <c r="F16" i="7"/>
  <c r="A69" i="6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J33" i="10"/>
  <c r="N16" i="7" l="1"/>
  <c r="L18" i="7"/>
  <c r="N18" i="7" s="1"/>
  <c r="N20" i="7" s="1"/>
  <c r="D24" i="2"/>
  <c r="E26" i="2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B16" i="7"/>
  <c r="D16" i="7" s="1"/>
  <c r="D4" i="7"/>
  <c r="D24" i="10"/>
  <c r="F26" i="10"/>
  <c r="H16" i="7"/>
  <c r="F18" i="7"/>
  <c r="J34" i="10"/>
  <c r="J35" i="10"/>
  <c r="J36" i="10"/>
  <c r="K33" i="10"/>
  <c r="E28" i="2" l="1"/>
  <c r="D26" i="2"/>
  <c r="F28" i="10"/>
  <c r="D26" i="10"/>
  <c r="H18" i="7"/>
  <c r="H20" i="7" s="1"/>
  <c r="B18" i="7"/>
  <c r="D18" i="7" s="1"/>
  <c r="J38" i="10"/>
  <c r="J39" i="10" s="1"/>
  <c r="J40" i="10" s="1"/>
  <c r="K35" i="10"/>
  <c r="K34" i="10"/>
  <c r="K36" i="10"/>
  <c r="L33" i="10"/>
  <c r="J37" i="10"/>
  <c r="D28" i="10" l="1"/>
  <c r="F31" i="10"/>
  <c r="D28" i="2"/>
  <c r="E30" i="2"/>
  <c r="J41" i="10"/>
  <c r="K38" i="10"/>
  <c r="K39" i="10" s="1"/>
  <c r="K40" i="10" s="1"/>
  <c r="L34" i="10"/>
  <c r="L38" i="10" s="1"/>
  <c r="L35" i="10"/>
  <c r="L36" i="10"/>
  <c r="M33" i="10"/>
  <c r="K37" i="10"/>
  <c r="D30" i="2" l="1"/>
  <c r="E31" i="2"/>
  <c r="D31" i="10"/>
  <c r="F33" i="10"/>
  <c r="K41" i="10"/>
  <c r="L39" i="10"/>
  <c r="L40" i="10" s="1"/>
  <c r="L41" i="10"/>
  <c r="M35" i="10"/>
  <c r="M34" i="10"/>
  <c r="M36" i="10"/>
  <c r="N33" i="10"/>
  <c r="L37" i="10"/>
  <c r="G33" i="10" l="1"/>
  <c r="H33" i="10" s="1"/>
  <c r="H35" i="10" s="1"/>
  <c r="F34" i="10"/>
  <c r="F35" i="10"/>
  <c r="F36" i="10"/>
  <c r="D31" i="2"/>
  <c r="Q31" i="2" s="1"/>
  <c r="E32" i="2"/>
  <c r="M38" i="10"/>
  <c r="M39" i="10" s="1"/>
  <c r="M40" i="10" s="1"/>
  <c r="N34" i="10"/>
  <c r="N35" i="10"/>
  <c r="N36" i="10"/>
  <c r="O33" i="10"/>
  <c r="M37" i="10"/>
  <c r="H34" i="10" l="1"/>
  <c r="H36" i="10"/>
  <c r="I33" i="10"/>
  <c r="I34" i="10" s="1"/>
  <c r="I37" i="10" s="1"/>
  <c r="D32" i="2"/>
  <c r="E33" i="2"/>
  <c r="D33" i="2" s="1"/>
  <c r="F38" i="10"/>
  <c r="F37" i="10"/>
  <c r="G34" i="10"/>
  <c r="G35" i="10"/>
  <c r="G36" i="10"/>
  <c r="M41" i="10"/>
  <c r="N38" i="10"/>
  <c r="N39" i="10" s="1"/>
  <c r="N40" i="10" s="1"/>
  <c r="O34" i="10"/>
  <c r="O35" i="10"/>
  <c r="O36" i="10"/>
  <c r="P33" i="10"/>
  <c r="N37" i="10"/>
  <c r="I36" i="10" l="1"/>
  <c r="I35" i="10"/>
  <c r="H37" i="10"/>
  <c r="H38" i="10"/>
  <c r="H41" i="10" s="1"/>
  <c r="G37" i="10"/>
  <c r="G38" i="10"/>
  <c r="F39" i="10"/>
  <c r="F40" i="10" s="1"/>
  <c r="F41" i="10"/>
  <c r="I38" i="10"/>
  <c r="O38" i="10"/>
  <c r="O39" i="10" s="1"/>
  <c r="O40" i="10" s="1"/>
  <c r="N41" i="10"/>
  <c r="P36" i="10"/>
  <c r="P35" i="10"/>
  <c r="P34" i="10"/>
  <c r="Q33" i="10"/>
  <c r="O37" i="10"/>
  <c r="H39" i="10" l="1"/>
  <c r="H40" i="10" s="1"/>
  <c r="G39" i="10"/>
  <c r="G40" i="10" s="1"/>
  <c r="D40" i="10" s="1"/>
  <c r="G41" i="10"/>
  <c r="I39" i="10"/>
  <c r="I40" i="10" s="1"/>
  <c r="I41" i="10"/>
  <c r="O41" i="10"/>
  <c r="P37" i="10"/>
  <c r="P38" i="10"/>
  <c r="Q35" i="10"/>
  <c r="Q36" i="10"/>
  <c r="Q34" i="10"/>
  <c r="Q38" i="10" l="1"/>
  <c r="Q39" i="10" s="1"/>
  <c r="Q40" i="10" s="1"/>
  <c r="Q37" i="10"/>
  <c r="P39" i="10"/>
  <c r="P40" i="10" s="1"/>
  <c r="P41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CKettner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06" authorId="1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Check in with Keri.  Should be $129,444 every month.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7" authorId="1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Added 03/2018
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9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<sst xmlns="http://schemas.openxmlformats.org/spreadsheetml/2006/main" count="952" uniqueCount="492">
  <si>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</si>
  <si>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</si>
  <si>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</si>
  <si>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</si>
  <si>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</si>
  <si>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</si>
  <si>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</si>
  <si>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</si>
  <si>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</si>
  <si>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</si>
  <si>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</si>
  <si>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</si>
  <si>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</si>
  <si>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</si>
  <si>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</si>
  <si>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</si>
  <si>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</si>
  <si>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</si>
  <si>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</si>
  <si>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</si>
  <si>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</si>
  <si>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</si>
  <si>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</si>
  <si>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</si>
  <si>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</si>
  <si>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</si>
  <si>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</si>
  <si>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</si>
  <si>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</si>
  <si>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</si>
  <si>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</si>
  <si>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</si>
  <si>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</si>
  <si>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</si>
  <si>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</si>
  <si>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</si>
  <si>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</si>
  <si>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</si>
  <si>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</si>
  <si>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</si>
  <si>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</si>
  <si>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</si>
  <si>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</si>
  <si>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</si>
  <si>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</si>
  <si>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</si>
  <si>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</si>
  <si>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</si>
  <si>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</si>
  <si>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</si>
  <si>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</si>
  <si>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</si>
  <si>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</si>
  <si>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</si>
  <si>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</si>
  <si>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</si>
  <si>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</si>
  <si>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</si>
  <si>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</si>
  <si>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</si>
  <si>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</si>
  <si>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</si>
  <si>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</si>
  <si>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</si>
  <si>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</si>
  <si>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</si>
  <si>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</si>
  <si>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</si>
  <si>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</si>
  <si>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</si>
  <si>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</si>
  <si>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</si>
  <si>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</si>
  <si>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</si>
  <si>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</si>
  <si>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</si>
  <si>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</si>
  <si>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</si>
  <si>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</si>
  <si>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</si>
  <si>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</si>
  <si>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</si>
  <si>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</si>
  <si>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</si>
  <si>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</si>
  <si>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</si>
  <si>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</si>
  <si>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</si>
  <si>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</si>
  <si>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</si>
  <si>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</si>
  <si>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</si>
  <si>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</si>
  <si>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</si>
  <si>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</si>
  <si>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</si>
  <si>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</si>
  <si>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</si>
  <si>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</si>
  <si>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</si>
  <si>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</si>
  <si>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</si>
  <si>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</si>
  <si>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</si>
  <si>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</si>
  <si>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</si>
  <si>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</si>
  <si>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</si>
  <si>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</si>
  <si>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</si>
  <si>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</si>
  <si>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</si>
  <si>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</si>
  <si>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</si>
  <si>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</si>
  <si>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</si>
  <si>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</si>
  <si>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</si>
  <si>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</si>
  <si>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</si>
  <si>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</si>
  <si>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</si>
  <si>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</si>
  <si>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</si>
  <si>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</si>
  <si>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</si>
  <si>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</si>
  <si>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</si>
  <si>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</si>
  <si>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</si>
  <si>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</si>
  <si>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</si>
  <si>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</si>
  <si>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</si>
  <si>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</si>
  <si>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</si>
  <si>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</si>
  <si>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</si>
  <si>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</si>
  <si>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</si>
  <si>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</si>
  <si>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</si>
  <si>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</si>
  <si>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</si>
  <si>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</si>
  <si>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</si>
  <si>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</si>
  <si>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</si>
  <si>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</si>
  <si>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</si>
  <si>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</si>
  <si>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</si>
  <si>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</si>
  <si>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</si>
  <si>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</si>
  <si>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</si>
  <si>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</si>
  <si>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</si>
  <si>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</si>
  <si>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</si>
  <si>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</si>
  <si>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</si>
  <si>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</si>
  <si>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</si>
  <si>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</si>
  <si>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</si>
  <si>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</si>
  <si>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</si>
  <si>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</si>
  <si>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</si>
  <si>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</si>
  <si>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</si>
  <si>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</si>
  <si>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</si>
  <si>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</si>
  <si>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</si>
  <si>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</si>
  <si>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</si>
  <si>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</si>
  <si>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</si>
  <si>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</si>
  <si>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</si>
  <si>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</si>
  <si>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</si>
  <si>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</si>
  <si>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</si>
  <si>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</si>
  <si>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</si>
  <si>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</si>
  <si>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</si>
  <si>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</si>
  <si>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</si>
  <si>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</si>
  <si>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</si>
  <si>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</si>
  <si>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</si>
  <si>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</si>
  <si>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</si>
  <si>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</si>
  <si>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</si>
  <si>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</si>
  <si>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</si>
  <si>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</si>
  <si>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</si>
  <si>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</si>
  <si>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</si>
  <si>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</si>
  <si>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</si>
  <si>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</si>
  <si>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</si>
  <si>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</si>
  <si>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</si>
  <si>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</si>
  <si>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</si>
  <si>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</si>
  <si>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</si>
  <si>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</si>
  <si>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</si>
  <si>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</si>
  <si>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</si>
  <si>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</si>
  <si>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</si>
  <si>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</si>
  <si>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</si>
  <si>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</si>
  <si>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</si>
  <si>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</si>
  <si>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</si>
  <si>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</si>
  <si>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</si>
  <si>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</si>
  <si>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</si>
  <si>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</si>
  <si>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</si>
  <si>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</si>
  <si>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</si>
  <si>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</si>
  <si>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</si>
  <si>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</si>
  <si>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</si>
  <si>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</si>
  <si>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</si>
  <si>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</si>
  <si>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</si>
  <si>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</si>
  <si>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</si>
  <si>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</si>
  <si>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</si>
  <si>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</si>
  <si>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</si>
  <si>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</si>
  <si>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</si>
  <si>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</si>
  <si>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</si>
  <si>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</si>
  <si>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</si>
  <si>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</si>
  <si>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</si>
  <si>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</si>
  <si>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</si>
  <si>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</si>
  <si>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</si>
  <si>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</si>
  <si>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</si>
  <si>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</si>
  <si>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</si>
  <si>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</si>
  <si>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</si>
  <si>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</si>
  <si>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</si>
  <si>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</si>
  <si>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</si>
  <si>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</si>
  <si>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</si>
  <si>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</si>
  <si>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</si>
  <si>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</si>
  <si>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</si>
  <si>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</si>
  <si>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</si>
  <si>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</si>
  <si>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</si>
  <si>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</si>
  <si>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</si>
  <si>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</si>
  <si>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</si>
  <si>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Power Deferral Calculation lnstructions</t>
  </si>
  <si>
    <t>Open File H:\Power Deferrals\Power Deferral Calculations\YYYY WA &amp; ID Actual Deferrals.xls</t>
  </si>
  <si>
    <t>Log into GLWand and recalculate all</t>
  </si>
  <si>
    <t>In WA Monthly TAB</t>
  </si>
  <si>
    <t>Expand Groups for Deal #s and hidden rows</t>
  </si>
  <si>
    <t>555 Purchase Power Input</t>
  </si>
  <si>
    <t>Log into NUC PROD - Merchant</t>
  </si>
  <si>
    <t>Accounts Receivable and Payable System ---&gt; Application Repots ---&gt;</t>
  </si>
  <si>
    <t>Power Transactions Register (PTR)</t>
  </si>
  <si>
    <t>Enter actual volume</t>
  </si>
  <si>
    <t xml:space="preserve">447 Sales for Resale </t>
  </si>
  <si>
    <t>From PTR above - query sales and enter deal data for current month</t>
  </si>
  <si>
    <t>Enter deal data for current month</t>
  </si>
  <si>
    <t>Exceptions:</t>
  </si>
  <si>
    <t>Nichols Pumping data from H:\Power Accounting\Billings\Nicholspump\YYYY\</t>
  </si>
  <si>
    <r>
      <t xml:space="preserve">Using current month file use estimated Hog Fuel </t>
    </r>
    <r>
      <rPr>
        <u/>
        <sz val="10"/>
        <rFont val="Arial"/>
        <family val="2"/>
      </rPr>
      <t>Consumed</t>
    </r>
  </si>
  <si>
    <t>Use current month file and total</t>
  </si>
  <si>
    <t>501 Fuel Tons</t>
  </si>
  <si>
    <t>Kettle Falls  H:\Generation\KFGS Hog Fuel\KFGSYYYY\YYYY KFGS SAUP.xls</t>
  </si>
  <si>
    <t>Colstrip  H:\Generation\Colstrip\Colstrip Fuel\YYYY\Colstrip Fuel|YYYY Colstrip Fuel.xls</t>
  </si>
  <si>
    <r>
      <t xml:space="preserve">Use </t>
    </r>
    <r>
      <rPr>
        <u/>
        <sz val="10"/>
        <rFont val="Arial"/>
        <family val="2"/>
      </rPr>
      <t>Burned</t>
    </r>
    <r>
      <rPr>
        <sz val="10"/>
        <rFont val="Arial"/>
        <family val="2"/>
      </rPr>
      <t xml:space="preserve"> amount for current month</t>
    </r>
  </si>
  <si>
    <t xml:space="preserve">REC Expense Authorized </t>
  </si>
  <si>
    <t>Wind REC Expense Authorized</t>
  </si>
  <si>
    <t>From Tara Knox Authorized Exhibits - only changes with Rate Cases - $0 for 2012</t>
  </si>
  <si>
    <t>In ID Monthly TAB</t>
  </si>
  <si>
    <t>Input the Bonneville Power Admin (WNP-3) dollar amount from the PTR above</t>
  </si>
  <si>
    <t>In WA Summary TAB</t>
  </si>
  <si>
    <t>WA Retail Revenue Adjustment</t>
  </si>
  <si>
    <t>From Retail Revenue Credit Calculation</t>
  </si>
  <si>
    <t>H:\Power Deferrals\Power Deferral Calculation\WA Retail Rev YYYY.XLS</t>
  </si>
  <si>
    <t>In ID Summary TAB</t>
  </si>
  <si>
    <t>Palouse Wind - Remove from Power Purchase calculation once the contract starts.</t>
  </si>
  <si>
    <t>Data from the PTR above</t>
  </si>
  <si>
    <t>Authorized and Idaho Allocation</t>
  </si>
  <si>
    <t>From Bill Johnson and Liz Andrews - only update with Rate Case Updates</t>
  </si>
  <si>
    <t>Authorized &amp; WA Allocation</t>
  </si>
  <si>
    <t>ID Retail Revenue Adjustment</t>
  </si>
  <si>
    <t>H:\Power Deferrals\Power Deferral Calculation\ID Retail Rev YYYY.XLS</t>
  </si>
  <si>
    <t>Clearwater Purchase @ 100%</t>
  </si>
  <si>
    <t>From Bill Johnson and Rick Lloyd - only update with Rate Case Updates</t>
  </si>
  <si>
    <t>Clearwater Revenue 100% Actual</t>
  </si>
  <si>
    <t>Before Finalizing</t>
  </si>
  <si>
    <t>Before printing regroup all groups on the individual pages</t>
  </si>
  <si>
    <t>To Begin</t>
  </si>
  <si>
    <t>Check with Gina Armstrong and/or Rick Lloyd if any new accounts need to be added</t>
  </si>
  <si>
    <t>For SMUD Deal filter PTR on all Long Term Charges</t>
  </si>
  <si>
    <t>WNP3 Mid Point (from PTR above) go to Bonneville Power Admin Deal #573</t>
  </si>
  <si>
    <t>From Rick Lloyed - only changes with Rate Case Updates -- 2012 complete</t>
  </si>
  <si>
    <t>Rate (Nov-April) from Dave Spannagel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</si>
  <si>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</si>
  <si>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</si>
  <si>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</si>
  <si>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</si>
  <si>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</si>
  <si>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</si>
  <si>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</si>
  <si>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</si>
  <si>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</si>
  <si>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</si>
  <si>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</si>
  <si>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</si>
  <si>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</si>
  <si>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</si>
  <si>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</si>
  <si>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</si>
  <si>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Select Purchases for current month and submit query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</si>
  <si>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</si>
  <si>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</si>
  <si>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</si>
  <si>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</si>
  <si>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</si>
  <si>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</si>
  <si>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</si>
  <si>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</si>
  <si>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</si>
  <si>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</si>
  <si>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</si>
  <si>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</si>
  <si>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</si>
  <si>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</si>
  <si>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</si>
  <si>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</si>
  <si>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</si>
  <si>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</si>
  <si>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</si>
  <si>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</si>
  <si>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</si>
  <si>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</si>
  <si>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</si>
  <si>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</si>
  <si>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</si>
  <si>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</si>
  <si>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</si>
  <si>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</si>
  <si>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</si>
  <si>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</si>
  <si>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</si>
  <si>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</si>
  <si>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</si>
  <si>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</si>
  <si>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</si>
  <si>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</si>
  <si>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</si>
  <si>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</si>
  <si>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</si>
  <si>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</si>
  <si>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</si>
  <si>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</si>
  <si>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</si>
  <si>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</si>
  <si>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</si>
  <si>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</si>
  <si>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</si>
  <si>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</si>
  <si>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</si>
  <si>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</si>
  <si>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</si>
  <si>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</si>
  <si>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</si>
  <si>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</si>
  <si>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</si>
  <si>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</si>
  <si>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</si>
  <si>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</si>
  <si>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</si>
  <si>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</si>
  <si>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</si>
  <si>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</si>
  <si>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</si>
  <si>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</si>
  <si>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</si>
  <si>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</si>
  <si>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</si>
  <si>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</si>
  <si>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</si>
  <si>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</si>
  <si>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</si>
  <si>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</si>
  <si>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</si>
  <si>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</si>
  <si>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</si>
  <si>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</si>
  <si>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</si>
  <si>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</si>
  <si>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</si>
  <si>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</si>
  <si>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</si>
  <si>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</si>
  <si>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</si>
  <si>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</si>
  <si>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</si>
  <si>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</si>
  <si>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</si>
  <si>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</si>
  <si>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</si>
  <si>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</si>
  <si>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</si>
  <si>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</si>
  <si>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</si>
  <si>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</si>
  <si>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</si>
  <si>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</si>
  <si>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</si>
  <si>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</si>
  <si>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</si>
  <si>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</si>
  <si>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</si>
  <si>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</si>
  <si>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</si>
  <si>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</si>
  <si>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</si>
  <si>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</si>
  <si>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</si>
  <si>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</si>
  <si>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</si>
  <si>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</si>
  <si>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</si>
  <si>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</si>
  <si>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</si>
  <si>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</si>
  <si>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</si>
  <si>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</si>
  <si>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</si>
  <si>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</si>
  <si>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</si>
  <si>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</si>
  <si>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</si>
  <si>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</si>
  <si>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</si>
  <si>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</si>
  <si>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</si>
  <si>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</si>
  <si>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</si>
  <si>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</si>
  <si>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</si>
  <si>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</si>
  <si>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</si>
  <si>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</si>
  <si>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</si>
  <si>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</si>
  <si>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</si>
  <si>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</si>
  <si>
    <t>Total through March</t>
  </si>
  <si>
    <t>Clearwater Power Co - 102475</t>
  </si>
  <si>
    <t>Clearwater Power Company</t>
  </si>
  <si>
    <t>Other Elec Rev - Extraction Plant Cr - 456018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</si>
</sst>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3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5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4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10" fontId="44" fillId="0" borderId="0" xfId="18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6" xfId="3" applyNumberFormat="1" applyFont="1" applyFill="1" applyBorder="1" applyAlignment="1">
      <alignment vertical="center"/>
    </xf>
    <xf numFmtId="0" fontId="43" fillId="0" borderId="0" xfId="0" applyFont="1" applyFill="1"/>
    <xf numFmtId="0" fontId="24" fillId="0" borderId="0" xfId="0" applyFont="1" applyBorder="1"/>
    <xf numFmtId="0" fontId="25" fillId="0" borderId="0" xfId="0" applyFont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42" fillId="0" borderId="1" xfId="0" applyNumberFormat="1" applyFont="1" applyBorder="1" applyAlignment="1">
      <alignment horizontal="center"/>
    </xf>
    <xf numFmtId="5" fontId="39" fillId="11" borderId="0" xfId="6" applyNumberFormat="1" applyFont="1" applyFill="1" applyBorder="1"/>
    <xf numFmtId="5" fontId="39" fillId="11" borderId="0" xfId="3" applyNumberFormat="1" applyFont="1" applyFill="1" applyBorder="1"/>
    <xf numFmtId="5" fontId="39" fillId="11" borderId="0" xfId="0" applyNumberFormat="1" applyFont="1" applyFill="1" applyBorder="1"/>
    <xf numFmtId="10" fontId="39" fillId="11" borderId="0" xfId="18" applyNumberFormat="1" applyFont="1" applyFill="1" applyBorder="1"/>
    <xf numFmtId="5" fontId="39" fillId="11" borderId="0" xfId="0" applyNumberFormat="1" applyFont="1" applyFill="1" applyBorder="1" applyAlignment="1">
      <alignment vertical="center"/>
    </xf>
    <xf numFmtId="5" fontId="42" fillId="0" borderId="7" xfId="6" applyNumberFormat="1" applyFont="1" applyFill="1" applyBorder="1" applyAlignment="1">
      <alignment vertical="center"/>
    </xf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166" fontId="0" fillId="0" borderId="0" xfId="0" applyNumberFormat="1" applyFill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42" fillId="0" borderId="7" xfId="3" applyNumberFormat="1" applyFont="1" applyFill="1" applyBorder="1" applyAlignment="1">
      <alignment vertical="center"/>
    </xf>
    <xf numFmtId="5" fontId="2" fillId="0" borderId="0" xfId="0" applyNumberFormat="1" applyFont="1" applyFill="1" applyBorder="1"/>
    <xf numFmtId="0" fontId="0" fillId="0" borderId="0" xfId="0" quotePrefix="1" applyFill="1" applyBorder="1" applyAlignment="1">
      <alignment horizontal="center"/>
    </xf>
    <xf numFmtId="178" fontId="47" fillId="0" borderId="0" xfId="0" applyNumberFormat="1" applyFont="1" applyFill="1" applyBorder="1"/>
    <xf numFmtId="165" fontId="47" fillId="0" borderId="0" xfId="0" applyNumberFormat="1" applyFont="1" applyFill="1" applyBorder="1"/>
    <xf numFmtId="5" fontId="43" fillId="0" borderId="0" xfId="0" applyNumberFormat="1" applyFont="1" applyFill="1" applyBorder="1"/>
    <xf numFmtId="5" fontId="0" fillId="0" borderId="0" xfId="0" applyNumberFormat="1" applyFill="1" applyBorder="1"/>
    <xf numFmtId="166" fontId="25" fillId="0" borderId="0" xfId="0" applyNumberFormat="1" applyFont="1" applyFill="1" applyAlignment="1">
      <alignment vertical="center"/>
    </xf>
    <xf numFmtId="166" fontId="49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4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6" fillId="15" borderId="0" xfId="3" applyFont="1" applyFill="1"/>
    <xf numFmtId="43" fontId="36" fillId="14" borderId="0" xfId="3" applyFont="1" applyFill="1"/>
    <xf numFmtId="43" fontId="36" fillId="13" borderId="0" xfId="3" applyFont="1" applyFill="1"/>
    <xf numFmtId="43" fontId="0" fillId="0" borderId="0" xfId="3" applyFont="1" applyFill="1"/>
    <xf numFmtId="43" fontId="36" fillId="16" borderId="0" xfId="3" applyFont="1" applyFill="1"/>
    <xf numFmtId="43" fontId="36" fillId="13" borderId="0" xfId="3" applyFont="1" applyFill="1"/>
    <xf numFmtId="0" fontId="3" fillId="0" borderId="0" xfId="0" applyFont="1" applyAlignment="1">
      <alignment vertical="center" wrapText="1"/>
    </xf>
    <xf numFmtId="166" fontId="36" fillId="13" borderId="0" xfId="3" applyNumberFormat="1" applyFont="1" applyFill="1"/>
    <xf numFmtId="165" fontId="0" fillId="13" borderId="0" xfId="0" applyNumberFormat="1" applyFill="1"/>
    <xf numFmtId="43" fontId="36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7" fillId="0" borderId="0" xfId="3" applyFont="1" applyFill="1"/>
    <xf numFmtId="43" fontId="38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5" fontId="38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2" fillId="0" borderId="8" xfId="6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64" fontId="47" fillId="0" borderId="7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/>
    </xf>
    <xf numFmtId="5" fontId="44" fillId="0" borderId="0" xfId="3" applyNumberFormat="1" applyFont="1" applyFill="1" applyBorder="1"/>
    <xf numFmtId="5" fontId="44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4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5" fillId="0" borderId="0" xfId="0" applyFont="1" applyFill="1"/>
    <xf numFmtId="0" fontId="29" fillId="0" borderId="7" xfId="0" applyFont="1" applyFill="1" applyBorder="1" applyAlignment="1">
      <alignment vertical="center"/>
    </xf>
    <xf numFmtId="17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left" vertical="center"/>
    </xf>
    <xf numFmtId="166" fontId="30" fillId="0" borderId="0" xfId="3" applyNumberFormat="1" applyFont="1" applyFill="1" applyAlignment="1">
      <alignment vertical="center"/>
    </xf>
    <xf numFmtId="166" fontId="25" fillId="0" borderId="0" xfId="0" applyNumberFormat="1" applyFont="1" applyFill="1"/>
    <xf numFmtId="0" fontId="25" fillId="0" borderId="0" xfId="0" applyFont="1" applyFill="1" applyAlignment="1">
      <alignment vertical="center"/>
    </xf>
    <xf numFmtId="166" fontId="25" fillId="0" borderId="0" xfId="3" applyNumberFormat="1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5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9" fillId="0" borderId="7" xfId="0" applyNumberFormat="1" applyFont="1" applyFill="1" applyBorder="1" applyAlignment="1">
      <alignment vertical="center"/>
    </xf>
    <xf numFmtId="165" fontId="5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5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9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5" fillId="0" borderId="0" xfId="3" applyNumberFormat="1" applyFont="1" applyFill="1" applyBorder="1"/>
    <xf numFmtId="0" fontId="53" fillId="0" borderId="0" xfId="0" applyFont="1" applyFill="1" applyBorder="1" applyAlignment="1">
      <alignment horizontal="center"/>
    </xf>
    <xf numFmtId="0" fontId="31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4" fillId="0" borderId="0" xfId="3" applyNumberFormat="1" applyFont="1" applyFill="1"/>
    <xf numFmtId="5" fontId="44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5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4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8" fillId="0" borderId="1" xfId="0" applyFont="1" applyFill="1" applyBorder="1"/>
    <xf numFmtId="177" fontId="2" fillId="0" borderId="1" xfId="3" applyNumberFormat="1" applyFont="1" applyFill="1" applyBorder="1" applyAlignment="1">
      <alignment horizontal="center"/>
    </xf>
    <xf numFmtId="43" fontId="44" fillId="0" borderId="0" xfId="6" applyNumberFormat="1" applyFont="1" applyFill="1" applyBorder="1"/>
    <xf numFmtId="43" fontId="44" fillId="0" borderId="0" xfId="3" applyNumberFormat="1" applyFont="1" applyFill="1" applyBorder="1"/>
    <xf numFmtId="164" fontId="46" fillId="0" borderId="0" xfId="0" applyNumberFormat="1" applyFont="1" applyFill="1"/>
    <xf numFmtId="0" fontId="0" fillId="0" borderId="7" xfId="0" applyFill="1" applyBorder="1"/>
    <xf numFmtId="5" fontId="21" fillId="0" borderId="0" xfId="3" applyNumberFormat="1" applyFont="1" applyFill="1" applyBorder="1"/>
    <xf numFmtId="5" fontId="3" fillId="0" borderId="0" xfId="3" applyNumberFormat="1" applyFont="1" applyFill="1" applyBorder="1" applyAlignment="1">
      <alignment vertical="center"/>
    </xf>
    <xf numFmtId="6" fontId="0" fillId="0" borderId="0" xfId="0" applyNumberFormat="1" applyFill="1"/>
    <xf numFmtId="0" fontId="47" fillId="0" borderId="0" xfId="0" applyFont="1" applyFill="1" applyAlignment="1">
      <alignment horizontal="left"/>
    </xf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6" fontId="9" fillId="0" borderId="0" xfId="3" applyNumberFormat="1" applyFont="1" applyFill="1" applyAlignment="1">
      <alignment vertical="center"/>
    </xf>
    <xf numFmtId="166" fontId="3" fillId="0" borderId="0" xfId="3" applyNumberFormat="1" applyFont="1" applyFill="1" applyAlignment="1">
      <alignment vertical="center"/>
    </xf>
    <xf numFmtId="0" fontId="2" fillId="0" borderId="7" xfId="0" applyFont="1" applyFill="1" applyBorder="1" applyAlignment="1">
      <alignment vertical="center" wrapText="1"/>
    </xf>
    <xf numFmtId="166" fontId="2" fillId="0" borderId="7" xfId="0" applyNumberFormat="1" applyFont="1" applyFill="1" applyBorder="1" applyAlignment="1">
      <alignment vertical="center"/>
    </xf>
    <xf numFmtId="166" fontId="3" fillId="0" borderId="0" xfId="0" applyNumberFormat="1" applyFont="1" applyFill="1"/>
    <xf numFmtId="166" fontId="47" fillId="0" borderId="7" xfId="3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5" fontId="47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17" fontId="2" fillId="0" borderId="0" xfId="0" applyNumberFormat="1" applyFont="1" applyFill="1" applyAlignment="1">
      <alignment horizontal="center"/>
    </xf>
    <xf numFmtId="17" fontId="2" fillId="0" borderId="7" xfId="0" applyNumberFormat="1" applyFont="1" applyFill="1" applyBorder="1" applyAlignment="1">
      <alignment horizontal="center"/>
    </xf>
    <xf numFmtId="5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5" fontId="4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3" fontId="3" fillId="0" borderId="0" xfId="3" applyNumberFormat="1" applyFont="1" applyFill="1" applyBorder="1"/>
    <xf numFmtId="0" fontId="3" fillId="0" borderId="0" xfId="0" quotePrefix="1" applyFont="1" applyFill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left"/>
    </xf>
    <xf numFmtId="0" fontId="18" fillId="0" borderId="1" xfId="0" applyFont="1" applyFill="1" applyBorder="1" applyAlignment="1">
      <alignment horizontal="center"/>
    </xf>
    <xf numFmtId="9" fontId="3" fillId="0" borderId="0" xfId="0" applyNumberFormat="1" applyFont="1" applyFill="1"/>
    <xf numFmtId="5" fontId="2" fillId="0" borderId="7" xfId="0" applyNumberFormat="1" applyFont="1" applyFill="1" applyBorder="1" applyAlignment="1">
      <alignment horizontal="right" vertical="center"/>
    </xf>
    <xf numFmtId="5" fontId="3" fillId="0" borderId="6" xfId="0" applyNumberFormat="1" applyFont="1" applyFill="1" applyBorder="1" applyAlignment="1">
      <alignment horizontal="right"/>
    </xf>
    <xf numFmtId="5" fontId="3" fillId="0" borderId="6" xfId="3" applyNumberFormat="1" applyFont="1" applyFill="1" applyBorder="1" applyAlignment="1">
      <alignment horizontal="right"/>
    </xf>
    <xf numFmtId="5" fontId="3" fillId="0" borderId="0" xfId="3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7" fontId="3" fillId="0" borderId="0" xfId="0" applyNumberFormat="1" applyFont="1" applyFill="1" applyAlignment="1">
      <alignment horizontal="center"/>
    </xf>
    <xf numFmtId="7" fontId="3" fillId="0" borderId="0" xfId="6" applyNumberFormat="1" applyFont="1" applyFill="1"/>
    <xf numFmtId="0" fontId="3" fillId="0" borderId="1" xfId="0" applyFont="1" applyFill="1" applyBorder="1" applyAlignment="1">
      <alignment horizontal="center"/>
    </xf>
    <xf numFmtId="5" fontId="2" fillId="0" borderId="7" xfId="3" applyNumberFormat="1" applyFont="1" applyFill="1" applyBorder="1" applyAlignment="1">
      <alignment horizontal="right"/>
    </xf>
    <xf numFmtId="2" fontId="3" fillId="0" borderId="0" xfId="0" applyNumberFormat="1" applyFont="1" applyFill="1"/>
    <xf numFmtId="5" fontId="3" fillId="0" borderId="0" xfId="3" applyNumberFormat="1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5" fontId="1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/>
    <xf numFmtId="1" fontId="2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/>
    <xf numFmtId="1" fontId="2" fillId="0" borderId="7" xfId="0" applyNumberFormat="1" applyFont="1" applyFill="1" applyBorder="1" applyAlignment="1">
      <alignment vertical="center"/>
    </xf>
    <xf numFmtId="5" fontId="3" fillId="0" borderId="0" xfId="0" applyNumberFormat="1" applyFont="1" applyFill="1" applyAlignment="1">
      <alignment vertical="center"/>
    </xf>
    <xf numFmtId="42" fontId="3" fillId="0" borderId="0" xfId="6" applyNumberFormat="1" applyFont="1" applyFill="1" applyBorder="1"/>
    <xf numFmtId="37" fontId="3" fillId="0" borderId="0" xfId="0" applyNumberFormat="1" applyFont="1" applyFill="1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7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80" fontId="48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54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9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2" fillId="0" borderId="7" xfId="0" applyNumberFormat="1" applyFont="1" applyBorder="1" applyAlignment="1">
      <alignment horizontal="center" wrapText="1"/>
    </xf>
    <xf numFmtId="5" fontId="39" fillId="11" borderId="8" xfId="6" applyNumberFormat="1" applyFont="1" applyFill="1" applyBorder="1" applyAlignment="1">
      <alignment horizontal="right"/>
    </xf>
    <xf numFmtId="5" fontId="39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5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134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63</v>
      </c>
      <c r="C2" s="31" t="s">
        <v>39</v>
      </c>
      <c r="D2" s="48" t="s">
        <v>40</v>
      </c>
      <c r="F2" s="31" t="s">
        <v>63</v>
      </c>
      <c r="G2" s="31" t="s">
        <v>39</v>
      </c>
      <c r="H2" s="48" t="s">
        <v>40</v>
      </c>
      <c r="I2" s="28"/>
      <c r="J2" s="31" t="s">
        <v>63</v>
      </c>
      <c r="K2" s="31" t="s">
        <v>39</v>
      </c>
      <c r="L2" s="48" t="s">
        <v>40</v>
      </c>
      <c r="M2" s="28"/>
      <c r="N2" s="31" t="s">
        <v>63</v>
      </c>
      <c r="O2" s="31" t="s">
        <v>39</v>
      </c>
      <c r="P2" s="31" t="s">
        <v>40</v>
      </c>
      <c r="Q2" s="28"/>
      <c r="R2" s="31" t="s">
        <v>63</v>
      </c>
      <c r="S2" s="31" t="s">
        <v>39</v>
      </c>
      <c r="T2" s="31" t="s">
        <v>40</v>
      </c>
      <c r="U2" s="27"/>
      <c r="V2" s="31" t="s">
        <v>63</v>
      </c>
      <c r="W2" s="31" t="s">
        <v>39</v>
      </c>
      <c r="X2" s="31" t="s">
        <v>40</v>
      </c>
      <c r="Y2" s="27"/>
      <c r="Z2" s="31" t="s">
        <v>63</v>
      </c>
      <c r="AA2" s="31" t="s">
        <v>39</v>
      </c>
      <c r="AB2" s="31" t="s">
        <v>40</v>
      </c>
      <c r="AC2" s="27"/>
      <c r="AD2" s="31" t="s">
        <v>63</v>
      </c>
      <c r="AE2" s="31" t="s">
        <v>39</v>
      </c>
      <c r="AF2" s="31" t="s">
        <v>40</v>
      </c>
      <c r="AG2" s="27"/>
      <c r="AH2" s="31" t="s">
        <v>63</v>
      </c>
      <c r="AI2" s="31" t="s">
        <v>39</v>
      </c>
      <c r="AJ2" s="31" t="s">
        <v>40</v>
      </c>
      <c r="AK2" s="27"/>
      <c r="AL2" s="31" t="s">
        <v>63</v>
      </c>
      <c r="AM2" s="31" t="s">
        <v>39</v>
      </c>
      <c r="AN2" s="31" t="s">
        <v>40</v>
      </c>
      <c r="AP2" s="31" t="s">
        <v>63</v>
      </c>
      <c r="AQ2" s="31" t="s">
        <v>39</v>
      </c>
      <c r="AR2" s="31" t="s">
        <v>40</v>
      </c>
      <c r="AT2" s="31" t="s">
        <v>63</v>
      </c>
      <c r="AU2" s="31" t="s">
        <v>39</v>
      </c>
      <c r="AV2" s="31" t="s">
        <v>40</v>
      </c>
      <c r="AX2" s="31" t="s">
        <v>63</v>
      </c>
      <c r="AY2" s="31" t="s">
        <v>39</v>
      </c>
      <c r="AZ2" s="31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60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61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64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62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42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51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58</v>
      </c>
      <c r="F21" s="10"/>
      <c r="G21" s="34" t="s">
        <v>57</v>
      </c>
      <c r="H21" s="49" t="e">
        <f>H19</f>
        <v>#REF!</v>
      </c>
      <c r="I21" s="49"/>
      <c r="J21" s="49"/>
      <c r="K21" s="53" t="s">
        <v>57</v>
      </c>
      <c r="L21" s="49" t="e">
        <f>L19</f>
        <v>#REF!</v>
      </c>
      <c r="M21" s="49"/>
      <c r="N21" s="49"/>
      <c r="O21" s="53" t="s">
        <v>57</v>
      </c>
      <c r="P21" s="49" t="e">
        <f>P19</f>
        <v>#REF!</v>
      </c>
      <c r="Q21" s="49"/>
      <c r="R21" s="49"/>
      <c r="S21" s="53" t="s">
        <v>57</v>
      </c>
      <c r="T21" s="49" t="e">
        <f>T19</f>
        <v>#REF!</v>
      </c>
      <c r="U21" s="50"/>
      <c r="V21" s="49"/>
      <c r="W21" s="53" t="s">
        <v>57</v>
      </c>
      <c r="X21" s="49" t="e">
        <f>X19</f>
        <v>#REF!</v>
      </c>
      <c r="Y21" s="51"/>
      <c r="Z21" s="49"/>
      <c r="AA21" s="49" t="s">
        <v>57</v>
      </c>
      <c r="AB21" s="49" t="e">
        <f>AB19</f>
        <v>#REF!</v>
      </c>
      <c r="AC21" s="51"/>
      <c r="AD21" s="49"/>
      <c r="AE21" s="49" t="s">
        <v>57</v>
      </c>
      <c r="AF21" s="49" t="e">
        <f>AF19</f>
        <v>#REF!</v>
      </c>
      <c r="AG21" s="51"/>
      <c r="AH21" s="49"/>
      <c r="AI21" s="49"/>
      <c r="AJ21" s="49" t="s">
        <v>57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66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43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98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97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44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90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31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45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46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47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48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34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49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50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54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67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68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69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103</v>
      </c>
      <c r="B52" s="9"/>
      <c r="C52" s="9"/>
      <c r="D52" s="9"/>
      <c r="E52" s="9"/>
    </row>
    <row r="53" spans="1:52">
      <c r="A53" s="9" t="s">
        <v>96</v>
      </c>
      <c r="B53" s="9"/>
      <c r="C53" s="9"/>
      <c r="D53" s="9"/>
      <c r="E53" s="9"/>
    </row>
    <row r="54" spans="1:52">
      <c r="A54" t="s">
        <v>99</v>
      </c>
      <c r="D54" s="20">
        <f>SUM(H54:AZ54)*0.6516</f>
        <v>-11420799</v>
      </c>
      <c r="G54" t="s">
        <v>84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101</v>
      </c>
      <c r="D55" s="20">
        <f>SUM(H55:AZ55)*0.6516</f>
        <v>23690518</v>
      </c>
      <c r="G55" t="s">
        <v>86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100</v>
      </c>
      <c r="D56" s="58" t="e">
        <f>D15-(D54+D55)</f>
        <v>#REF!</v>
      </c>
      <c r="H56" s="10"/>
      <c r="L56" s="10"/>
    </row>
    <row r="57" spans="1:52">
      <c r="A57" t="s">
        <v>102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93</v>
      </c>
      <c r="G60" t="s">
        <v>86</v>
      </c>
      <c r="H60" s="10">
        <f>-H39*F42</f>
        <v>8770450</v>
      </c>
      <c r="L60" s="10">
        <f>L39*J42</f>
        <v>4610672</v>
      </c>
    </row>
    <row r="61" spans="1:52">
      <c r="A61" t="s">
        <v>70</v>
      </c>
      <c r="G61" t="s">
        <v>84</v>
      </c>
      <c r="H61" s="10">
        <v>-7501000</v>
      </c>
      <c r="L61" s="10">
        <f>5677000-10725658</f>
        <v>-5048658</v>
      </c>
    </row>
    <row r="62" spans="1:52">
      <c r="A62" t="s">
        <v>83</v>
      </c>
      <c r="H62" s="10">
        <f>525000-520000</f>
        <v>5000</v>
      </c>
      <c r="L62" s="10"/>
    </row>
    <row r="63" spans="1:52">
      <c r="A63" t="s">
        <v>71</v>
      </c>
      <c r="H63" s="10"/>
    </row>
    <row r="64" spans="1:52">
      <c r="A64" t="s">
        <v>72</v>
      </c>
      <c r="H64" s="10">
        <f>18200*H42</f>
        <v>80808</v>
      </c>
      <c r="L64" s="10">
        <f>-44900*L42</f>
        <v>-357404</v>
      </c>
    </row>
    <row r="65" spans="1:62">
      <c r="A65" t="s">
        <v>73</v>
      </c>
      <c r="G65" t="s">
        <v>86</v>
      </c>
      <c r="H65" s="47">
        <f>865323-728000</f>
        <v>137323</v>
      </c>
      <c r="L65" s="10">
        <f>865323-728000</f>
        <v>137323</v>
      </c>
    </row>
    <row r="66" spans="1:62">
      <c r="A66" t="s">
        <v>91</v>
      </c>
      <c r="H66" s="47">
        <f>-H34*F42</f>
        <v>-48208</v>
      </c>
      <c r="L66" s="10"/>
    </row>
    <row r="67" spans="1:62">
      <c r="A67" t="s">
        <v>94</v>
      </c>
      <c r="H67" s="47">
        <f>-116000</f>
        <v>-116000</v>
      </c>
      <c r="L67" s="10"/>
    </row>
    <row r="68" spans="1:62">
      <c r="A68" t="s">
        <v>95</v>
      </c>
      <c r="H68" s="47">
        <f>+H38*F42</f>
        <v>-98250</v>
      </c>
      <c r="L68" s="10"/>
    </row>
    <row r="69" spans="1:62">
      <c r="A69" t="s">
        <v>74</v>
      </c>
      <c r="G69" t="s">
        <v>89</v>
      </c>
      <c r="H69" s="47">
        <f>1066171-989000</f>
        <v>77171</v>
      </c>
    </row>
    <row r="70" spans="1:62">
      <c r="A70" t="s">
        <v>92</v>
      </c>
      <c r="H70" s="47">
        <f>-H33*F42</f>
        <v>191260</v>
      </c>
    </row>
    <row r="71" spans="1:62">
      <c r="A71" t="s">
        <v>75</v>
      </c>
      <c r="G71" t="s">
        <v>84</v>
      </c>
      <c r="H71" s="47">
        <f>-25*4343*3</f>
        <v>-325725</v>
      </c>
    </row>
    <row r="72" spans="1:62">
      <c r="A72" t="s">
        <v>76</v>
      </c>
      <c r="H72" s="47">
        <v>-69812</v>
      </c>
    </row>
    <row r="73" spans="1:62">
      <c r="A73" t="s">
        <v>77</v>
      </c>
      <c r="G73" t="s">
        <v>84</v>
      </c>
      <c r="H73" s="47">
        <v>-317400</v>
      </c>
    </row>
    <row r="76" spans="1:62">
      <c r="A76" t="s">
        <v>87</v>
      </c>
      <c r="F76" s="10">
        <v>7402450</v>
      </c>
      <c r="G76" s="10" t="s">
        <v>84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78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79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88</v>
      </c>
      <c r="F80" s="10">
        <v>840000</v>
      </c>
      <c r="G80" t="s">
        <v>86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80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81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82</v>
      </c>
      <c r="H84" s="55">
        <f>SUM(H54:H83)</f>
        <v>930170</v>
      </c>
      <c r="L84" s="55">
        <f>SUM(L54:L83)</f>
        <v>3112128</v>
      </c>
    </row>
    <row r="85" spans="1:18">
      <c r="A85" t="s">
        <v>85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118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39</v>
      </c>
      <c r="D2" s="31" t="s">
        <v>40</v>
      </c>
      <c r="E2" s="31"/>
      <c r="F2" s="31" t="s">
        <v>2</v>
      </c>
      <c r="G2" s="31" t="s">
        <v>39</v>
      </c>
      <c r="H2" s="31" t="s">
        <v>40</v>
      </c>
      <c r="I2" s="28"/>
      <c r="J2" s="28"/>
      <c r="K2" s="27"/>
      <c r="L2" s="31" t="s">
        <v>2</v>
      </c>
      <c r="M2" s="31" t="s">
        <v>39</v>
      </c>
      <c r="N2" s="31" t="s">
        <v>40</v>
      </c>
      <c r="O2" s="28"/>
      <c r="P2" s="40"/>
      <c r="Q2" s="31" t="s">
        <v>2</v>
      </c>
      <c r="R2" s="31" t="s">
        <v>39</v>
      </c>
      <c r="S2" s="31" t="s">
        <v>40</v>
      </c>
      <c r="T2" s="93"/>
      <c r="U2" s="93"/>
      <c r="V2" s="31" t="s">
        <v>2</v>
      </c>
      <c r="W2" s="31" t="s">
        <v>39</v>
      </c>
      <c r="X2" s="31" t="s">
        <v>40</v>
      </c>
      <c r="Y2" s="93"/>
      <c r="Z2" s="41"/>
      <c r="AA2" s="31" t="s">
        <v>2</v>
      </c>
      <c r="AB2" s="31" t="s">
        <v>39</v>
      </c>
      <c r="AC2" s="31" t="s">
        <v>40</v>
      </c>
      <c r="AD2" s="41"/>
      <c r="AE2" s="93"/>
      <c r="AF2" s="93"/>
      <c r="AG2" s="31" t="s">
        <v>2</v>
      </c>
      <c r="AH2" s="31" t="s">
        <v>39</v>
      </c>
      <c r="AI2" s="31" t="s">
        <v>40</v>
      </c>
      <c r="AJ2" s="41"/>
      <c r="AK2" s="93"/>
      <c r="AL2" s="31" t="s">
        <v>2</v>
      </c>
      <c r="AM2" s="31" t="s">
        <v>39</v>
      </c>
      <c r="AN2" s="31" t="s">
        <v>40</v>
      </c>
      <c r="AO2" s="130" t="s">
        <v>125</v>
      </c>
      <c r="AP2" s="93"/>
      <c r="AQ2" s="31" t="s">
        <v>2</v>
      </c>
      <c r="AR2" s="31" t="s">
        <v>39</v>
      </c>
      <c r="AS2" s="31" t="s">
        <v>40</v>
      </c>
      <c r="AT2" s="136"/>
      <c r="AU2" s="41"/>
      <c r="AV2" s="93"/>
      <c r="AW2" s="31" t="s">
        <v>2</v>
      </c>
      <c r="AX2" s="31" t="s">
        <v>39</v>
      </c>
      <c r="AY2" s="31" t="s">
        <v>40</v>
      </c>
      <c r="AZ2" s="41"/>
      <c r="BA2" s="41"/>
      <c r="BB2" s="31" t="s">
        <v>2</v>
      </c>
      <c r="BC2" s="31" t="s">
        <v>39</v>
      </c>
      <c r="BD2" s="31" t="s">
        <v>40</v>
      </c>
      <c r="BE2" s="41"/>
      <c r="BF2" s="41"/>
      <c r="BG2" s="93"/>
      <c r="BH2" s="31" t="s">
        <v>2</v>
      </c>
      <c r="BI2" s="31" t="s">
        <v>39</v>
      </c>
      <c r="BJ2" s="31" t="s">
        <v>40</v>
      </c>
      <c r="BK2" s="41"/>
      <c r="BL2" s="93"/>
      <c r="BM2" s="93"/>
      <c r="BN2" s="31" t="s">
        <v>2</v>
      </c>
      <c r="BO2" s="31" t="s">
        <v>39</v>
      </c>
      <c r="BP2" s="31" t="s">
        <v>40</v>
      </c>
      <c r="BQ2" s="41"/>
    </row>
    <row r="3" spans="1:79">
      <c r="A3" s="88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20179590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0</v>
      </c>
      <c r="W4" s="10">
        <f>'WA Summary '!I15</f>
        <v>10031882</v>
      </c>
      <c r="X4" s="10">
        <f t="shared" ref="X4:X12" si="2">V4-W4</f>
        <v>-10031882</v>
      </c>
      <c r="Y4" s="74"/>
      <c r="Z4" s="74"/>
      <c r="AA4" s="10">
        <f>'WA Summary '!J6</f>
        <v>0</v>
      </c>
      <c r="AB4" s="10">
        <f>'WA Summary '!J15</f>
        <v>8675133</v>
      </c>
      <c r="AC4" s="10">
        <f t="shared" ref="AC4:AC12" si="3">AA4-AB4</f>
        <v>-8675133</v>
      </c>
      <c r="AD4" s="74"/>
      <c r="AE4" s="74"/>
      <c r="AF4" s="74"/>
      <c r="AG4" s="10">
        <f>'WA Summary '!K6</f>
        <v>0</v>
      </c>
      <c r="AH4" s="10">
        <f>'WA Summary '!K15</f>
        <v>8326700</v>
      </c>
      <c r="AI4" s="10">
        <f t="shared" ref="AI4:AI12" si="4">AG4-AH4</f>
        <v>-8326700</v>
      </c>
      <c r="AJ4" s="74"/>
      <c r="AK4" s="74"/>
      <c r="AL4" s="10">
        <f>'WA Summary '!L6</f>
        <v>0</v>
      </c>
      <c r="AM4" s="10">
        <f>'WA Summary '!L15</f>
        <v>8166121</v>
      </c>
      <c r="AN4" s="10">
        <f t="shared" ref="AN4:AN12" si="5">AL4-AM4</f>
        <v>-8166121</v>
      </c>
      <c r="AO4" s="10"/>
      <c r="AP4" s="74"/>
      <c r="AQ4" s="10">
        <f>'WA Summary '!M6</f>
        <v>0</v>
      </c>
      <c r="AR4" s="10">
        <f>'WA Summary '!M15</f>
        <v>9056301</v>
      </c>
      <c r="AS4" s="10">
        <f t="shared" ref="AS4:AS12" si="6">AQ4-AR4</f>
        <v>-9056301</v>
      </c>
      <c r="AT4" s="10"/>
      <c r="AV4" s="74"/>
      <c r="AW4" s="10">
        <f>'WA Summary '!N6</f>
        <v>0</v>
      </c>
      <c r="AX4" s="10">
        <f>'WA Summary '!N15</f>
        <v>7883689</v>
      </c>
      <c r="AY4" s="10">
        <f t="shared" ref="AY4:AY12" si="7">AW4-AX4</f>
        <v>-7883689</v>
      </c>
      <c r="BB4" s="10">
        <f>'WA Summary '!O6</f>
        <v>0</v>
      </c>
      <c r="BC4" s="10">
        <f>'WA Summary '!O15</f>
        <v>8186793</v>
      </c>
      <c r="BD4" s="10">
        <f t="shared" ref="BD4:BD12" si="8">BB4-BC4</f>
        <v>-8186793</v>
      </c>
      <c r="BG4" s="74"/>
      <c r="BH4" s="10">
        <f>'WA Summary '!P6</f>
        <v>0</v>
      </c>
      <c r="BI4" s="10">
        <f>'WA Summary '!P15</f>
        <v>11995843</v>
      </c>
      <c r="BJ4" s="10">
        <f t="shared" ref="BJ4:BJ12" si="9">BH4-BI4</f>
        <v>-11995843</v>
      </c>
      <c r="BL4" s="74"/>
      <c r="BM4" s="74"/>
      <c r="BN4" s="10">
        <f>'WA Summary '!Q6</f>
        <v>0</v>
      </c>
      <c r="BO4" s="10">
        <f>'WA Summary '!Q15</f>
        <v>12493230</v>
      </c>
      <c r="BP4" s="10">
        <f t="shared" ref="BP4:BP12" si="10">BN4-BO4</f>
        <v>-12493230</v>
      </c>
    </row>
    <row r="5" spans="1:79">
      <c r="A5" t="str">
        <f>'WA Summary '!B8</f>
        <v>501 Thermal Fuel</v>
      </c>
      <c r="B5" s="20">
        <f>F5+S5+W5+AA5+AE5+AI5+AL5+AV5+AZ5+BG5+BK5</f>
        <v>3691295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0</v>
      </c>
      <c r="W5" s="10">
        <f>'WA Summary '!I17</f>
        <v>2179004</v>
      </c>
      <c r="X5" s="10">
        <f t="shared" si="2"/>
        <v>-2179004</v>
      </c>
      <c r="Y5" s="74"/>
      <c r="Z5" s="74"/>
      <c r="AA5" s="10">
        <f>'WA Summary '!J8</f>
        <v>0</v>
      </c>
      <c r="AB5" s="10">
        <f>'WA Summary '!J17</f>
        <v>1851578</v>
      </c>
      <c r="AC5" s="10">
        <f t="shared" si="3"/>
        <v>-1851578</v>
      </c>
      <c r="AD5" s="74"/>
      <c r="AE5" s="74"/>
      <c r="AF5" s="74"/>
      <c r="AG5" s="10">
        <f>'WA Summary '!K8</f>
        <v>0</v>
      </c>
      <c r="AH5" s="10">
        <f>'WA Summary '!K17</f>
        <v>1612580</v>
      </c>
      <c r="AI5" s="10">
        <f t="shared" si="4"/>
        <v>-1612580</v>
      </c>
      <c r="AJ5" s="74"/>
      <c r="AK5" s="74"/>
      <c r="AL5" s="10">
        <f>'WA Summary '!L8</f>
        <v>0</v>
      </c>
      <c r="AM5" s="10">
        <f>'WA Summary '!L17</f>
        <v>2427227</v>
      </c>
      <c r="AN5" s="10">
        <f t="shared" si="5"/>
        <v>-2427227</v>
      </c>
      <c r="AO5" s="10"/>
      <c r="AP5" s="74"/>
      <c r="AQ5" s="10">
        <f>'WA Summary '!M8</f>
        <v>0</v>
      </c>
      <c r="AR5" s="10">
        <f>'WA Summary '!M17</f>
        <v>2652598</v>
      </c>
      <c r="AS5" s="10">
        <f t="shared" si="6"/>
        <v>-2652598</v>
      </c>
      <c r="AT5" s="10"/>
      <c r="AV5" s="74"/>
      <c r="AW5" s="10">
        <f>'WA Summary '!N8</f>
        <v>0</v>
      </c>
      <c r="AX5" s="10">
        <f>'WA Summary '!N17</f>
        <v>2644728</v>
      </c>
      <c r="AY5" s="10">
        <f t="shared" si="7"/>
        <v>-2644728</v>
      </c>
      <c r="BB5" s="10">
        <f>'WA Summary '!O8</f>
        <v>0</v>
      </c>
      <c r="BC5" s="10">
        <f>'WA Summary '!O17</f>
        <v>2706850</v>
      </c>
      <c r="BD5" s="10">
        <f t="shared" si="8"/>
        <v>-2706850</v>
      </c>
      <c r="BG5" s="74"/>
      <c r="BH5" s="10">
        <f>'WA Summary '!P8</f>
        <v>0</v>
      </c>
      <c r="BI5" s="10">
        <f>'WA Summary '!P17</f>
        <v>2628470</v>
      </c>
      <c r="BJ5" s="10">
        <f t="shared" si="9"/>
        <v>-2628470</v>
      </c>
      <c r="BL5" s="74"/>
      <c r="BM5" s="74"/>
      <c r="BN5" s="10">
        <f>'WA Summary '!Q8</f>
        <v>0</v>
      </c>
      <c r="BO5" s="10">
        <f>'WA Summary '!Q17</f>
        <v>2755227</v>
      </c>
      <c r="BP5" s="10">
        <f t="shared" si="10"/>
        <v>-2755227</v>
      </c>
    </row>
    <row r="6" spans="1:79">
      <c r="A6" t="str">
        <f>'WA Summary '!B9</f>
        <v>547 CT Fuel</v>
      </c>
      <c r="B6" s="20">
        <f>F6+S6+W6+AA6+AE6+AI6+AL6+AV6+AZ6+BG6+BK6</f>
        <v>8538352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0</v>
      </c>
      <c r="W6" s="10">
        <f>'WA Summary '!I18</f>
        <v>5265751</v>
      </c>
      <c r="X6" s="10">
        <f t="shared" si="2"/>
        <v>-5265751</v>
      </c>
      <c r="Y6" s="74"/>
      <c r="Z6" s="74"/>
      <c r="AA6" s="10">
        <f>'WA Summary '!J9</f>
        <v>0</v>
      </c>
      <c r="AB6" s="10">
        <f>'WA Summary '!J18</f>
        <v>2664694</v>
      </c>
      <c r="AC6" s="10">
        <f t="shared" si="3"/>
        <v>-2664694</v>
      </c>
      <c r="AD6" s="74"/>
      <c r="AE6" s="74"/>
      <c r="AF6" s="74"/>
      <c r="AG6" s="10">
        <f>'WA Summary '!K9</f>
        <v>0</v>
      </c>
      <c r="AH6" s="10">
        <f>'WA Summary '!K18</f>
        <v>2712482</v>
      </c>
      <c r="AI6" s="10">
        <f t="shared" si="4"/>
        <v>-2712482</v>
      </c>
      <c r="AJ6" s="74"/>
      <c r="AK6" s="74"/>
      <c r="AL6" s="10">
        <f>'WA Summary '!L9</f>
        <v>0</v>
      </c>
      <c r="AM6" s="10">
        <f>'WA Summary '!L18</f>
        <v>5239795</v>
      </c>
      <c r="AN6" s="10">
        <f t="shared" si="5"/>
        <v>-5239795</v>
      </c>
      <c r="AO6" s="10"/>
      <c r="AP6" s="74"/>
      <c r="AQ6" s="10">
        <f>'WA Summary '!M9</f>
        <v>0</v>
      </c>
      <c r="AR6" s="10">
        <f>'WA Summary '!M18</f>
        <v>6788998</v>
      </c>
      <c r="AS6" s="10">
        <f t="shared" si="6"/>
        <v>-6788998</v>
      </c>
      <c r="AT6" s="10"/>
      <c r="AV6" s="74"/>
      <c r="AW6" s="10">
        <f>'WA Summary '!N9</f>
        <v>0</v>
      </c>
      <c r="AX6" s="10">
        <f>'WA Summary '!N18</f>
        <v>6983768</v>
      </c>
      <c r="AY6" s="10">
        <f t="shared" si="7"/>
        <v>-6983768</v>
      </c>
      <c r="BB6" s="10">
        <f>'WA Summary '!O9</f>
        <v>0</v>
      </c>
      <c r="BC6" s="10">
        <f>'WA Summary '!O18</f>
        <v>7442560</v>
      </c>
      <c r="BD6" s="10">
        <f t="shared" si="8"/>
        <v>-7442560</v>
      </c>
      <c r="BG6" s="74"/>
      <c r="BH6" s="10">
        <f>'WA Summary '!P9</f>
        <v>0</v>
      </c>
      <c r="BI6" s="10">
        <f>'WA Summary '!P18</f>
        <v>7920542</v>
      </c>
      <c r="BJ6" s="10">
        <f t="shared" si="9"/>
        <v>-7920542</v>
      </c>
      <c r="BL6" s="74"/>
      <c r="BM6" s="74"/>
      <c r="BN6" s="10">
        <f>'WA Summary '!Q9</f>
        <v>0</v>
      </c>
      <c r="BO6" s="10">
        <f>'WA Summary '!Q18</f>
        <v>8801867</v>
      </c>
      <c r="BP6" s="10">
        <f t="shared" si="10"/>
        <v>-8801867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-18956101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0</v>
      </c>
      <c r="W7" s="10">
        <f>'WA Summary '!I16</f>
        <v>-9451450</v>
      </c>
      <c r="X7" s="10">
        <f t="shared" si="2"/>
        <v>9451450</v>
      </c>
      <c r="Y7" s="74"/>
      <c r="Z7" s="74"/>
      <c r="AA7" s="10">
        <f>'WA Summary '!J7</f>
        <v>0</v>
      </c>
      <c r="AB7" s="10">
        <f>'WA Summary '!J16</f>
        <v>-8788449</v>
      </c>
      <c r="AC7" s="10">
        <f t="shared" si="3"/>
        <v>8788449</v>
      </c>
      <c r="AD7" s="74"/>
      <c r="AE7" s="74"/>
      <c r="AF7" s="74"/>
      <c r="AG7" s="10">
        <f>'WA Summary '!K7</f>
        <v>0</v>
      </c>
      <c r="AH7" s="10">
        <f>'WA Summary '!K16</f>
        <v>-8347826</v>
      </c>
      <c r="AI7" s="10">
        <f t="shared" si="4"/>
        <v>8347826</v>
      </c>
      <c r="AJ7" s="74"/>
      <c r="AK7" s="74"/>
      <c r="AL7" s="10">
        <f>'WA Summary '!L7</f>
        <v>0</v>
      </c>
      <c r="AM7" s="10">
        <f>'WA Summary '!L16</f>
        <v>-7766255</v>
      </c>
      <c r="AN7" s="10">
        <f t="shared" si="5"/>
        <v>7766255</v>
      </c>
      <c r="AO7" s="10"/>
      <c r="AP7" s="74"/>
      <c r="AQ7" s="10">
        <f>'WA Summary '!M7</f>
        <v>0</v>
      </c>
      <c r="AR7" s="10">
        <f>'WA Summary '!M16</f>
        <v>-5454044</v>
      </c>
      <c r="AS7" s="10">
        <f t="shared" si="6"/>
        <v>5454044</v>
      </c>
      <c r="AT7" s="10"/>
      <c r="AV7" s="74"/>
      <c r="AW7" s="10">
        <f>'WA Summary '!N7</f>
        <v>0</v>
      </c>
      <c r="AX7" s="10">
        <f>'WA Summary '!N16</f>
        <v>-6343594</v>
      </c>
      <c r="AY7" s="10">
        <f t="shared" si="7"/>
        <v>6343594</v>
      </c>
      <c r="BB7" s="10">
        <f>'WA Summary '!O7</f>
        <v>0</v>
      </c>
      <c r="BC7" s="10">
        <f>'WA Summary '!O16</f>
        <v>-6461587</v>
      </c>
      <c r="BD7" s="10">
        <f t="shared" si="8"/>
        <v>6461587</v>
      </c>
      <c r="BG7" s="74"/>
      <c r="BH7" s="10">
        <f>'WA Summary '!P7</f>
        <v>0</v>
      </c>
      <c r="BI7" s="10">
        <f>'WA Summary '!P16</f>
        <v>-7582420</v>
      </c>
      <c r="BJ7" s="10">
        <f t="shared" si="9"/>
        <v>7582420</v>
      </c>
      <c r="BL7" s="74"/>
      <c r="BM7" s="74"/>
      <c r="BN7" s="10">
        <f>'WA Summary '!Q7</f>
        <v>0</v>
      </c>
      <c r="BO7" s="10">
        <f>'WA Summary '!Q16</f>
        <v>-7533482</v>
      </c>
      <c r="BP7" s="10">
        <f t="shared" si="10"/>
        <v>7533482</v>
      </c>
      <c r="BU7" s="80"/>
      <c r="BV7" s="79"/>
      <c r="BW7" s="3"/>
      <c r="BX7" s="3"/>
      <c r="BY7" s="3"/>
      <c r="BZ7" s="3"/>
      <c r="CA7" s="3"/>
    </row>
    <row r="8" spans="1:79">
      <c r="A8" s="32" t="s">
        <v>109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0</v>
      </c>
      <c r="W8" s="10">
        <f>'WA Summary '!I20</f>
        <v>1347286</v>
      </c>
      <c r="X8" s="10">
        <f t="shared" si="2"/>
        <v>-1347286</v>
      </c>
      <c r="Y8" s="74"/>
      <c r="Z8" s="74"/>
      <c r="AA8" s="10">
        <f>'WA Summary '!J11</f>
        <v>0</v>
      </c>
      <c r="AB8" s="10">
        <f>'WA Summary '!J20</f>
        <v>1410951</v>
      </c>
      <c r="AC8" s="10">
        <f t="shared" si="3"/>
        <v>-1410951</v>
      </c>
      <c r="AD8" s="74"/>
      <c r="AE8" s="74"/>
      <c r="AF8" s="74"/>
      <c r="AG8" s="10">
        <f>'WA Summary '!K11</f>
        <v>0</v>
      </c>
      <c r="AH8" s="10">
        <f>'WA Summary '!K20</f>
        <v>1401574</v>
      </c>
      <c r="AI8" s="10">
        <f t="shared" si="4"/>
        <v>-1401574</v>
      </c>
      <c r="AJ8" s="74"/>
      <c r="AK8" s="74"/>
      <c r="AL8" s="10">
        <f>'WA Summary '!L11</f>
        <v>0</v>
      </c>
      <c r="AM8" s="10">
        <f>'WA Summary '!L20</f>
        <v>1411206</v>
      </c>
      <c r="AN8" s="10">
        <f t="shared" si="5"/>
        <v>-1411206</v>
      </c>
      <c r="AO8" s="10"/>
      <c r="AP8" s="74"/>
      <c r="AQ8" s="11">
        <f>'WA Summary '!M11</f>
        <v>0</v>
      </c>
      <c r="AR8" s="10">
        <f>'WA Summary '!M20</f>
        <v>1443939</v>
      </c>
      <c r="AS8" s="10">
        <f t="shared" si="6"/>
        <v>-1443939</v>
      </c>
      <c r="AT8" s="10"/>
      <c r="AV8" s="74"/>
      <c r="AW8" s="10">
        <f>'WA Summary '!N11</f>
        <v>0</v>
      </c>
      <c r="AX8" s="10">
        <f>'WA Summary '!N20</f>
        <v>1441121</v>
      </c>
      <c r="AY8" s="10">
        <f t="shared" si="7"/>
        <v>-1441121</v>
      </c>
      <c r="BB8" s="10">
        <f>'WA Summary '!O11</f>
        <v>0</v>
      </c>
      <c r="BC8" s="10">
        <f>'WA Summary '!O20</f>
        <v>1400226</v>
      </c>
      <c r="BD8" s="10">
        <f t="shared" si="8"/>
        <v>-1400226</v>
      </c>
      <c r="BG8" s="74"/>
      <c r="BH8" s="10">
        <f>'WA Summary '!P11</f>
        <v>0</v>
      </c>
      <c r="BI8" s="10">
        <f>'WA Summary '!P20</f>
        <v>1464406</v>
      </c>
      <c r="BJ8" s="10">
        <f t="shared" si="9"/>
        <v>-1464406</v>
      </c>
      <c r="BL8" s="74"/>
      <c r="BM8" s="74"/>
      <c r="BN8" s="10">
        <f>'WA Summary '!Q11</f>
        <v>0</v>
      </c>
      <c r="BO8" s="10">
        <f>'WA Summary '!Q20</f>
        <v>1437755</v>
      </c>
      <c r="BP8" s="10">
        <f t="shared" si="10"/>
        <v>-1437755</v>
      </c>
      <c r="BU8" s="80"/>
      <c r="BV8" s="79"/>
      <c r="BW8" s="3"/>
      <c r="BX8" s="3"/>
      <c r="BY8" s="3"/>
      <c r="BZ8" s="3"/>
      <c r="CA8" s="3"/>
    </row>
    <row r="9" spans="1:79">
      <c r="A9" s="32" t="s">
        <v>143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0</v>
      </c>
      <c r="W9" s="10">
        <f>'WA Summary '!I19</f>
        <v>-1166933</v>
      </c>
      <c r="X9" s="10">
        <f t="shared" si="2"/>
        <v>1166933</v>
      </c>
      <c r="Y9" s="74"/>
      <c r="Z9" s="74"/>
      <c r="AA9" s="10">
        <f>'WA Summary '!J10</f>
        <v>0</v>
      </c>
      <c r="AB9" s="10">
        <f>'WA Summary '!J19</f>
        <v>-1506921</v>
      </c>
      <c r="AC9" s="10">
        <f t="shared" si="3"/>
        <v>1506921</v>
      </c>
      <c r="AD9" s="74"/>
      <c r="AE9" s="74"/>
      <c r="AF9" s="74"/>
      <c r="AG9" s="10">
        <f>'WA Summary '!K10</f>
        <v>0</v>
      </c>
      <c r="AH9" s="10">
        <f>'WA Summary '!K19</f>
        <v>-1586833</v>
      </c>
      <c r="AI9" s="10">
        <f t="shared" si="4"/>
        <v>1586833</v>
      </c>
      <c r="AJ9" s="74"/>
      <c r="AK9" s="74"/>
      <c r="AL9" s="10">
        <f>'WA Summary '!L10</f>
        <v>0</v>
      </c>
      <c r="AM9" s="10">
        <f>'WA Summary '!L19</f>
        <v>-1599620</v>
      </c>
      <c r="AN9" s="10">
        <f t="shared" si="5"/>
        <v>1599620</v>
      </c>
      <c r="AO9" s="10"/>
      <c r="AP9" s="74"/>
      <c r="AQ9" s="11">
        <f>'WA Summary '!M10</f>
        <v>0</v>
      </c>
      <c r="AR9" s="10">
        <f>'WA Summary '!M19</f>
        <v>-1447883</v>
      </c>
      <c r="AS9" s="10">
        <f t="shared" si="6"/>
        <v>1447883</v>
      </c>
      <c r="AT9" s="10"/>
      <c r="AV9" s="74"/>
      <c r="AW9" s="10">
        <f>'WA Summary '!N10</f>
        <v>0</v>
      </c>
      <c r="AX9" s="10">
        <f>'WA Summary '!N19</f>
        <v>-1304804</v>
      </c>
      <c r="AY9" s="10">
        <f t="shared" si="7"/>
        <v>1304804</v>
      </c>
      <c r="BB9" s="10">
        <f>'WA Summary '!O10</f>
        <v>0</v>
      </c>
      <c r="BC9" s="10">
        <f>'WA Summary '!O19</f>
        <v>-1285929</v>
      </c>
      <c r="BD9" s="10">
        <f t="shared" si="8"/>
        <v>1285929</v>
      </c>
      <c r="BG9" s="74"/>
      <c r="BH9" s="10">
        <f>'WA Summary '!P10</f>
        <v>0</v>
      </c>
      <c r="BI9" s="10">
        <f>'WA Summary '!P19</f>
        <v>-1197858</v>
      </c>
      <c r="BJ9" s="10">
        <f t="shared" si="9"/>
        <v>1197858</v>
      </c>
      <c r="BL9" s="74"/>
      <c r="BM9" s="74"/>
      <c r="BN9" s="10">
        <f>'WA Summary '!Q10</f>
        <v>0</v>
      </c>
      <c r="BO9" s="10">
        <f>'WA Summary '!Q19</f>
        <v>-1199571</v>
      </c>
      <c r="BP9" s="10">
        <f t="shared" si="10"/>
        <v>1199571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 t="str">
        <f>'WA Summary '!I25</f>
        <v xml:space="preserve"> </v>
      </c>
      <c r="W10" s="10">
        <v>0</v>
      </c>
      <c r="X10" s="10" t="e">
        <f t="shared" si="2"/>
        <v>#VALUE!</v>
      </c>
      <c r="Y10" s="74"/>
      <c r="Z10" s="74"/>
      <c r="AA10" s="10" t="str">
        <f>'WA Summary '!J25</f>
        <v xml:space="preserve"> </v>
      </c>
      <c r="AB10" s="10"/>
      <c r="AC10" s="10"/>
      <c r="AD10" s="74"/>
      <c r="AE10" s="74"/>
      <c r="AF10" s="74"/>
      <c r="AG10" s="10" t="str">
        <f>'WA Summary '!K25</f>
        <v xml:space="preserve"> </v>
      </c>
      <c r="AH10" s="10"/>
      <c r="AI10" s="10"/>
      <c r="AJ10" s="74"/>
      <c r="AK10" s="74"/>
      <c r="AL10" s="11" t="str">
        <f>'WA Summary '!L25</f>
        <v xml:space="preserve"> </v>
      </c>
      <c r="AM10" s="10"/>
      <c r="AN10" s="10" t="e">
        <f t="shared" si="5"/>
        <v>#VALUE!</v>
      </c>
      <c r="AO10" s="10" t="e">
        <f>AN10*0.6583</f>
        <v>#VALUE!</v>
      </c>
      <c r="AP10" s="74"/>
      <c r="AQ10" s="11" t="str">
        <f>'WA Summary '!M25</f>
        <v xml:space="preserve"> </v>
      </c>
      <c r="AR10" s="10"/>
      <c r="AS10" s="10" t="e">
        <f t="shared" si="6"/>
        <v>#VALUE!</v>
      </c>
      <c r="AT10" s="10"/>
      <c r="AV10" s="74"/>
      <c r="AW10" s="10" t="str">
        <f>'WA Summary '!N25</f>
        <v xml:space="preserve"> </v>
      </c>
      <c r="AX10" s="10"/>
      <c r="AY10" s="10" t="e">
        <f t="shared" si="7"/>
        <v>#VALUE!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 t="str">
        <f>'WA Summary '!P25</f>
        <v xml:space="preserve"> </v>
      </c>
      <c r="BI10" s="10"/>
      <c r="BJ10" s="10" t="e">
        <f t="shared" si="9"/>
        <v>#VALUE!</v>
      </c>
      <c r="BL10" s="74"/>
      <c r="BM10" s="74"/>
      <c r="BN10" s="10" t="str">
        <f>'WA Summary '!Q25</f>
        <v xml:space="preserve"> </v>
      </c>
      <c r="BO10" s="10"/>
      <c r="BP10" s="10" t="e">
        <f t="shared" si="10"/>
        <v>#VALUE!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63199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0</v>
      </c>
      <c r="W11" s="11">
        <f>'WA Summary '!I21</f>
        <v>57500</v>
      </c>
      <c r="X11" s="10">
        <f t="shared" si="2"/>
        <v>-57500</v>
      </c>
      <c r="Y11" s="74"/>
      <c r="Z11" s="74"/>
      <c r="AA11" s="11">
        <f>'WA Summary '!J12</f>
        <v>0</v>
      </c>
      <c r="AB11" s="11">
        <f>'WA Summary '!J21</f>
        <v>57500</v>
      </c>
      <c r="AC11" s="10">
        <f t="shared" si="3"/>
        <v>-57500</v>
      </c>
      <c r="AD11" s="74"/>
      <c r="AE11" s="74"/>
      <c r="AF11" s="74"/>
      <c r="AG11" s="11">
        <f>'WA Summary '!K12</f>
        <v>0</v>
      </c>
      <c r="AH11" s="11">
        <f>'WA Summary '!K21</f>
        <v>57500</v>
      </c>
      <c r="AI11" s="10">
        <f t="shared" si="4"/>
        <v>-57500</v>
      </c>
      <c r="AJ11" s="74"/>
      <c r="AK11" s="74"/>
      <c r="AL11" s="11">
        <f>'WA Summary '!L12</f>
        <v>0</v>
      </c>
      <c r="AM11" s="11">
        <f>'WA Summary '!L21</f>
        <v>57500</v>
      </c>
      <c r="AN11" s="10">
        <f t="shared" si="5"/>
        <v>-57500</v>
      </c>
      <c r="AO11" s="10"/>
      <c r="AP11" s="74"/>
      <c r="AQ11" s="11">
        <f>'WA Summary '!M12</f>
        <v>0</v>
      </c>
      <c r="AR11" s="11">
        <f>'WA Summary '!M21</f>
        <v>57500</v>
      </c>
      <c r="AS11" s="10" t="e">
        <f>AQ10-AR11</f>
        <v>#VALUE!</v>
      </c>
      <c r="AT11" s="10"/>
      <c r="AV11" s="74"/>
      <c r="AW11" s="11">
        <f>'WA Summary '!N12</f>
        <v>0</v>
      </c>
      <c r="AX11" s="11">
        <f>'WA Summary '!N21</f>
        <v>57500</v>
      </c>
      <c r="AY11" s="10">
        <f t="shared" si="7"/>
        <v>-57500</v>
      </c>
      <c r="BB11" s="11">
        <f>'WA Summary '!O12</f>
        <v>0</v>
      </c>
      <c r="BC11" s="11">
        <f>'WA Summary '!O21</f>
        <v>57500</v>
      </c>
      <c r="BD11" s="10">
        <f t="shared" si="8"/>
        <v>-57500</v>
      </c>
      <c r="BG11" s="74"/>
      <c r="BH11" s="11">
        <f>'WA Summary '!P12</f>
        <v>0</v>
      </c>
      <c r="BI11" s="11">
        <f>'WA Summary '!P21</f>
        <v>57500</v>
      </c>
      <c r="BJ11" s="10">
        <f t="shared" si="9"/>
        <v>-57500</v>
      </c>
      <c r="BL11" s="74"/>
      <c r="BM11" s="74"/>
      <c r="BN11" s="11">
        <f>'WA Summary '!Q12</f>
        <v>0</v>
      </c>
      <c r="BO11" s="11">
        <f>'WA Summary '!Q21</f>
        <v>57500</v>
      </c>
      <c r="BP11" s="10">
        <f t="shared" si="10"/>
        <v>-57500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0</v>
      </c>
      <c r="W13" s="74" t="e">
        <f>SUM(W4:W12)</f>
        <v>#REF!</v>
      </c>
      <c r="X13" s="74"/>
      <c r="Y13" s="74"/>
      <c r="Z13" s="74"/>
      <c r="AA13" s="74">
        <f>SUM(AA4:AA12)</f>
        <v>0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0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65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142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42</v>
      </c>
      <c r="B19" s="20" t="e">
        <f>F19+S19+W19+AA19+AE19+AI19+AL19+AV19+AZ19+BG19+BK20</f>
        <v>#VALUE!</v>
      </c>
      <c r="D19" s="10" t="e">
        <f>B19-C19</f>
        <v>#VALUE!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 t="str">
        <f>'WA Summary '!K30</f>
        <v xml:space="preserve"> </v>
      </c>
      <c r="AH19" s="74"/>
      <c r="AI19" s="11" t="e">
        <f>AG19-AH19</f>
        <v>#VALUE!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 t="str">
        <f>'WA Summary '!M30</f>
        <v xml:space="preserve"> </v>
      </c>
      <c r="AR19" s="74"/>
      <c r="AS19" s="11" t="e">
        <f>AQ19-AR19</f>
        <v>#VALUE!</v>
      </c>
      <c r="AT19" s="11"/>
      <c r="AV19" s="74"/>
      <c r="AW19" s="74" t="str">
        <f>'WA Summary '!N30</f>
        <v xml:space="preserve"> </v>
      </c>
      <c r="AX19" s="74"/>
      <c r="AY19" s="11" t="e">
        <f>AW19-AX19</f>
        <v>#VALUE!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 t="str">
        <f>'WA Summary '!J31</f>
        <v xml:space="preserve"> 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156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155</v>
      </c>
      <c r="U22" s="74"/>
      <c r="V22" s="74"/>
      <c r="W22" s="74"/>
      <c r="X22" s="74"/>
      <c r="Y22" s="131" t="s">
        <v>155</v>
      </c>
      <c r="Z22" s="74"/>
      <c r="AA22" s="74"/>
      <c r="AB22" s="74"/>
      <c r="AC22" s="74"/>
      <c r="AD22" s="74" t="s">
        <v>155</v>
      </c>
      <c r="AE22" s="74"/>
      <c r="AG22" s="74"/>
      <c r="AH22" s="74"/>
      <c r="AI22" s="74"/>
      <c r="AJ22" s="74" t="s">
        <v>155</v>
      </c>
      <c r="AK22" s="74"/>
      <c r="AL22" s="74"/>
      <c r="AM22" s="74"/>
      <c r="AN22" s="74"/>
      <c r="AO22" s="74" t="s">
        <v>155</v>
      </c>
      <c r="AP22" s="74"/>
      <c r="AQ22" s="74"/>
      <c r="AR22" s="74"/>
      <c r="AS22" s="74"/>
      <c r="AT22" s="102" t="s">
        <v>155</v>
      </c>
      <c r="AU22" s="102"/>
      <c r="AV22" s="74"/>
      <c r="AW22" s="74"/>
      <c r="AX22" s="74"/>
      <c r="AY22" s="74"/>
      <c r="AZ22" s="102" t="s">
        <v>155</v>
      </c>
      <c r="BA22" s="102"/>
      <c r="BB22" s="74"/>
      <c r="BC22" s="74"/>
      <c r="BD22" s="74"/>
      <c r="BE22" s="102" t="s">
        <v>155</v>
      </c>
      <c r="BF22" s="102"/>
      <c r="BG22" s="74"/>
      <c r="BH22" s="74"/>
      <c r="BI22" s="74"/>
      <c r="BJ22" s="74"/>
      <c r="BK22" s="102" t="s">
        <v>155</v>
      </c>
      <c r="BL22" s="102"/>
      <c r="BM22" s="74"/>
      <c r="BN22" s="74"/>
      <c r="BO22" s="74"/>
      <c r="BP22" s="74"/>
      <c r="BQ22" s="102" t="s">
        <v>155</v>
      </c>
      <c r="BR22" s="102"/>
      <c r="BU22" s="3"/>
      <c r="BV22" s="3"/>
      <c r="BW22" s="3"/>
      <c r="BX22" s="3"/>
      <c r="BY22" s="3"/>
    </row>
    <row r="23" spans="1:79">
      <c r="A23" s="88" t="s">
        <v>43</v>
      </c>
      <c r="B23" s="32"/>
      <c r="C23" s="32"/>
      <c r="D23" s="32"/>
      <c r="E23" s="32"/>
      <c r="F23" s="10"/>
      <c r="G23" s="10"/>
      <c r="H23" s="10"/>
      <c r="I23" s="119" t="s">
        <v>125</v>
      </c>
      <c r="J23" s="119" t="s">
        <v>126</v>
      </c>
      <c r="K23" s="10"/>
      <c r="L23" s="22"/>
      <c r="M23" s="22"/>
      <c r="N23" s="22"/>
      <c r="O23" s="119" t="s">
        <v>125</v>
      </c>
      <c r="P23" s="119" t="s">
        <v>126</v>
      </c>
      <c r="Q23" s="39"/>
      <c r="R23" s="74"/>
      <c r="S23" s="74"/>
      <c r="T23" s="122" t="s">
        <v>125</v>
      </c>
      <c r="U23" s="122" t="s">
        <v>126</v>
      </c>
      <c r="V23" s="74"/>
      <c r="W23" s="74"/>
      <c r="X23" s="74"/>
      <c r="Y23" s="130" t="s">
        <v>125</v>
      </c>
      <c r="Z23" s="130" t="s">
        <v>126</v>
      </c>
      <c r="AA23" s="96"/>
      <c r="AB23" s="74"/>
      <c r="AC23" s="74"/>
      <c r="AD23" s="130" t="s">
        <v>125</v>
      </c>
      <c r="AE23" s="130" t="s">
        <v>126</v>
      </c>
      <c r="AG23" s="96"/>
      <c r="AH23" s="74"/>
      <c r="AI23" s="74"/>
      <c r="AJ23" s="130" t="s">
        <v>125</v>
      </c>
      <c r="AK23" s="130" t="s">
        <v>126</v>
      </c>
      <c r="AL23" s="96"/>
      <c r="AM23" s="74"/>
      <c r="AN23" s="74"/>
      <c r="AO23" s="130" t="s">
        <v>125</v>
      </c>
      <c r="AP23" s="130" t="s">
        <v>126</v>
      </c>
      <c r="AQ23" s="96"/>
      <c r="AR23" s="74"/>
      <c r="AS23" s="74"/>
      <c r="AT23" s="122" t="s">
        <v>125</v>
      </c>
      <c r="AU23" s="122" t="s">
        <v>126</v>
      </c>
      <c r="AV23" s="74"/>
      <c r="AW23" s="96"/>
      <c r="AX23" s="74"/>
      <c r="AY23" s="74"/>
      <c r="AZ23" s="122" t="s">
        <v>125</v>
      </c>
      <c r="BA23" s="122" t="s">
        <v>126</v>
      </c>
      <c r="BB23" s="96"/>
      <c r="BC23" s="74"/>
      <c r="BD23" s="74"/>
      <c r="BE23" s="122" t="s">
        <v>125</v>
      </c>
      <c r="BF23" s="122" t="s">
        <v>126</v>
      </c>
      <c r="BG23" s="74"/>
      <c r="BH23" s="96"/>
      <c r="BI23" s="74"/>
      <c r="BJ23" s="74"/>
      <c r="BK23" s="122" t="s">
        <v>125</v>
      </c>
      <c r="BL23" s="122" t="s">
        <v>126</v>
      </c>
      <c r="BM23" s="137"/>
      <c r="BN23" s="96"/>
      <c r="BO23" s="74"/>
      <c r="BP23" s="74"/>
      <c r="BQ23" s="122" t="s">
        <v>125</v>
      </c>
      <c r="BR23" s="122" t="s">
        <v>126</v>
      </c>
    </row>
    <row r="24" spans="1:79">
      <c r="A24" s="26" t="s">
        <v>158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144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152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44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31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45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46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47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48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34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49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128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129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130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76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132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145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136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133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104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137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138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140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148</v>
      </c>
      <c r="G50" s="83" t="s">
        <v>131</v>
      </c>
      <c r="H50" s="83" t="s">
        <v>124</v>
      </c>
      <c r="I50" s="84" t="s">
        <v>125</v>
      </c>
      <c r="J50" s="83" t="s">
        <v>127</v>
      </c>
      <c r="L50" s="83" t="s">
        <v>9</v>
      </c>
      <c r="M50" s="83" t="s">
        <v>131</v>
      </c>
      <c r="N50" s="83" t="s">
        <v>41</v>
      </c>
      <c r="O50" s="83" t="s">
        <v>125</v>
      </c>
      <c r="P50" s="101"/>
      <c r="Q50" s="83" t="s">
        <v>9</v>
      </c>
      <c r="R50" s="83" t="s">
        <v>131</v>
      </c>
      <c r="S50" s="83" t="s">
        <v>41</v>
      </c>
      <c r="T50" s="83" t="s">
        <v>125</v>
      </c>
      <c r="V50" s="83" t="s">
        <v>9</v>
      </c>
      <c r="W50" s="83" t="s">
        <v>131</v>
      </c>
      <c r="X50" s="83" t="s">
        <v>139</v>
      </c>
      <c r="Y50" s="83" t="s">
        <v>125</v>
      </c>
      <c r="AA50" s="83" t="s">
        <v>9</v>
      </c>
      <c r="AB50" s="83" t="s">
        <v>131</v>
      </c>
      <c r="AC50" s="83" t="s">
        <v>139</v>
      </c>
      <c r="AD50" s="83" t="s">
        <v>125</v>
      </c>
      <c r="AG50" s="83" t="s">
        <v>9</v>
      </c>
      <c r="AH50" s="83" t="s">
        <v>131</v>
      </c>
      <c r="AI50" s="83" t="s">
        <v>139</v>
      </c>
      <c r="AJ50" s="83" t="s">
        <v>125</v>
      </c>
      <c r="AL50" s="83" t="s">
        <v>9</v>
      </c>
      <c r="AM50" s="83" t="s">
        <v>131</v>
      </c>
      <c r="AN50" s="83" t="s">
        <v>139</v>
      </c>
      <c r="AO50" s="83" t="s">
        <v>125</v>
      </c>
      <c r="AQ50" s="83" t="s">
        <v>9</v>
      </c>
      <c r="AR50" s="83" t="s">
        <v>131</v>
      </c>
      <c r="AS50" s="83" t="s">
        <v>139</v>
      </c>
      <c r="AT50" s="83" t="s">
        <v>125</v>
      </c>
      <c r="AW50" s="83" t="s">
        <v>9</v>
      </c>
      <c r="AX50" s="83" t="s">
        <v>131</v>
      </c>
      <c r="AY50" s="83" t="s">
        <v>124</v>
      </c>
      <c r="AZ50" s="83" t="s">
        <v>125</v>
      </c>
      <c r="BA50" s="101"/>
      <c r="BB50" s="83" t="s">
        <v>9</v>
      </c>
      <c r="BC50" s="83" t="s">
        <v>131</v>
      </c>
      <c r="BD50" s="83" t="s">
        <v>124</v>
      </c>
      <c r="BE50" s="83" t="s">
        <v>125</v>
      </c>
      <c r="BF50" s="101"/>
      <c r="BH50" s="83" t="s">
        <v>9</v>
      </c>
      <c r="BI50" s="83" t="s">
        <v>131</v>
      </c>
      <c r="BJ50" s="83" t="s">
        <v>124</v>
      </c>
      <c r="BK50" s="83" t="s">
        <v>125</v>
      </c>
      <c r="BN50" s="83" t="s">
        <v>9</v>
      </c>
      <c r="BO50" s="83" t="s">
        <v>131</v>
      </c>
      <c r="BP50" s="83" t="s">
        <v>124</v>
      </c>
      <c r="BQ50" s="83" t="s">
        <v>125</v>
      </c>
    </row>
    <row r="51" spans="1:69" ht="14.25" customHeight="1">
      <c r="A51" t="s">
        <v>112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0</v>
      </c>
      <c r="AR51" s="74">
        <v>968779</v>
      </c>
      <c r="AS51" s="10">
        <f>AQ51-AR51</f>
        <v>-968779</v>
      </c>
      <c r="AT51" s="10">
        <f t="shared" ref="AT51:AT59" si="52">AS51*0.6583</f>
        <v>-637747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113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0</v>
      </c>
      <c r="AR52" s="74">
        <v>1351971</v>
      </c>
      <c r="AS52" s="10">
        <f t="shared" ref="AS52:AS61" si="66">AQ52-AR52</f>
        <v>-1351971</v>
      </c>
      <c r="AT52" s="10">
        <f t="shared" si="52"/>
        <v>-890003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117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0</v>
      </c>
      <c r="AR53" s="74">
        <v>21500</v>
      </c>
      <c r="AS53" s="10">
        <f t="shared" si="66"/>
        <v>-21500</v>
      </c>
      <c r="AT53" s="10">
        <f t="shared" si="52"/>
        <v>-14153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114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120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0</v>
      </c>
      <c r="AR55" s="74">
        <v>54496</v>
      </c>
      <c r="AS55" s="10">
        <f t="shared" si="66"/>
        <v>-54496</v>
      </c>
      <c r="AT55" s="10">
        <f t="shared" si="52"/>
        <v>-35875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115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0</v>
      </c>
      <c r="AR56" s="74">
        <v>104090</v>
      </c>
      <c r="AS56" s="10">
        <f t="shared" si="66"/>
        <v>-104090</v>
      </c>
      <c r="AT56" s="10">
        <f t="shared" si="52"/>
        <v>-68522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123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0</v>
      </c>
      <c r="AR57" s="74">
        <v>107456</v>
      </c>
      <c r="AS57" s="10">
        <f t="shared" si="66"/>
        <v>-107456</v>
      </c>
      <c r="AT57" s="10">
        <f t="shared" si="52"/>
        <v>-70738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146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0</v>
      </c>
      <c r="AR58" s="74">
        <v>14925</v>
      </c>
      <c r="AS58" s="10">
        <f t="shared" si="66"/>
        <v>-14925</v>
      </c>
      <c r="AT58" s="10">
        <f t="shared" si="52"/>
        <v>-9825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116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149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151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0</v>
      </c>
      <c r="AR61" s="74">
        <v>44300</v>
      </c>
      <c r="AS61" s="10">
        <f t="shared" si="66"/>
        <v>-44300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130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0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136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0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165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150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135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159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159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153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164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0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163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16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17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18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154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0</v>
      </c>
      <c r="AR73" s="74">
        <v>338463</v>
      </c>
      <c r="AS73" s="10">
        <f>AQ73-AR73</f>
        <v>-338463</v>
      </c>
      <c r="AT73" s="10"/>
      <c r="AU73" s="10">
        <f>AS73*0.6583</f>
        <v>-222810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133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147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166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157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26" t="s">
        <v>191</v>
      </c>
    </row>
    <row r="7" spans="2:4">
      <c r="C7" s="26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26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59" t="s">
        <v>201</v>
      </c>
    </row>
    <row r="13" spans="2:4">
      <c r="B13">
        <v>4</v>
      </c>
      <c r="C13" s="26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26" t="s">
        <v>200</v>
      </c>
    </row>
    <row r="18" spans="2:3">
      <c r="B18">
        <v>2</v>
      </c>
      <c r="C18" s="26" t="s">
        <v>192</v>
      </c>
    </row>
    <row r="19" spans="2:3">
      <c r="B19">
        <v>3</v>
      </c>
      <c r="C19" s="26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26" t="s">
        <v>202</v>
      </c>
    </row>
    <row r="25" spans="2:3">
      <c r="B25" s="26"/>
    </row>
    <row r="26" spans="2:3">
      <c r="B26" s="26" t="s">
        <v>213</v>
      </c>
    </row>
    <row r="27" spans="2:3">
      <c r="B27">
        <v>1</v>
      </c>
      <c r="C27" s="26" t="s">
        <v>273</v>
      </c>
    </row>
    <row r="28" spans="2:3">
      <c r="B28">
        <v>2</v>
      </c>
      <c r="C28" s="159" t="s">
        <v>216</v>
      </c>
    </row>
    <row r="29" spans="2:3">
      <c r="B29">
        <v>3</v>
      </c>
      <c r="C29" s="159" t="s">
        <v>203</v>
      </c>
    </row>
    <row r="30" spans="2:3">
      <c r="B30">
        <v>4</v>
      </c>
      <c r="C30" s="26" t="s">
        <v>204</v>
      </c>
    </row>
    <row r="31" spans="2:3">
      <c r="B31">
        <v>5</v>
      </c>
      <c r="C31" s="26" t="s">
        <v>100</v>
      </c>
    </row>
    <row r="33" spans="2:3">
      <c r="B33" s="26" t="s">
        <v>205</v>
      </c>
    </row>
    <row r="34" spans="2:3">
      <c r="B34">
        <v>1</v>
      </c>
      <c r="C34" s="26" t="s">
        <v>206</v>
      </c>
    </row>
    <row r="35" spans="2:3">
      <c r="C35" s="26" t="s">
        <v>207</v>
      </c>
    </row>
    <row r="36" spans="2:3">
      <c r="B36">
        <v>2</v>
      </c>
      <c r="C36" s="26" t="s">
        <v>208</v>
      </c>
    </row>
    <row r="37" spans="2:3">
      <c r="C37" s="26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3"/>
  <sheetViews>
    <sheetView topLeftCell="A49" workbookViewId="0">
      <selection sqref="A1:M1"/>
    </sheetView>
  </sheetViews>
  <sheetFormatPr defaultRowHeight="12.75"/>
  <cols>
    <col min="1" max="1" width="4.42578125" customWidth="1"/>
    <col min="2" max="3" width="2.85546875" customWidth="1"/>
    <col min="4" max="4" width="3" customWidth="1"/>
  </cols>
  <sheetData>
    <row r="1" spans="1:13">
      <c r="A1" s="492" t="s">
        <v>227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2" spans="1:13" ht="20.25">
      <c r="A2" s="493" t="s">
        <v>286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4" spans="1:13" s="210" customFormat="1" ht="21" customHeight="1">
      <c r="A4" s="209" t="s">
        <v>329</v>
      </c>
    </row>
    <row r="5" spans="1:13">
      <c r="A5" s="2">
        <v>1</v>
      </c>
      <c r="B5" s="2" t="s">
        <v>287</v>
      </c>
      <c r="C5" s="2"/>
      <c r="D5" s="2"/>
      <c r="E5" s="2"/>
    </row>
    <row r="6" spans="1:13">
      <c r="A6" s="2"/>
      <c r="B6" s="2"/>
      <c r="C6" s="2"/>
      <c r="D6" s="2"/>
      <c r="E6" s="2"/>
    </row>
    <row r="7" spans="1:13">
      <c r="A7" s="2">
        <v>2</v>
      </c>
      <c r="B7" s="2" t="s">
        <v>288</v>
      </c>
      <c r="C7" s="2"/>
      <c r="D7" s="2"/>
      <c r="E7" s="2"/>
    </row>
    <row r="9" spans="1:13" s="210" customFormat="1" ht="21" customHeight="1">
      <c r="A9" s="209" t="s">
        <v>289</v>
      </c>
    </row>
    <row r="11" spans="1:13">
      <c r="A11" s="2">
        <v>3</v>
      </c>
      <c r="B11" s="2" t="s">
        <v>290</v>
      </c>
      <c r="C11" s="2"/>
      <c r="D11" s="2"/>
      <c r="E11" s="2"/>
      <c r="F11" s="2"/>
      <c r="G11" s="2"/>
    </row>
    <row r="13" spans="1:13">
      <c r="A13" s="2">
        <v>4</v>
      </c>
      <c r="B13" s="2" t="s">
        <v>291</v>
      </c>
      <c r="C13" s="2"/>
      <c r="D13" s="2"/>
      <c r="E13" s="2"/>
      <c r="F13" s="2"/>
    </row>
    <row r="14" spans="1:13">
      <c r="C14" s="26" t="s">
        <v>292</v>
      </c>
    </row>
    <row r="15" spans="1:13">
      <c r="C15" s="26" t="s">
        <v>293</v>
      </c>
    </row>
    <row r="16" spans="1:13">
      <c r="D16" s="26" t="s">
        <v>294</v>
      </c>
    </row>
    <row r="17" spans="1:5">
      <c r="D17" s="26" t="s">
        <v>351</v>
      </c>
    </row>
    <row r="18" spans="1:5">
      <c r="D18" s="26" t="s">
        <v>298</v>
      </c>
    </row>
    <row r="20" spans="1:5">
      <c r="C20" s="26" t="s">
        <v>332</v>
      </c>
    </row>
    <row r="21" spans="1:5">
      <c r="C21" s="26"/>
      <c r="D21" t="s">
        <v>334</v>
      </c>
    </row>
    <row r="22" spans="1:5">
      <c r="D22" s="26" t="s">
        <v>295</v>
      </c>
    </row>
    <row r="24" spans="1:5">
      <c r="A24" s="2">
        <v>5</v>
      </c>
      <c r="B24" s="2" t="s">
        <v>296</v>
      </c>
      <c r="C24" s="2"/>
      <c r="D24" s="2"/>
      <c r="E24" s="2"/>
    </row>
    <row r="25" spans="1:5">
      <c r="C25" s="26" t="s">
        <v>297</v>
      </c>
    </row>
    <row r="26" spans="1:5">
      <c r="C26" s="26" t="s">
        <v>299</v>
      </c>
    </row>
    <row r="27" spans="1:5">
      <c r="C27" s="26"/>
      <c r="D27" s="26" t="s">
        <v>331</v>
      </c>
    </row>
    <row r="28" spans="1:5">
      <c r="C28" s="26"/>
    </row>
    <row r="29" spans="1:5">
      <c r="D29" s="26" t="s">
        <v>300</v>
      </c>
    </row>
    <row r="30" spans="1:5">
      <c r="E30" s="26" t="s">
        <v>302</v>
      </c>
    </row>
    <row r="32" spans="1:5">
      <c r="A32" s="2">
        <v>6</v>
      </c>
      <c r="B32" s="2" t="s">
        <v>303</v>
      </c>
      <c r="C32" s="2"/>
      <c r="D32" s="2"/>
      <c r="E32" s="2"/>
    </row>
    <row r="33" spans="1:6">
      <c r="C33" s="26" t="s">
        <v>304</v>
      </c>
    </row>
    <row r="34" spans="1:6">
      <c r="D34" s="26" t="s">
        <v>301</v>
      </c>
    </row>
    <row r="36" spans="1:6">
      <c r="C36" s="26" t="s">
        <v>305</v>
      </c>
    </row>
    <row r="37" spans="1:6">
      <c r="D37" s="26" t="s">
        <v>306</v>
      </c>
    </row>
    <row r="39" spans="1:6">
      <c r="A39" s="2">
        <v>7</v>
      </c>
      <c r="B39" s="2" t="s">
        <v>307</v>
      </c>
      <c r="C39" s="2"/>
      <c r="D39" s="2"/>
      <c r="E39" s="2"/>
    </row>
    <row r="40" spans="1:6">
      <c r="C40" s="26" t="s">
        <v>333</v>
      </c>
    </row>
    <row r="42" spans="1:6">
      <c r="A42" s="2">
        <v>9</v>
      </c>
      <c r="B42" s="2" t="s">
        <v>308</v>
      </c>
      <c r="C42" s="2"/>
      <c r="D42" s="2"/>
      <c r="E42" s="2"/>
      <c r="F42" s="2"/>
    </row>
    <row r="43" spans="1:6">
      <c r="C43" s="26" t="s">
        <v>309</v>
      </c>
    </row>
    <row r="45" spans="1:6" s="210" customFormat="1" ht="21" customHeight="1">
      <c r="A45" s="209" t="s">
        <v>310</v>
      </c>
    </row>
    <row r="47" spans="1:6">
      <c r="A47" s="2">
        <v>10</v>
      </c>
      <c r="B47" s="2" t="s">
        <v>290</v>
      </c>
    </row>
    <row r="49" spans="1:8">
      <c r="A49" s="2">
        <v>11</v>
      </c>
      <c r="B49" s="2" t="s">
        <v>311</v>
      </c>
    </row>
    <row r="51" spans="1:8" s="210" customFormat="1" ht="21" customHeight="1">
      <c r="A51" s="209" t="s">
        <v>312</v>
      </c>
    </row>
    <row r="53" spans="1:8">
      <c r="A53" s="2">
        <v>12</v>
      </c>
      <c r="B53" s="2" t="s">
        <v>321</v>
      </c>
      <c r="C53" s="2"/>
      <c r="D53" s="2"/>
      <c r="E53" s="2"/>
    </row>
    <row r="54" spans="1:8">
      <c r="A54" s="2"/>
      <c r="C54" s="26" t="s">
        <v>320</v>
      </c>
      <c r="D54" s="2"/>
      <c r="E54" s="2"/>
    </row>
    <row r="56" spans="1:8">
      <c r="A56" s="2">
        <v>13</v>
      </c>
      <c r="B56" s="2" t="s">
        <v>313</v>
      </c>
      <c r="C56" s="2"/>
      <c r="D56" s="2"/>
      <c r="E56" s="2"/>
    </row>
    <row r="57" spans="1:8">
      <c r="A57" s="2"/>
      <c r="B57" s="2"/>
      <c r="C57" s="26" t="s">
        <v>314</v>
      </c>
      <c r="D57" s="26"/>
      <c r="E57" s="26"/>
      <c r="F57" s="26"/>
      <c r="G57" s="26"/>
      <c r="H57" s="26"/>
    </row>
    <row r="58" spans="1:8">
      <c r="A58" s="2"/>
      <c r="B58" s="2"/>
      <c r="C58" s="26" t="s">
        <v>315</v>
      </c>
      <c r="D58" s="26"/>
      <c r="E58" s="26"/>
      <c r="F58" s="26"/>
      <c r="G58" s="26"/>
      <c r="H58" s="26"/>
    </row>
    <row r="60" spans="1:8" s="210" customFormat="1" ht="21" customHeight="1">
      <c r="A60" s="209" t="s">
        <v>316</v>
      </c>
    </row>
    <row r="62" spans="1:8">
      <c r="A62" s="2">
        <v>14</v>
      </c>
      <c r="B62" s="2" t="s">
        <v>317</v>
      </c>
    </row>
    <row r="63" spans="1:8">
      <c r="B63" s="26" t="s">
        <v>318</v>
      </c>
    </row>
    <row r="65" spans="1:6">
      <c r="A65" s="2">
        <v>15</v>
      </c>
      <c r="B65" s="2" t="s">
        <v>319</v>
      </c>
    </row>
    <row r="66" spans="1:6">
      <c r="C66" t="s">
        <v>320</v>
      </c>
    </row>
    <row r="68" spans="1:6">
      <c r="A68" s="2">
        <v>16</v>
      </c>
      <c r="B68" s="2" t="s">
        <v>322</v>
      </c>
      <c r="C68" s="2"/>
      <c r="D68" s="2"/>
    </row>
    <row r="69" spans="1:6">
      <c r="A69" s="2"/>
      <c r="B69" s="2"/>
      <c r="C69" s="26" t="s">
        <v>314</v>
      </c>
      <c r="D69" s="26"/>
    </row>
    <row r="70" spans="1:6">
      <c r="A70" s="2"/>
      <c r="B70" s="2"/>
      <c r="C70" s="26" t="s">
        <v>323</v>
      </c>
      <c r="D70" s="26"/>
    </row>
    <row r="72" spans="1:6">
      <c r="A72" s="2">
        <v>17</v>
      </c>
      <c r="B72" s="2" t="s">
        <v>324</v>
      </c>
    </row>
    <row r="73" spans="1:6">
      <c r="C73" s="26" t="s">
        <v>325</v>
      </c>
    </row>
    <row r="75" spans="1:6">
      <c r="A75" s="2">
        <v>18</v>
      </c>
      <c r="B75" s="2" t="s">
        <v>326</v>
      </c>
      <c r="C75" s="2"/>
    </row>
    <row r="76" spans="1:6">
      <c r="C76" s="26" t="s">
        <v>314</v>
      </c>
      <c r="D76" s="26"/>
      <c r="E76" s="26"/>
      <c r="F76" s="26"/>
    </row>
    <row r="77" spans="1:6">
      <c r="C77" s="26" t="s">
        <v>315</v>
      </c>
      <c r="D77" s="26"/>
      <c r="E77" s="26"/>
      <c r="F77" s="26"/>
    </row>
    <row r="79" spans="1:6" s="210" customFormat="1" ht="21" customHeight="1">
      <c r="A79" s="209" t="s">
        <v>327</v>
      </c>
    </row>
    <row r="81" spans="1:3">
      <c r="A81" s="2">
        <v>19</v>
      </c>
      <c r="B81" s="2" t="s">
        <v>330</v>
      </c>
      <c r="C81" s="2"/>
    </row>
    <row r="82" spans="1:3">
      <c r="A82" s="2"/>
      <c r="B82" s="2"/>
      <c r="C82" s="2"/>
    </row>
    <row r="83" spans="1:3">
      <c r="A83" s="2">
        <v>20</v>
      </c>
      <c r="B83" s="2" t="s">
        <v>328</v>
      </c>
      <c r="C83" s="2"/>
    </row>
  </sheetData>
  <mergeCells count="2">
    <mergeCell ref="A1:M1"/>
    <mergeCell ref="A2:M2"/>
  </mergeCells>
  <pageMargins left="0.7" right="0.7" top="0.75" bottom="0.75" header="0.3" footer="0.3"/>
  <pageSetup orientation="portrait" r:id="rId1"/>
  <headerFooter>
    <oddFooter>&amp;L&amp;Z&amp;F&amp;R&amp;P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37" workbookViewId="0">
      <selection activeCell="E81" sqref="E8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283" t="s">
        <v>448</v>
      </c>
      <c r="P1" s="71"/>
      <c r="Q1" s="252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</row>
    <row r="3" spans="1:17">
      <c r="A3" s="2" t="s">
        <v>455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7">
      <c r="B4" s="285" t="s">
        <v>14</v>
      </c>
      <c r="C4" s="291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7">
      <c r="A5" s="144">
        <f>'WA Summary '!A15</f>
        <v>9</v>
      </c>
      <c r="B5" s="51" t="s">
        <v>3</v>
      </c>
      <c r="C5" s="306">
        <v>12127251.189999999</v>
      </c>
      <c r="D5" s="307">
        <v>11591984.93</v>
      </c>
      <c r="E5" s="307">
        <v>10660400.51</v>
      </c>
      <c r="F5" s="307">
        <v>10031882.140000001</v>
      </c>
      <c r="G5" s="307">
        <v>8675133.1099999994</v>
      </c>
      <c r="H5" s="307">
        <v>8326699.9100000001</v>
      </c>
      <c r="I5" s="307">
        <v>8166121.4400000004</v>
      </c>
      <c r="J5" s="307">
        <v>9056300.5700000003</v>
      </c>
      <c r="K5" s="307">
        <v>7883688.54</v>
      </c>
      <c r="L5" s="307">
        <v>8186792.5999999996</v>
      </c>
      <c r="M5" s="307">
        <v>11995843.1</v>
      </c>
      <c r="N5" s="307">
        <v>12493230.02</v>
      </c>
    </row>
    <row r="6" spans="1:17">
      <c r="A6" s="144">
        <f>'WA Summary '!A16</f>
        <v>10</v>
      </c>
      <c r="B6" s="51" t="s">
        <v>6</v>
      </c>
      <c r="C6" s="306">
        <v>-7154528.2800000003</v>
      </c>
      <c r="D6" s="307">
        <v>-6331582.5999999996</v>
      </c>
      <c r="E6" s="307">
        <v>-7373144.1100000003</v>
      </c>
      <c r="F6" s="307">
        <v>-9451450.3200000003</v>
      </c>
      <c r="G6" s="307">
        <v>-8788449.2100000009</v>
      </c>
      <c r="H6" s="307">
        <v>-8347825.7000000002</v>
      </c>
      <c r="I6" s="307">
        <v>-7766255.4299999997</v>
      </c>
      <c r="J6" s="307">
        <v>-5454043.5499999998</v>
      </c>
      <c r="K6" s="307">
        <v>-6343594.2599999998</v>
      </c>
      <c r="L6" s="307">
        <v>-6461587.3600000003</v>
      </c>
      <c r="M6" s="307">
        <v>-7582420.3300000001</v>
      </c>
      <c r="N6" s="307">
        <v>-7533482.46</v>
      </c>
    </row>
    <row r="7" spans="1:17">
      <c r="A7" s="144">
        <f>'WA Summary '!A17</f>
        <v>11</v>
      </c>
      <c r="B7" s="51" t="s">
        <v>4</v>
      </c>
      <c r="C7" s="306">
        <v>2667343.1</v>
      </c>
      <c r="D7" s="307">
        <v>2503516.62</v>
      </c>
      <c r="E7" s="307">
        <v>2494287.48</v>
      </c>
      <c r="F7" s="307">
        <v>2179004.29</v>
      </c>
      <c r="G7" s="307">
        <v>1851577.98</v>
      </c>
      <c r="H7" s="307">
        <v>1612579.66</v>
      </c>
      <c r="I7" s="307">
        <v>2427227.23</v>
      </c>
      <c r="J7" s="307">
        <v>2652597.65</v>
      </c>
      <c r="K7" s="307">
        <v>2644728.2400000002</v>
      </c>
      <c r="L7" s="307">
        <v>2706849.7</v>
      </c>
      <c r="M7" s="307">
        <v>2628469.88</v>
      </c>
      <c r="N7" s="307">
        <v>2755226.87</v>
      </c>
    </row>
    <row r="8" spans="1:17">
      <c r="A8" s="144">
        <f>'WA Summary '!A18</f>
        <v>12</v>
      </c>
      <c r="B8" s="51" t="s">
        <v>5</v>
      </c>
      <c r="C8" s="306">
        <v>8481667.5999999996</v>
      </c>
      <c r="D8" s="307">
        <v>7698691.8099999996</v>
      </c>
      <c r="E8" s="307">
        <v>7292619.1900000004</v>
      </c>
      <c r="F8" s="307">
        <v>5265751.1399999997</v>
      </c>
      <c r="G8" s="307">
        <v>2664694.0699999998</v>
      </c>
      <c r="H8" s="307">
        <v>2712482.18</v>
      </c>
      <c r="I8" s="307">
        <v>5239794.5999999996</v>
      </c>
      <c r="J8" s="307">
        <v>6788998.0199999996</v>
      </c>
      <c r="K8" s="307">
        <v>6983767.8700000001</v>
      </c>
      <c r="L8" s="307">
        <v>7442559.5700000003</v>
      </c>
      <c r="M8" s="307">
        <v>7920542.04</v>
      </c>
      <c r="N8" s="307">
        <v>8801866.8300000001</v>
      </c>
    </row>
    <row r="9" spans="1:17">
      <c r="A9" s="144">
        <f>'WA Summary '!A19</f>
        <v>13</v>
      </c>
      <c r="B9" s="51" t="s">
        <v>143</v>
      </c>
      <c r="C9" s="306">
        <v>-1306341.6000000001</v>
      </c>
      <c r="D9" s="307">
        <v>-1061936.3799999999</v>
      </c>
      <c r="E9" s="307">
        <v>-1137644.24</v>
      </c>
      <c r="F9" s="307">
        <v>-1166933.42</v>
      </c>
      <c r="G9" s="307">
        <v>-1506921.35</v>
      </c>
      <c r="H9" s="307">
        <v>-1586833.18</v>
      </c>
      <c r="I9" s="307">
        <v>-1599619.83</v>
      </c>
      <c r="J9" s="307">
        <v>-1447882.62</v>
      </c>
      <c r="K9" s="307">
        <v>-1304803.94</v>
      </c>
      <c r="L9" s="307">
        <v>-1285929.4099999999</v>
      </c>
      <c r="M9" s="307">
        <v>-1197857.8400000001</v>
      </c>
      <c r="N9" s="307">
        <v>-1199570.9099999999</v>
      </c>
    </row>
    <row r="10" spans="1:17">
      <c r="A10" s="144">
        <f>'WA Summary '!A20</f>
        <v>14</v>
      </c>
      <c r="B10" s="51" t="s">
        <v>109</v>
      </c>
      <c r="C10" s="306">
        <v>1503378.97</v>
      </c>
      <c r="D10" s="307">
        <v>1417561.5</v>
      </c>
      <c r="E10" s="307">
        <v>1557827.18</v>
      </c>
      <c r="F10" s="307">
        <v>1347286.17</v>
      </c>
      <c r="G10" s="307">
        <v>1410951.39</v>
      </c>
      <c r="H10" s="307">
        <v>1401573.82</v>
      </c>
      <c r="I10" s="307">
        <v>1411205.76</v>
      </c>
      <c r="J10" s="307">
        <v>1443939.2</v>
      </c>
      <c r="K10" s="307">
        <v>1441120.97</v>
      </c>
      <c r="L10" s="307">
        <v>1400225.97</v>
      </c>
      <c r="M10" s="307">
        <v>1464405.95</v>
      </c>
      <c r="N10" s="307">
        <v>1437755.47</v>
      </c>
    </row>
    <row r="11" spans="1:17">
      <c r="A11" s="144">
        <f>'WA Summary '!A21</f>
        <v>15</v>
      </c>
      <c r="B11" s="51" t="s">
        <v>110</v>
      </c>
      <c r="C11" s="306">
        <v>57500</v>
      </c>
      <c r="D11" s="307">
        <v>57500</v>
      </c>
      <c r="E11" s="307">
        <v>57500</v>
      </c>
      <c r="F11" s="307">
        <v>57500</v>
      </c>
      <c r="G11" s="307">
        <v>57500</v>
      </c>
      <c r="H11" s="307">
        <v>57500</v>
      </c>
      <c r="I11" s="307">
        <v>57500</v>
      </c>
      <c r="J11" s="307">
        <v>57500</v>
      </c>
      <c r="K11" s="307">
        <v>57500</v>
      </c>
      <c r="L11" s="307">
        <v>57500</v>
      </c>
      <c r="M11" s="307">
        <v>57500</v>
      </c>
      <c r="N11" s="307">
        <v>57500</v>
      </c>
    </row>
    <row r="12" spans="1:17">
      <c r="A12" s="1">
        <f>'WA Summary '!A22</f>
        <v>16</v>
      </c>
      <c r="B12" s="26" t="s">
        <v>465</v>
      </c>
      <c r="C12" s="307">
        <v>-125000</v>
      </c>
      <c r="D12" s="307">
        <v>-125000</v>
      </c>
      <c r="E12" s="307">
        <v>-125000</v>
      </c>
      <c r="F12" s="307">
        <v>-125000</v>
      </c>
      <c r="G12" s="307">
        <v>-125000</v>
      </c>
      <c r="H12" s="307">
        <v>-125000</v>
      </c>
      <c r="I12" s="307">
        <v>-125000</v>
      </c>
      <c r="J12" s="307">
        <v>-125000</v>
      </c>
      <c r="K12" s="307">
        <v>-125000</v>
      </c>
      <c r="L12" s="307">
        <v>-125000</v>
      </c>
      <c r="M12" s="307">
        <v>-125000</v>
      </c>
      <c r="N12" s="307">
        <v>-125000</v>
      </c>
      <c r="O12" s="26" t="s">
        <v>468</v>
      </c>
    </row>
    <row r="13" spans="1:17">
      <c r="A13" s="1">
        <f>'WA Summary '!A27</f>
        <v>21</v>
      </c>
      <c r="B13" s="51" t="s">
        <v>225</v>
      </c>
      <c r="C13" s="302">
        <v>0.64710000000000001</v>
      </c>
      <c r="D13" s="302">
        <v>0.64710000000000001</v>
      </c>
      <c r="E13" s="302">
        <v>0.64710000000000001</v>
      </c>
      <c r="F13" s="302">
        <v>0.64710000000000001</v>
      </c>
      <c r="G13" s="302">
        <v>0.64710000000000001</v>
      </c>
      <c r="H13" s="302">
        <v>0.64710000000000001</v>
      </c>
      <c r="I13" s="302">
        <v>0.64710000000000001</v>
      </c>
      <c r="J13" s="302">
        <v>0.64710000000000001</v>
      </c>
      <c r="K13" s="302">
        <v>0.64710000000000001</v>
      </c>
      <c r="L13" s="302">
        <v>0.64710000000000001</v>
      </c>
      <c r="M13" s="302">
        <v>0.64710000000000001</v>
      </c>
      <c r="N13" s="302">
        <v>0.64710000000000001</v>
      </c>
    </row>
    <row r="14" spans="1:17"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</row>
    <row r="16" spans="1:17"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</row>
    <row r="17" spans="1:16">
      <c r="A17" s="2" t="s">
        <v>447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</row>
    <row r="18" spans="1:16">
      <c r="B18" s="140" t="s">
        <v>15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</row>
    <row r="19" spans="1:16">
      <c r="A19" s="1">
        <f>'WA Monthly'!A8</f>
        <v>2</v>
      </c>
      <c r="B19" s="51" t="s">
        <v>277</v>
      </c>
      <c r="C19" s="289">
        <f>1216938-490204.75</f>
        <v>726733.25</v>
      </c>
      <c r="D19" s="289">
        <v>1216938</v>
      </c>
      <c r="E19" s="289">
        <v>1216938</v>
      </c>
      <c r="F19" s="289"/>
      <c r="G19" s="289"/>
      <c r="H19" s="289"/>
      <c r="I19" s="289"/>
      <c r="J19" s="289"/>
      <c r="K19" s="289"/>
      <c r="L19" s="289"/>
      <c r="M19" s="289"/>
      <c r="N19" s="289"/>
    </row>
    <row r="20" spans="1:16">
      <c r="A20" s="1">
        <f>'WA Monthly'!A9</f>
        <v>3</v>
      </c>
      <c r="B20" s="51" t="s">
        <v>278</v>
      </c>
      <c r="C20" s="289">
        <v>67916.61</v>
      </c>
      <c r="D20" s="289">
        <v>81240.899999999994</v>
      </c>
      <c r="E20" s="289">
        <v>93497.61</v>
      </c>
      <c r="F20" s="289"/>
      <c r="G20" s="289"/>
      <c r="H20" s="289"/>
      <c r="I20" s="289"/>
      <c r="J20" s="289"/>
      <c r="K20" s="289"/>
      <c r="L20" s="289"/>
      <c r="M20" s="289"/>
      <c r="N20" s="289"/>
    </row>
    <row r="21" spans="1:16">
      <c r="A21" s="1">
        <f>'WA Monthly'!A10</f>
        <v>4</v>
      </c>
      <c r="B21" s="51" t="s">
        <v>281</v>
      </c>
      <c r="C21" s="289">
        <v>153740</v>
      </c>
      <c r="D21" s="289">
        <v>153740</v>
      </c>
      <c r="E21" s="289">
        <v>153740</v>
      </c>
      <c r="F21" s="289"/>
      <c r="G21" s="289"/>
      <c r="H21" s="289"/>
      <c r="I21" s="289"/>
      <c r="J21" s="289"/>
      <c r="K21" s="289"/>
      <c r="L21" s="289"/>
      <c r="M21" s="289"/>
      <c r="N21" s="289"/>
    </row>
    <row r="22" spans="1:16">
      <c r="A22" s="1">
        <f>'WA Monthly'!A11</f>
        <v>5</v>
      </c>
      <c r="B22" s="51" t="s">
        <v>279</v>
      </c>
      <c r="C22" s="289">
        <v>618453.74</v>
      </c>
      <c r="D22" s="289">
        <v>618453.74</v>
      </c>
      <c r="E22" s="289">
        <v>618453.74</v>
      </c>
      <c r="F22" s="289"/>
      <c r="G22" s="289"/>
      <c r="H22" s="289"/>
      <c r="I22" s="289"/>
      <c r="J22" s="289"/>
      <c r="K22" s="289"/>
      <c r="L22" s="289"/>
      <c r="M22" s="289"/>
      <c r="N22" s="289"/>
    </row>
    <row r="23" spans="1:16" ht="14.25">
      <c r="A23" s="1">
        <f>'WA Monthly'!A12</f>
        <v>6</v>
      </c>
      <c r="B23" s="26" t="s">
        <v>280</v>
      </c>
      <c r="C23" s="289">
        <v>3744666.75</v>
      </c>
      <c r="D23" s="289">
        <v>3383687</v>
      </c>
      <c r="E23" s="289">
        <v>1848736.5</v>
      </c>
      <c r="F23" s="289"/>
      <c r="G23" s="292"/>
      <c r="H23" s="292"/>
      <c r="I23" s="292"/>
      <c r="J23" s="292"/>
      <c r="K23" s="292"/>
      <c r="L23" s="292"/>
      <c r="M23" s="289"/>
      <c r="N23" s="289"/>
    </row>
    <row r="24" spans="1:16">
      <c r="A24" s="1">
        <f>'WA Monthly'!A13</f>
        <v>7</v>
      </c>
      <c r="B24" t="s">
        <v>274</v>
      </c>
      <c r="C24" s="289">
        <v>1067.57</v>
      </c>
      <c r="D24" s="289">
        <v>885.41</v>
      </c>
      <c r="E24" s="289">
        <v>1088.27</v>
      </c>
      <c r="F24" s="289"/>
      <c r="G24" s="289"/>
      <c r="H24" s="289"/>
      <c r="I24" s="289"/>
      <c r="J24" s="289"/>
      <c r="K24" s="289"/>
      <c r="L24" s="289"/>
      <c r="M24" s="289"/>
      <c r="N24" s="289"/>
    </row>
    <row r="25" spans="1:16">
      <c r="A25" s="1">
        <f>'WA Monthly'!A14</f>
        <v>8</v>
      </c>
      <c r="B25" s="2" t="s">
        <v>454</v>
      </c>
      <c r="C25" s="296">
        <f>SUM(C26:C33)</f>
        <v>196326.72</v>
      </c>
      <c r="D25" s="296">
        <f t="shared" ref="D25:N25" si="1">SUM(D26:D33)</f>
        <v>176449.19</v>
      </c>
      <c r="E25" s="296">
        <f t="shared" si="1"/>
        <v>137699.89000000001</v>
      </c>
      <c r="F25" s="296">
        <f t="shared" si="1"/>
        <v>0</v>
      </c>
      <c r="G25" s="296">
        <f t="shared" si="1"/>
        <v>0</v>
      </c>
      <c r="H25" s="296">
        <f t="shared" si="1"/>
        <v>0</v>
      </c>
      <c r="I25" s="296">
        <f t="shared" si="1"/>
        <v>0</v>
      </c>
      <c r="J25" s="296">
        <f t="shared" si="1"/>
        <v>0</v>
      </c>
      <c r="K25" s="296">
        <f t="shared" si="1"/>
        <v>0</v>
      </c>
      <c r="L25" s="296">
        <f t="shared" si="1"/>
        <v>0</v>
      </c>
      <c r="M25" s="296">
        <f t="shared" si="1"/>
        <v>0</v>
      </c>
      <c r="N25" s="296">
        <f t="shared" si="1"/>
        <v>0</v>
      </c>
      <c r="P25" s="143"/>
    </row>
    <row r="26" spans="1:16">
      <c r="A26" s="1"/>
      <c r="B26" s="142" t="s">
        <v>450</v>
      </c>
      <c r="C26" s="289">
        <v>87062.6</v>
      </c>
      <c r="D26" s="289">
        <v>69242.05</v>
      </c>
      <c r="E26" s="289">
        <v>40381.07</v>
      </c>
      <c r="F26" s="289"/>
      <c r="G26" s="289"/>
      <c r="H26" s="289"/>
      <c r="I26" s="289"/>
      <c r="J26" s="289"/>
      <c r="K26" s="289"/>
      <c r="L26" s="289"/>
      <c r="M26" s="289"/>
      <c r="N26" s="289"/>
    </row>
    <row r="27" spans="1:16">
      <c r="A27" s="1"/>
      <c r="B27" s="142" t="s">
        <v>451</v>
      </c>
      <c r="C27" s="289">
        <v>25338.94</v>
      </c>
      <c r="D27" s="289">
        <v>23425.64</v>
      </c>
      <c r="E27" s="289">
        <v>30273.599999999999</v>
      </c>
      <c r="F27" s="289"/>
      <c r="G27" s="289"/>
      <c r="H27" s="289"/>
      <c r="I27" s="289"/>
      <c r="J27" s="289"/>
      <c r="K27" s="289"/>
      <c r="L27" s="289"/>
      <c r="M27" s="289"/>
      <c r="N27" s="289"/>
    </row>
    <row r="28" spans="1:16">
      <c r="A28" s="1"/>
      <c r="B28" s="142" t="s">
        <v>471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/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6">
      <c r="A29" s="1"/>
      <c r="B29" s="142" t="s">
        <v>452</v>
      </c>
      <c r="C29" s="289">
        <v>18784.810000000001</v>
      </c>
      <c r="D29" s="289">
        <v>20311.2</v>
      </c>
      <c r="E29" s="289">
        <v>11733.87</v>
      </c>
      <c r="F29" s="289"/>
      <c r="G29" s="289"/>
      <c r="H29" s="289"/>
      <c r="I29" s="289"/>
      <c r="J29" s="289"/>
      <c r="K29" s="289"/>
      <c r="L29" s="289"/>
      <c r="M29" s="289"/>
      <c r="N29" s="289"/>
    </row>
    <row r="30" spans="1:16">
      <c r="A30" s="1"/>
      <c r="B30" s="311" t="s">
        <v>479</v>
      </c>
      <c r="C30" s="289">
        <v>2282.34</v>
      </c>
      <c r="D30" s="289">
        <v>7907.08</v>
      </c>
      <c r="E30" s="289">
        <v>2888.35</v>
      </c>
      <c r="F30" s="289"/>
      <c r="G30" s="289"/>
      <c r="H30" s="289"/>
      <c r="I30" s="289"/>
      <c r="J30" s="289"/>
      <c r="K30" s="289"/>
      <c r="L30" s="289"/>
      <c r="M30" s="289"/>
      <c r="N30" s="289"/>
    </row>
    <row r="31" spans="1:16">
      <c r="A31" s="1"/>
      <c r="B31" s="311" t="s">
        <v>480</v>
      </c>
      <c r="C31" s="289">
        <v>56380.92</v>
      </c>
      <c r="D31" s="289">
        <v>49329.04</v>
      </c>
      <c r="E31" s="289">
        <v>48233.1</v>
      </c>
      <c r="F31" s="289"/>
      <c r="G31" s="289"/>
      <c r="H31" s="289"/>
      <c r="I31" s="289"/>
      <c r="J31" s="289"/>
      <c r="K31" s="289"/>
      <c r="L31" s="289"/>
      <c r="M31" s="289"/>
      <c r="N31" s="289"/>
    </row>
    <row r="32" spans="1:16">
      <c r="A32" s="1"/>
      <c r="B32" s="142" t="s">
        <v>453</v>
      </c>
      <c r="C32" s="289">
        <v>5160.53</v>
      </c>
      <c r="D32" s="289">
        <v>4274.9799999999996</v>
      </c>
      <c r="E32" s="289">
        <v>2364.63</v>
      </c>
      <c r="F32" s="289"/>
      <c r="G32" s="289"/>
      <c r="H32" s="289"/>
      <c r="I32" s="289"/>
      <c r="J32" s="289"/>
      <c r="K32" s="289"/>
      <c r="L32" s="289"/>
      <c r="M32" s="289"/>
      <c r="N32" s="289"/>
    </row>
    <row r="33" spans="1:14">
      <c r="A33" s="1"/>
      <c r="B33" s="311" t="s">
        <v>481</v>
      </c>
      <c r="C33" s="289">
        <v>1316.58</v>
      </c>
      <c r="D33" s="289">
        <v>1959.2</v>
      </c>
      <c r="E33" s="289">
        <v>1825.27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  <c r="N33" s="289"/>
    </row>
    <row r="34" spans="1:14">
      <c r="A34" s="1">
        <f>'WA Monthly'!A15</f>
        <v>9</v>
      </c>
      <c r="B34" s="138" t="s">
        <v>482</v>
      </c>
      <c r="C34" s="289">
        <v>167411.29999999999</v>
      </c>
      <c r="D34" s="289">
        <v>151142.16</v>
      </c>
      <c r="E34" s="289">
        <v>134752.32000000001</v>
      </c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>
      <c r="A35" s="1">
        <f>'WA Monthly'!A16</f>
        <v>10</v>
      </c>
      <c r="B35" s="26" t="s">
        <v>458</v>
      </c>
      <c r="C35" s="289">
        <v>509116.36</v>
      </c>
      <c r="D35" s="289">
        <v>428289.88</v>
      </c>
      <c r="E35" s="289">
        <v>551749.19999999995</v>
      </c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>
      <c r="A36" s="1">
        <f>'WA Monthly'!A17</f>
        <v>11</v>
      </c>
      <c r="B36" s="138" t="s">
        <v>483</v>
      </c>
      <c r="C36" s="289">
        <v>503269.5</v>
      </c>
      <c r="D36" s="289">
        <v>466387.56</v>
      </c>
      <c r="E36" s="289">
        <v>406267.94</v>
      </c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>
      <c r="A37" s="1">
        <f>'WA Monthly'!A18</f>
        <v>12</v>
      </c>
      <c r="B37" s="138" t="s">
        <v>489</v>
      </c>
      <c r="C37" s="289">
        <v>0</v>
      </c>
      <c r="D37" s="289">
        <v>0</v>
      </c>
      <c r="E37" s="289">
        <f>1411.5+1359.92</f>
        <v>2771.42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</row>
    <row r="38" spans="1:14">
      <c r="A38" s="1">
        <f>'WA Monthly'!A19</f>
        <v>13</v>
      </c>
      <c r="B38" s="52" t="s">
        <v>275</v>
      </c>
      <c r="C38" s="289">
        <f>2311799.36+35.95+15018.17</f>
        <v>2326853.48</v>
      </c>
      <c r="D38" s="289">
        <f>2144634.67-5035.12+6261.75+37010.14</f>
        <v>2182871.44</v>
      </c>
      <c r="E38" s="289">
        <f>2331714.55+99.39+25957.02</f>
        <v>2357770.96</v>
      </c>
      <c r="F38" s="289"/>
      <c r="G38" s="289"/>
      <c r="H38" s="289"/>
      <c r="I38" s="289"/>
      <c r="J38" s="289"/>
      <c r="K38" s="289"/>
      <c r="L38" s="289"/>
      <c r="M38" s="289"/>
      <c r="N38" s="289"/>
    </row>
    <row r="39" spans="1:14">
      <c r="A39" s="1">
        <f>'WA Monthly'!A20</f>
        <v>14</v>
      </c>
      <c r="B39" s="52" t="s">
        <v>357</v>
      </c>
      <c r="C39" s="289">
        <v>2365264</v>
      </c>
      <c r="D39" s="289">
        <v>2240477.6</v>
      </c>
      <c r="E39" s="289">
        <v>2072807.2</v>
      </c>
      <c r="F39" s="289"/>
      <c r="G39" s="289"/>
      <c r="H39" s="289"/>
      <c r="I39" s="289"/>
      <c r="J39" s="289"/>
      <c r="K39" s="289"/>
      <c r="L39" s="289"/>
      <c r="M39" s="289"/>
      <c r="N39" s="289"/>
    </row>
    <row r="40" spans="1:14">
      <c r="A40" s="1"/>
      <c r="B40" s="52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</row>
    <row r="41" spans="1:14">
      <c r="A41" s="1"/>
      <c r="B41" s="288" t="s">
        <v>170</v>
      </c>
      <c r="C41" s="305">
        <f>89265*(45.32-41.95)</f>
        <v>300823.05</v>
      </c>
      <c r="D41" s="305">
        <f>80660*(45.32-41.95)</f>
        <v>271824.2</v>
      </c>
      <c r="E41" s="305">
        <f>44070*(45.32-41.95)</f>
        <v>148515.9</v>
      </c>
      <c r="F41" s="305">
        <f>42682*(45.32-41.95)</f>
        <v>143838.34</v>
      </c>
      <c r="G41" s="293"/>
      <c r="H41" s="293"/>
      <c r="I41" s="293"/>
      <c r="J41" s="293"/>
      <c r="K41" s="293"/>
      <c r="L41" s="293"/>
      <c r="M41" s="305"/>
      <c r="N41" s="305"/>
    </row>
    <row r="42" spans="1:14"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</row>
    <row r="43" spans="1:14">
      <c r="B43" s="258" t="s">
        <v>27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>
      <c r="A44" s="1">
        <f>'WA Monthly'!A41</f>
        <v>19</v>
      </c>
      <c r="B44" s="71" t="s">
        <v>33</v>
      </c>
      <c r="C44" s="289">
        <v>96850.08</v>
      </c>
      <c r="D44" s="289">
        <v>54051.06</v>
      </c>
      <c r="E44" s="289">
        <v>67735.03</v>
      </c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14">
      <c r="A45" s="1">
        <f>'WA Monthly'!A42</f>
        <v>20</v>
      </c>
      <c r="B45" s="52" t="s">
        <v>461</v>
      </c>
      <c r="C45" s="289">
        <f>5766+3073.73+3073.73+1064.5</f>
        <v>12977.96</v>
      </c>
      <c r="D45" s="304">
        <f>5208+2746.01+2746.01+894.25</f>
        <v>11594.27</v>
      </c>
      <c r="E45" s="289">
        <f>699+5758.25+2905.76+2905.76</f>
        <v>12268.77</v>
      </c>
      <c r="F45" s="289"/>
      <c r="G45" s="289"/>
      <c r="H45" s="289"/>
      <c r="I45" s="289"/>
      <c r="J45" s="289"/>
      <c r="K45" s="289"/>
      <c r="L45" s="289"/>
      <c r="M45" s="289"/>
      <c r="N45" s="289"/>
    </row>
    <row r="46" spans="1:14">
      <c r="A46" s="1">
        <f>'WA Monthly'!A43</f>
        <v>21</v>
      </c>
      <c r="B46" s="71" t="s">
        <v>55</v>
      </c>
      <c r="C46" s="289">
        <f>10587.71+10587.71+26351.64+4376.14+4376.14+5580</f>
        <v>61859.34</v>
      </c>
      <c r="D46" s="304">
        <f>9540.79+9540.79+23745.96+5636.93+5636.93+5040</f>
        <v>59141.4</v>
      </c>
      <c r="E46" s="289">
        <f>10713.83+10713.83+26665.52+5981.18+5981.18+5572.5</f>
        <v>65628.039999999994</v>
      </c>
      <c r="F46" s="289"/>
      <c r="G46" s="289"/>
      <c r="H46" s="289"/>
      <c r="I46" s="289"/>
      <c r="J46" s="289"/>
      <c r="K46" s="289"/>
      <c r="L46" s="289"/>
      <c r="M46" s="289"/>
      <c r="N46" s="289"/>
    </row>
    <row r="47" spans="1:14">
      <c r="A47" s="1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</row>
    <row r="48" spans="1:14">
      <c r="A48" s="1"/>
      <c r="B48" s="258" t="s">
        <v>29</v>
      </c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</row>
    <row r="49" spans="1:14">
      <c r="A49" s="1">
        <f>'WA Monthly'!A65</f>
        <v>29</v>
      </c>
      <c r="B49" s="71" t="s">
        <v>22</v>
      </c>
      <c r="C49" s="22">
        <v>53359</v>
      </c>
      <c r="D49" s="22">
        <v>48502</v>
      </c>
      <c r="E49" s="22">
        <v>58811</v>
      </c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1">
        <f>'WA Monthly'!A66</f>
        <v>30</v>
      </c>
      <c r="B50" s="71" t="s">
        <v>31</v>
      </c>
      <c r="C50" s="22">
        <v>99606</v>
      </c>
      <c r="D50" s="22">
        <v>73063</v>
      </c>
      <c r="E50" s="22">
        <v>96702</v>
      </c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>
      <c r="A52" s="2" t="s">
        <v>463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>
      <c r="A53" s="1">
        <v>8</v>
      </c>
      <c r="B53" s="7" t="s">
        <v>459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1">
        <v>10</v>
      </c>
      <c r="B54" s="7" t="s">
        <v>460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1">
        <v>12</v>
      </c>
      <c r="B55" s="7" t="s">
        <v>412</v>
      </c>
      <c r="C55" s="308">
        <v>555937</v>
      </c>
      <c r="D55" s="308">
        <v>498647</v>
      </c>
      <c r="E55" s="308">
        <v>492113</v>
      </c>
      <c r="F55" s="308">
        <v>431145</v>
      </c>
      <c r="G55" s="308">
        <v>438507</v>
      </c>
      <c r="H55" s="308">
        <v>423630</v>
      </c>
      <c r="I55" s="308">
        <v>451024</v>
      </c>
      <c r="J55" s="308">
        <v>469267</v>
      </c>
      <c r="K55" s="308">
        <v>421946</v>
      </c>
      <c r="L55" s="308">
        <v>451214</v>
      </c>
      <c r="M55" s="308">
        <v>471440</v>
      </c>
      <c r="N55" s="308">
        <v>548964</v>
      </c>
    </row>
    <row r="56" spans="1:14">
      <c r="A56" s="1">
        <v>14</v>
      </c>
      <c r="B56" s="7" t="s">
        <v>413</v>
      </c>
      <c r="C56" s="309">
        <v>15.66</v>
      </c>
      <c r="D56" s="309">
        <v>15.66</v>
      </c>
      <c r="E56" s="309">
        <v>15.66</v>
      </c>
      <c r="F56" s="309">
        <v>15.66</v>
      </c>
      <c r="G56" s="309">
        <v>15.66</v>
      </c>
      <c r="H56" s="309">
        <v>15.66</v>
      </c>
      <c r="I56" s="309">
        <v>15.66</v>
      </c>
      <c r="J56" s="309">
        <v>15.66</v>
      </c>
      <c r="K56" s="309">
        <v>15.66</v>
      </c>
      <c r="L56" s="309">
        <v>15.66</v>
      </c>
      <c r="M56" s="309">
        <v>15.66</v>
      </c>
      <c r="N56" s="309">
        <v>15.66</v>
      </c>
    </row>
    <row r="57" spans="1:14">
      <c r="A57" s="1"/>
      <c r="B57" s="7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</row>
    <row r="58" spans="1:14">
      <c r="A58" s="1">
        <v>21</v>
      </c>
      <c r="B58" s="7" t="s">
        <v>408</v>
      </c>
      <c r="C58" s="294">
        <v>-37943.33</v>
      </c>
      <c r="D58" s="294">
        <v>339003.31</v>
      </c>
      <c r="E58" s="294">
        <v>187670.73</v>
      </c>
      <c r="F58" s="294">
        <v>-84609.600000000006</v>
      </c>
      <c r="G58" s="294">
        <v>107839.18</v>
      </c>
      <c r="H58" s="294">
        <v>-120586.87</v>
      </c>
      <c r="I58" s="294">
        <v>-749950.95</v>
      </c>
      <c r="J58" s="294">
        <v>-189109.75</v>
      </c>
      <c r="K58" s="294">
        <v>-118698.29</v>
      </c>
      <c r="L58" s="294">
        <v>-79221.710000000006</v>
      </c>
      <c r="M58" s="294">
        <v>-448598.03</v>
      </c>
      <c r="N58" s="294">
        <v>-402928.44</v>
      </c>
    </row>
    <row r="59" spans="1:14">
      <c r="A59" s="1"/>
      <c r="B59" s="7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</row>
    <row r="60" spans="1:14"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</row>
    <row r="61" spans="1:14">
      <c r="A61" s="2" t="s">
        <v>449</v>
      </c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</row>
    <row r="62" spans="1:14">
      <c r="B62" s="4" t="s">
        <v>12</v>
      </c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</row>
    <row r="63" spans="1:14">
      <c r="A63" s="1">
        <f>'ID Summary'!A15</f>
        <v>10</v>
      </c>
      <c r="B63" s="71" t="s">
        <v>3</v>
      </c>
      <c r="C63" s="294">
        <v>9702833.2899999991</v>
      </c>
      <c r="D63" s="294">
        <v>10328500.119999999</v>
      </c>
      <c r="E63" s="294">
        <v>8924403.1600000001</v>
      </c>
      <c r="F63" s="294">
        <v>7339923.5499999998</v>
      </c>
      <c r="G63" s="294">
        <v>5493489.1799999997</v>
      </c>
      <c r="H63" s="294">
        <v>5495060.4100000001</v>
      </c>
      <c r="I63" s="294">
        <v>6450837.8700000001</v>
      </c>
      <c r="J63" s="294">
        <v>7374829.1500000004</v>
      </c>
      <c r="K63" s="294">
        <v>6454509.96</v>
      </c>
      <c r="L63" s="294">
        <v>6678057.5800000001</v>
      </c>
      <c r="M63" s="294">
        <v>9322262.8599999994</v>
      </c>
      <c r="N63" s="294">
        <v>9533433.6400000006</v>
      </c>
    </row>
    <row r="64" spans="1:14">
      <c r="A64" s="1">
        <f>'ID Summary'!A16</f>
        <v>11</v>
      </c>
      <c r="B64" s="71" t="s">
        <v>6</v>
      </c>
      <c r="C64" s="294">
        <v>-3781357.36</v>
      </c>
      <c r="D64" s="294">
        <v>-1822086.49</v>
      </c>
      <c r="E64" s="294">
        <v>-2040710.31</v>
      </c>
      <c r="F64" s="294">
        <v>-2860479.36</v>
      </c>
      <c r="G64" s="294">
        <v>-2523087.88</v>
      </c>
      <c r="H64" s="294">
        <v>-2502706</v>
      </c>
      <c r="I64" s="294">
        <v>-4670615.3</v>
      </c>
      <c r="J64" s="294">
        <v>-2827345.05</v>
      </c>
      <c r="K64" s="294">
        <v>-2878367.34</v>
      </c>
      <c r="L64" s="294">
        <v>-2286264.87</v>
      </c>
      <c r="M64" s="294">
        <v>-3502619.01</v>
      </c>
      <c r="N64" s="294">
        <v>-5561523.5599999996</v>
      </c>
    </row>
    <row r="65" spans="1:14">
      <c r="A65" s="1">
        <f>'ID Summary'!A17</f>
        <v>12</v>
      </c>
      <c r="B65" s="71" t="s">
        <v>4</v>
      </c>
      <c r="C65" s="294">
        <v>2710747.74</v>
      </c>
      <c r="D65" s="294">
        <v>2436292.5499999998</v>
      </c>
      <c r="E65" s="294">
        <v>2495478.85</v>
      </c>
      <c r="F65" s="294">
        <v>1999248.03</v>
      </c>
      <c r="G65" s="294">
        <v>1543139.19</v>
      </c>
      <c r="H65" s="294">
        <v>1346032.7</v>
      </c>
      <c r="I65" s="294">
        <v>2191772.3199999998</v>
      </c>
      <c r="J65" s="294">
        <v>2428910.81</v>
      </c>
      <c r="K65" s="294">
        <v>2491210.04</v>
      </c>
      <c r="L65" s="294">
        <v>2486833.9700000002</v>
      </c>
      <c r="M65" s="294">
        <v>2527218.2799999998</v>
      </c>
      <c r="N65" s="294">
        <v>2686721.65</v>
      </c>
    </row>
    <row r="66" spans="1:14">
      <c r="A66" s="1">
        <f>'ID Summary'!A18</f>
        <v>13</v>
      </c>
      <c r="B66" s="71" t="s">
        <v>5</v>
      </c>
      <c r="C66" s="294">
        <v>8280148.4299999997</v>
      </c>
      <c r="D66" s="294">
        <v>5188309.49</v>
      </c>
      <c r="E66" s="294">
        <v>4595189.95</v>
      </c>
      <c r="F66" s="294">
        <v>2864295.64</v>
      </c>
      <c r="G66" s="294">
        <v>1538979.51</v>
      </c>
      <c r="H66" s="294">
        <v>1733332.64</v>
      </c>
      <c r="I66" s="294">
        <v>5506610.8600000003</v>
      </c>
      <c r="J66" s="294">
        <v>6911917.7199999997</v>
      </c>
      <c r="K66" s="294">
        <v>5890074.7699999996</v>
      </c>
      <c r="L66" s="294">
        <v>5805698.3300000001</v>
      </c>
      <c r="M66" s="294">
        <v>6416983.3099999996</v>
      </c>
      <c r="N66" s="294">
        <v>8327512.7999999998</v>
      </c>
    </row>
    <row r="67" spans="1:14">
      <c r="A67" s="1">
        <f>'ID Summary'!A19</f>
        <v>14</v>
      </c>
      <c r="B67" s="71" t="s">
        <v>143</v>
      </c>
      <c r="C67" s="294">
        <v>-1062694.25</v>
      </c>
      <c r="D67" s="294">
        <v>-1178480.71</v>
      </c>
      <c r="E67" s="294">
        <v>-1177115.3999999999</v>
      </c>
      <c r="F67" s="294">
        <v>-1141305.3700000001</v>
      </c>
      <c r="G67" s="294">
        <v>-1253487.52</v>
      </c>
      <c r="H67" s="294">
        <v>-1398528.7</v>
      </c>
      <c r="I67" s="294">
        <v>-1450378.42</v>
      </c>
      <c r="J67" s="294">
        <v>-1346818.86</v>
      </c>
      <c r="K67" s="294">
        <v>-1372212.68</v>
      </c>
      <c r="L67" s="294">
        <v>-1319316.33</v>
      </c>
      <c r="M67" s="294">
        <v>-1257650.3400000001</v>
      </c>
      <c r="N67" s="294">
        <v>-1191496.26</v>
      </c>
    </row>
    <row r="68" spans="1:14">
      <c r="A68" s="1">
        <f>'ID Summary'!A20</f>
        <v>15</v>
      </c>
      <c r="B68" s="71" t="s">
        <v>109</v>
      </c>
      <c r="C68" s="294">
        <v>1367136.34</v>
      </c>
      <c r="D68" s="294">
        <v>1600334.72</v>
      </c>
      <c r="E68" s="294">
        <v>1468739.29</v>
      </c>
      <c r="F68" s="294">
        <v>1449914.73</v>
      </c>
      <c r="G68" s="294">
        <v>1423359.44</v>
      </c>
      <c r="H68" s="294">
        <v>1415702.57</v>
      </c>
      <c r="I68" s="294">
        <v>1470703.45</v>
      </c>
      <c r="J68" s="294">
        <v>1461594.51</v>
      </c>
      <c r="K68" s="294">
        <v>1427129.57</v>
      </c>
      <c r="L68" s="294">
        <v>1424958.44</v>
      </c>
      <c r="M68" s="294">
        <v>1434977.94</v>
      </c>
      <c r="N68" s="294">
        <v>1459895.67</v>
      </c>
    </row>
    <row r="69" spans="1:14">
      <c r="A69" s="1">
        <f>'ID Summary'!A21</f>
        <v>16</v>
      </c>
      <c r="B69" s="32" t="s">
        <v>466</v>
      </c>
      <c r="C69" s="294">
        <v>-293350</v>
      </c>
      <c r="D69" s="294">
        <v>-264550</v>
      </c>
      <c r="E69" s="294">
        <v>-293350</v>
      </c>
      <c r="F69" s="294">
        <v>-283750</v>
      </c>
      <c r="G69" s="294">
        <v>-293350</v>
      </c>
      <c r="H69" s="294">
        <v>-283750</v>
      </c>
      <c r="I69" s="294">
        <v>-293350</v>
      </c>
      <c r="J69" s="294">
        <v>-293350</v>
      </c>
      <c r="K69" s="294">
        <v>-283750</v>
      </c>
      <c r="L69" s="294">
        <v>-293350</v>
      </c>
      <c r="M69" s="294">
        <v>-283750</v>
      </c>
      <c r="N69" s="294">
        <v>-293350</v>
      </c>
    </row>
    <row r="70" spans="1:14">
      <c r="A70" s="1">
        <f>'ID Summary'!A22</f>
        <v>17</v>
      </c>
      <c r="B70" s="273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</row>
    <row r="71" spans="1:14">
      <c r="A71" s="1"/>
      <c r="B71" s="71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</row>
    <row r="72" spans="1:14">
      <c r="A72" s="1">
        <f>'ID Summary'!A27</f>
        <v>22</v>
      </c>
      <c r="B72" s="32" t="s">
        <v>242</v>
      </c>
      <c r="C72" s="302">
        <v>0.3427</v>
      </c>
      <c r="D72" s="302">
        <v>0.3427</v>
      </c>
      <c r="E72" s="302">
        <v>0.3427</v>
      </c>
      <c r="F72" s="302">
        <v>0.3427</v>
      </c>
      <c r="G72" s="302">
        <v>0.3427</v>
      </c>
      <c r="H72" s="302">
        <v>0.3427</v>
      </c>
      <c r="I72" s="302">
        <v>0.3427</v>
      </c>
      <c r="J72" s="302">
        <v>0.3427</v>
      </c>
      <c r="K72" s="302">
        <v>0.3427</v>
      </c>
      <c r="L72" s="302">
        <v>0.3427</v>
      </c>
      <c r="M72" s="302">
        <v>0.3427</v>
      </c>
      <c r="N72" s="302">
        <v>0.3427</v>
      </c>
    </row>
    <row r="73" spans="1:14">
      <c r="A73" s="1"/>
      <c r="B73" s="32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>
      <c r="A74" s="180" t="s">
        <v>457</v>
      </c>
      <c r="B74" s="32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>
      <c r="A75" s="1"/>
      <c r="B75" s="32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</row>
    <row r="76" spans="1:14">
      <c r="A76" s="1"/>
      <c r="B76" s="32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</row>
    <row r="77" spans="1:14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</row>
    <row r="78" spans="1:14">
      <c r="A78" s="2" t="s">
        <v>456</v>
      </c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</row>
    <row r="79" spans="1:14">
      <c r="A79" s="1">
        <v>8</v>
      </c>
      <c r="B79" s="286" t="s">
        <v>459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/>
      <c r="G79" s="22"/>
      <c r="H79" s="22"/>
      <c r="I79" s="22"/>
      <c r="J79" s="22"/>
      <c r="K79" s="22"/>
      <c r="L79" s="22"/>
      <c r="M79" s="22"/>
      <c r="N79" s="22"/>
    </row>
    <row r="80" spans="1:14">
      <c r="A80" s="1">
        <v>10</v>
      </c>
      <c r="B80" s="286" t="s">
        <v>460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/>
      <c r="G80" s="22"/>
      <c r="H80" s="22"/>
      <c r="I80" s="22"/>
      <c r="J80" s="22"/>
      <c r="K80" s="22"/>
      <c r="L80" s="22"/>
      <c r="M80" s="22"/>
      <c r="N80" s="22"/>
    </row>
    <row r="81" spans="1:14">
      <c r="A81" s="1">
        <v>12</v>
      </c>
      <c r="B81" s="287" t="s">
        <v>416</v>
      </c>
      <c r="C81" s="299">
        <v>294914</v>
      </c>
      <c r="D81" s="299">
        <v>261971</v>
      </c>
      <c r="E81" s="299">
        <v>251422</v>
      </c>
      <c r="F81" s="299">
        <v>228917</v>
      </c>
      <c r="G81" s="299">
        <v>211441</v>
      </c>
      <c r="H81" s="299">
        <v>204736</v>
      </c>
      <c r="I81" s="299">
        <v>252026</v>
      </c>
      <c r="J81" s="299">
        <v>245232</v>
      </c>
      <c r="K81" s="299">
        <v>206024</v>
      </c>
      <c r="L81" s="299">
        <v>240501</v>
      </c>
      <c r="M81" s="299">
        <v>257717</v>
      </c>
      <c r="N81" s="299">
        <v>298131</v>
      </c>
    </row>
    <row r="82" spans="1:14">
      <c r="A82" s="1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</row>
    <row r="83" spans="1:14">
      <c r="A83" s="1">
        <v>14</v>
      </c>
      <c r="B83" s="298" t="s">
        <v>403</v>
      </c>
      <c r="C83" s="300">
        <v>24.73</v>
      </c>
      <c r="D83" s="300">
        <v>24.73</v>
      </c>
      <c r="E83" s="300">
        <v>24.73</v>
      </c>
      <c r="F83" s="300">
        <v>24.73</v>
      </c>
      <c r="G83" s="300">
        <v>24.73</v>
      </c>
      <c r="H83" s="300">
        <v>24.73</v>
      </c>
      <c r="I83" s="300">
        <v>24.73</v>
      </c>
      <c r="J83" s="300">
        <v>24.73</v>
      </c>
      <c r="K83" s="300">
        <v>24.73</v>
      </c>
      <c r="L83" s="300">
        <v>24.73</v>
      </c>
      <c r="M83" s="300">
        <v>24.73</v>
      </c>
      <c r="N83" s="300">
        <v>24.73</v>
      </c>
    </row>
    <row r="84" spans="1:14"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</row>
    <row r="85" spans="1:14">
      <c r="A85" s="1">
        <v>24</v>
      </c>
      <c r="B85" s="51" t="s">
        <v>408</v>
      </c>
      <c r="C85" s="297">
        <v>-93865.44</v>
      </c>
      <c r="D85" s="297">
        <v>112043.88</v>
      </c>
      <c r="E85" s="297">
        <v>-350999.37</v>
      </c>
      <c r="F85" s="297">
        <v>-238903.87</v>
      </c>
      <c r="G85" s="297">
        <v>-545700.26</v>
      </c>
      <c r="H85" s="297">
        <v>-572639.06999999995</v>
      </c>
      <c r="I85" s="297">
        <v>-289106.92</v>
      </c>
      <c r="J85" s="297">
        <v>-23343.4</v>
      </c>
      <c r="K85" s="297">
        <v>-294999.42</v>
      </c>
      <c r="L85" s="297">
        <v>79670.53</v>
      </c>
      <c r="M85" s="297">
        <v>-180437.08</v>
      </c>
      <c r="N85" s="297">
        <v>-205884.39</v>
      </c>
    </row>
    <row r="86" spans="1:14"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</row>
    <row r="87" spans="1:14"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</row>
    <row r="88" spans="1:14"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</row>
    <row r="89" spans="1:14"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</row>
    <row r="90" spans="1:14"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</row>
    <row r="91" spans="1:14"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89"/>
    </row>
    <row r="92" spans="1:14"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</row>
    <row r="93" spans="1:14"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</row>
    <row r="94" spans="1:14"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</row>
    <row r="95" spans="1:14"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</row>
    <row r="96" spans="1:14"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</row>
    <row r="97" spans="3:14"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</row>
    <row r="98" spans="3:14"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</row>
    <row r="99" spans="3:14"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</row>
    <row r="100" spans="3:14"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</row>
    <row r="101" spans="3:14"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</row>
    <row r="102" spans="3:14"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</row>
    <row r="103" spans="3:14"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</row>
    <row r="104" spans="3:14"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</row>
    <row r="105" spans="3:14"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</row>
    <row r="106" spans="3:14"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</row>
    <row r="107" spans="3:14"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</row>
    <row r="108" spans="3:14"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</row>
    <row r="109" spans="3:14"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</row>
    <row r="110" spans="3:14"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89"/>
      <c r="N110" s="289"/>
    </row>
    <row r="111" spans="3:14"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</row>
    <row r="112" spans="3:14"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</row>
    <row r="113" spans="3:14"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</row>
    <row r="114" spans="3:14"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</row>
    <row r="115" spans="3:14"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</row>
    <row r="116" spans="3:14"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</row>
    <row r="117" spans="3:14"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</row>
    <row r="118" spans="3:14"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</row>
    <row r="119" spans="3:14"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</row>
    <row r="120" spans="3:14"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</row>
    <row r="121" spans="3:14"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</row>
    <row r="122" spans="3:14"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</row>
    <row r="123" spans="3:14">
      <c r="C123" s="289"/>
      <c r="D123" s="289"/>
      <c r="E123" s="289"/>
      <c r="F123" s="289"/>
      <c r="G123" s="289"/>
      <c r="H123" s="289"/>
      <c r="I123" s="289"/>
      <c r="J123" s="289"/>
      <c r="K123" s="289"/>
      <c r="L123" s="289"/>
      <c r="M123" s="289"/>
      <c r="N123" s="289"/>
    </row>
    <row r="124" spans="3:14"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</row>
    <row r="125" spans="3:14">
      <c r="C125" s="289"/>
      <c r="D125" s="289"/>
      <c r="E125" s="289"/>
      <c r="F125" s="289"/>
      <c r="G125" s="289"/>
      <c r="H125" s="289"/>
      <c r="I125" s="289"/>
      <c r="J125" s="289"/>
      <c r="K125" s="289"/>
      <c r="L125" s="289"/>
      <c r="M125" s="289"/>
      <c r="N125" s="289"/>
    </row>
    <row r="126" spans="3:14"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89"/>
    </row>
    <row r="127" spans="3:14">
      <c r="C127" s="289"/>
      <c r="D127" s="289"/>
      <c r="E127" s="289"/>
      <c r="F127" s="289"/>
      <c r="G127" s="289"/>
      <c r="H127" s="289"/>
      <c r="I127" s="289"/>
      <c r="J127" s="289"/>
      <c r="K127" s="289"/>
      <c r="L127" s="289"/>
      <c r="M127" s="289"/>
      <c r="N127" s="289"/>
    </row>
    <row r="128" spans="3:14">
      <c r="C128" s="289"/>
      <c r="D128" s="289"/>
      <c r="E128" s="289"/>
      <c r="F128" s="289"/>
      <c r="G128" s="289"/>
      <c r="H128" s="289"/>
      <c r="I128" s="289"/>
      <c r="J128" s="289"/>
      <c r="K128" s="289"/>
      <c r="L128" s="289"/>
      <c r="M128" s="289"/>
      <c r="N128" s="289"/>
    </row>
    <row r="129" spans="3:14"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</row>
    <row r="130" spans="3:14"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</row>
    <row r="131" spans="3:14"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</row>
    <row r="132" spans="3:14"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</row>
    <row r="133" spans="3:14"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</row>
    <row r="134" spans="3:14"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</row>
    <row r="135" spans="3:14"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</row>
    <row r="136" spans="3:14"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</row>
    <row r="137" spans="3:14"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</row>
    <row r="138" spans="3:14"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</row>
    <row r="139" spans="3:14"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</row>
    <row r="140" spans="3:14"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</row>
    <row r="141" spans="3:14"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</row>
    <row r="142" spans="3:14"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</row>
    <row r="143" spans="3:14"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</row>
    <row r="144" spans="3:14"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</row>
    <row r="145" spans="3:14"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</row>
    <row r="146" spans="3:14"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</row>
    <row r="147" spans="3:14"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</row>
    <row r="148" spans="3:14"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</row>
    <row r="149" spans="3:14">
      <c r="C149" s="289"/>
      <c r="D149" s="289"/>
      <c r="E149" s="289"/>
      <c r="F149" s="289"/>
      <c r="G149" s="289"/>
      <c r="H149" s="289"/>
      <c r="I149" s="289"/>
      <c r="J149" s="289"/>
      <c r="K149" s="289"/>
      <c r="L149" s="289"/>
      <c r="M149" s="289"/>
      <c r="N149" s="289"/>
    </row>
    <row r="150" spans="3:14">
      <c r="C150" s="289"/>
      <c r="D150" s="289"/>
      <c r="E150" s="289"/>
      <c r="F150" s="289"/>
      <c r="G150" s="289"/>
      <c r="H150" s="289"/>
      <c r="I150" s="289"/>
      <c r="J150" s="289"/>
      <c r="K150" s="289"/>
      <c r="L150" s="289"/>
      <c r="M150" s="289"/>
      <c r="N150" s="289"/>
    </row>
    <row r="151" spans="3:14"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</row>
    <row r="152" spans="3:14"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</row>
    <row r="153" spans="3:14">
      <c r="C153" s="289"/>
      <c r="D153" s="289"/>
      <c r="E153" s="289"/>
      <c r="F153" s="289"/>
      <c r="G153" s="289"/>
      <c r="H153" s="289"/>
      <c r="I153" s="289"/>
      <c r="J153" s="289"/>
      <c r="K153" s="289"/>
      <c r="L153" s="289"/>
      <c r="M153" s="289"/>
      <c r="N153" s="289"/>
    </row>
    <row r="154" spans="3:14"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</row>
    <row r="155" spans="3:14"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</row>
    <row r="156" spans="3:14"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</row>
    <row r="157" spans="3:14"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</row>
    <row r="158" spans="3:14">
      <c r="C158" s="289"/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</row>
    <row r="159" spans="3:14"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</row>
    <row r="160" spans="3:14"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</row>
    <row r="161" spans="3:14">
      <c r="C161" s="289"/>
      <c r="D161" s="289"/>
      <c r="E161" s="289"/>
      <c r="F161" s="289"/>
      <c r="G161" s="289"/>
      <c r="H161" s="289"/>
      <c r="I161" s="289"/>
      <c r="J161" s="289"/>
      <c r="K161" s="289"/>
      <c r="L161" s="289"/>
      <c r="M161" s="289"/>
      <c r="N161" s="289"/>
    </row>
    <row r="162" spans="3:14">
      <c r="C162" s="289"/>
      <c r="D162" s="289"/>
      <c r="E162" s="289"/>
      <c r="F162" s="289"/>
      <c r="G162" s="289"/>
      <c r="H162" s="289"/>
      <c r="I162" s="289"/>
      <c r="J162" s="289"/>
      <c r="K162" s="289"/>
      <c r="L162" s="289"/>
      <c r="M162" s="289"/>
      <c r="N162" s="289"/>
    </row>
    <row r="163" spans="3:14">
      <c r="C163" s="289"/>
      <c r="D163" s="289"/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</row>
    <row r="164" spans="3:14"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</row>
    <row r="165" spans="3:14"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</row>
    <row r="166" spans="3:14"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</row>
    <row r="167" spans="3:14"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</row>
    <row r="168" spans="3:14"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</row>
    <row r="169" spans="3:14"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</row>
    <row r="170" spans="3:14">
      <c r="C170" s="289"/>
      <c r="D170" s="289"/>
      <c r="E170" s="289"/>
      <c r="F170" s="289"/>
      <c r="G170" s="289"/>
      <c r="H170" s="289"/>
      <c r="I170" s="289"/>
      <c r="J170" s="289"/>
      <c r="K170" s="289"/>
      <c r="L170" s="289"/>
      <c r="M170" s="289"/>
      <c r="N170" s="289"/>
    </row>
    <row r="171" spans="3:14"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289"/>
    </row>
    <row r="172" spans="3:14">
      <c r="C172" s="289"/>
      <c r="D172" s="289"/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</row>
    <row r="173" spans="3:14"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</row>
    <row r="174" spans="3:14"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</row>
    <row r="175" spans="3:14">
      <c r="C175" s="289"/>
      <c r="D175" s="289"/>
      <c r="E175" s="289"/>
      <c r="F175" s="289"/>
      <c r="G175" s="289"/>
      <c r="H175" s="289"/>
      <c r="I175" s="289"/>
      <c r="J175" s="289"/>
      <c r="K175" s="289"/>
      <c r="L175" s="289"/>
      <c r="M175" s="289"/>
      <c r="N175" s="289"/>
    </row>
    <row r="176" spans="3:14"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</row>
    <row r="177" spans="3:14"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</row>
    <row r="178" spans="3:14">
      <c r="C178" s="289"/>
      <c r="D178" s="289"/>
      <c r="E178" s="289"/>
      <c r="F178" s="289"/>
      <c r="G178" s="289"/>
      <c r="H178" s="289"/>
      <c r="I178" s="289"/>
      <c r="J178" s="289"/>
      <c r="K178" s="289"/>
      <c r="L178" s="289"/>
      <c r="M178" s="289"/>
      <c r="N178" s="289"/>
    </row>
    <row r="179" spans="3:14"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</row>
    <row r="180" spans="3:14"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</row>
    <row r="181" spans="3:14"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</row>
    <row r="182" spans="3:14"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</row>
    <row r="183" spans="3:14">
      <c r="C183" s="289"/>
      <c r="D183" s="289"/>
      <c r="E183" s="289"/>
      <c r="F183" s="289"/>
      <c r="G183" s="289"/>
      <c r="H183" s="289"/>
      <c r="I183" s="289"/>
      <c r="J183" s="289"/>
      <c r="K183" s="289"/>
      <c r="L183" s="289"/>
      <c r="M183" s="289"/>
      <c r="N183" s="289"/>
    </row>
    <row r="184" spans="3:14"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</row>
    <row r="185" spans="3:14">
      <c r="C185" s="289"/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</row>
    <row r="186" spans="3:14">
      <c r="C186" s="289"/>
      <c r="D186" s="289"/>
      <c r="E186" s="289"/>
      <c r="F186" s="289"/>
      <c r="G186" s="289"/>
      <c r="H186" s="289"/>
      <c r="I186" s="289"/>
      <c r="J186" s="289"/>
      <c r="K186" s="289"/>
      <c r="L186" s="289"/>
      <c r="M186" s="289"/>
      <c r="N186" s="289"/>
    </row>
    <row r="187" spans="3:14"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</row>
    <row r="188" spans="3:14">
      <c r="C188" s="289"/>
      <c r="D188" s="289"/>
      <c r="E188" s="289"/>
      <c r="F188" s="289"/>
      <c r="G188" s="289"/>
      <c r="H188" s="289"/>
      <c r="I188" s="289"/>
      <c r="J188" s="289"/>
      <c r="K188" s="289"/>
      <c r="L188" s="289"/>
      <c r="M188" s="289"/>
      <c r="N188" s="289"/>
    </row>
    <row r="189" spans="3:14">
      <c r="C189" s="289"/>
      <c r="D189" s="289"/>
      <c r="E189" s="289"/>
      <c r="F189" s="289"/>
      <c r="G189" s="289"/>
      <c r="H189" s="289"/>
      <c r="I189" s="289"/>
      <c r="J189" s="289"/>
      <c r="K189" s="289"/>
      <c r="L189" s="289"/>
      <c r="M189" s="289"/>
      <c r="N189" s="289"/>
    </row>
    <row r="190" spans="3:14">
      <c r="C190" s="289"/>
      <c r="D190" s="289"/>
      <c r="E190" s="289"/>
      <c r="F190" s="289"/>
      <c r="G190" s="289"/>
      <c r="H190" s="289"/>
      <c r="I190" s="289"/>
      <c r="J190" s="289"/>
      <c r="K190" s="289"/>
      <c r="L190" s="289"/>
      <c r="M190" s="289"/>
      <c r="N190" s="289"/>
    </row>
    <row r="191" spans="3:14">
      <c r="C191" s="289"/>
      <c r="D191" s="289"/>
      <c r="E191" s="289"/>
      <c r="F191" s="289"/>
      <c r="G191" s="289"/>
      <c r="H191" s="289"/>
      <c r="I191" s="289"/>
      <c r="J191" s="289"/>
      <c r="K191" s="289"/>
      <c r="L191" s="289"/>
      <c r="M191" s="289"/>
      <c r="N191" s="289"/>
    </row>
    <row r="192" spans="3:14">
      <c r="C192" s="289"/>
      <c r="D192" s="289"/>
      <c r="E192" s="289"/>
      <c r="F192" s="289"/>
      <c r="G192" s="289"/>
      <c r="H192" s="289"/>
      <c r="I192" s="289"/>
      <c r="J192" s="289"/>
      <c r="K192" s="289"/>
      <c r="L192" s="289"/>
      <c r="M192" s="289"/>
      <c r="N192" s="289"/>
    </row>
    <row r="193" spans="3:14">
      <c r="C193" s="289"/>
      <c r="D193" s="289"/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</row>
    <row r="194" spans="3:14">
      <c r="C194" s="289"/>
      <c r="D194" s="289"/>
      <c r="E194" s="289"/>
      <c r="F194" s="289"/>
      <c r="G194" s="289"/>
      <c r="H194" s="289"/>
      <c r="I194" s="289"/>
      <c r="J194" s="289"/>
      <c r="K194" s="289"/>
      <c r="L194" s="289"/>
      <c r="M194" s="289"/>
      <c r="N194" s="289"/>
    </row>
    <row r="195" spans="3:14">
      <c r="C195" s="289"/>
      <c r="D195" s="289"/>
      <c r="E195" s="289"/>
      <c r="F195" s="289"/>
      <c r="G195" s="289"/>
      <c r="H195" s="289"/>
      <c r="I195" s="289"/>
      <c r="J195" s="289"/>
      <c r="K195" s="289"/>
      <c r="L195" s="289"/>
      <c r="M195" s="289"/>
      <c r="N195" s="289"/>
    </row>
    <row r="196" spans="3:14"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</row>
    <row r="197" spans="3:14"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</row>
    <row r="198" spans="3:14">
      <c r="C198" s="289"/>
      <c r="D198" s="289"/>
      <c r="E198" s="289"/>
      <c r="F198" s="289"/>
      <c r="G198" s="289"/>
      <c r="H198" s="289"/>
      <c r="I198" s="289"/>
      <c r="J198" s="289"/>
      <c r="K198" s="289"/>
      <c r="L198" s="289"/>
      <c r="M198" s="289"/>
      <c r="N198" s="289"/>
    </row>
    <row r="199" spans="3:14"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</row>
    <row r="200" spans="3:14">
      <c r="C200" s="289"/>
      <c r="D200" s="289"/>
      <c r="E200" s="289"/>
      <c r="F200" s="289"/>
      <c r="G200" s="289"/>
      <c r="H200" s="289"/>
      <c r="I200" s="289"/>
      <c r="J200" s="289"/>
      <c r="K200" s="289"/>
      <c r="L200" s="289"/>
      <c r="M200" s="289"/>
      <c r="N200" s="289"/>
    </row>
    <row r="201" spans="3:14"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</row>
    <row r="202" spans="3:14"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</row>
    <row r="203" spans="3:14">
      <c r="C203" s="289"/>
      <c r="D203" s="289"/>
      <c r="E203" s="289"/>
      <c r="F203" s="289"/>
      <c r="G203" s="289"/>
      <c r="H203" s="289"/>
      <c r="I203" s="289"/>
      <c r="J203" s="289"/>
      <c r="K203" s="289"/>
      <c r="L203" s="289"/>
      <c r="M203" s="289"/>
      <c r="N203" s="289"/>
    </row>
    <row r="204" spans="3:14">
      <c r="C204" s="289"/>
      <c r="D204" s="289"/>
      <c r="E204" s="289"/>
      <c r="F204" s="289"/>
      <c r="G204" s="289"/>
      <c r="H204" s="289"/>
      <c r="I204" s="289"/>
      <c r="J204" s="289"/>
      <c r="K204" s="289"/>
      <c r="L204" s="289"/>
      <c r="M204" s="289"/>
      <c r="N204" s="289"/>
    </row>
    <row r="205" spans="3:14">
      <c r="C205" s="289"/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</row>
    <row r="206" spans="3:14"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</row>
    <row r="207" spans="3:14">
      <c r="C207" s="289"/>
      <c r="D207" s="289"/>
      <c r="E207" s="289"/>
      <c r="F207" s="289"/>
      <c r="G207" s="289"/>
      <c r="H207" s="289"/>
      <c r="I207" s="289"/>
      <c r="J207" s="289"/>
      <c r="K207" s="289"/>
      <c r="L207" s="289"/>
      <c r="M207" s="289"/>
      <c r="N207" s="289"/>
    </row>
    <row r="208" spans="3:14">
      <c r="C208" s="289"/>
      <c r="D208" s="289"/>
      <c r="E208" s="289"/>
      <c r="F208" s="289"/>
      <c r="G208" s="289"/>
      <c r="H208" s="289"/>
      <c r="I208" s="289"/>
      <c r="J208" s="289"/>
      <c r="K208" s="289"/>
      <c r="L208" s="289"/>
      <c r="M208" s="289"/>
      <c r="N208" s="289"/>
    </row>
    <row r="209" spans="3:14"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289"/>
    </row>
    <row r="210" spans="3:14"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</row>
    <row r="211" spans="3:14">
      <c r="C211" s="289"/>
      <c r="D211" s="289"/>
      <c r="E211" s="289"/>
      <c r="F211" s="289"/>
      <c r="G211" s="289"/>
      <c r="H211" s="289"/>
      <c r="I211" s="289"/>
      <c r="J211" s="289"/>
      <c r="K211" s="289"/>
      <c r="L211" s="289"/>
      <c r="M211" s="289"/>
      <c r="N211" s="289"/>
    </row>
    <row r="212" spans="3:14">
      <c r="C212" s="289"/>
      <c r="D212" s="289"/>
      <c r="E212" s="289"/>
      <c r="F212" s="289"/>
      <c r="G212" s="289"/>
      <c r="H212" s="289"/>
      <c r="I212" s="289"/>
      <c r="J212" s="289"/>
      <c r="K212" s="289"/>
      <c r="L212" s="289"/>
      <c r="M212" s="289"/>
      <c r="N212" s="289"/>
    </row>
    <row r="213" spans="3:14">
      <c r="C213" s="289"/>
      <c r="D213" s="289"/>
      <c r="E213" s="289"/>
      <c r="F213" s="289"/>
      <c r="G213" s="289"/>
      <c r="H213" s="289"/>
      <c r="I213" s="289"/>
      <c r="J213" s="289"/>
      <c r="K213" s="289"/>
      <c r="L213" s="289"/>
      <c r="M213" s="289"/>
      <c r="N213" s="289"/>
    </row>
    <row r="214" spans="3:14"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</row>
    <row r="215" spans="3:14">
      <c r="C215" s="289"/>
      <c r="D215" s="289"/>
      <c r="E215" s="289"/>
      <c r="F215" s="289"/>
      <c r="G215" s="289"/>
      <c r="H215" s="289"/>
      <c r="I215" s="289"/>
      <c r="J215" s="289"/>
      <c r="K215" s="289"/>
      <c r="L215" s="289"/>
      <c r="M215" s="289"/>
      <c r="N215" s="289"/>
    </row>
    <row r="216" spans="3:14"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</row>
    <row r="217" spans="3:14">
      <c r="C217" s="289"/>
      <c r="D217" s="289"/>
      <c r="E217" s="289"/>
      <c r="F217" s="289"/>
      <c r="G217" s="289"/>
      <c r="H217" s="289"/>
      <c r="I217" s="289"/>
      <c r="J217" s="289"/>
      <c r="K217" s="289"/>
      <c r="L217" s="289"/>
      <c r="M217" s="289"/>
      <c r="N217" s="289"/>
    </row>
    <row r="218" spans="3:14"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</row>
    <row r="219" spans="3:14">
      <c r="C219" s="289"/>
      <c r="D219" s="289"/>
      <c r="E219" s="289"/>
      <c r="F219" s="289"/>
      <c r="G219" s="289"/>
      <c r="H219" s="289"/>
      <c r="I219" s="289"/>
      <c r="J219" s="289"/>
      <c r="K219" s="289"/>
      <c r="L219" s="289"/>
      <c r="M219" s="289"/>
      <c r="N219" s="289"/>
    </row>
    <row r="220" spans="3:14">
      <c r="C220" s="289"/>
      <c r="D220" s="289"/>
      <c r="E220" s="289"/>
      <c r="F220" s="289"/>
      <c r="G220" s="289"/>
      <c r="H220" s="289"/>
      <c r="I220" s="289"/>
      <c r="J220" s="289"/>
      <c r="K220" s="289"/>
      <c r="L220" s="289"/>
      <c r="M220" s="289"/>
      <c r="N220" s="289"/>
    </row>
    <row r="221" spans="3:14">
      <c r="C221" s="289"/>
      <c r="D221" s="289"/>
      <c r="E221" s="289"/>
      <c r="F221" s="289"/>
      <c r="G221" s="289"/>
      <c r="H221" s="289"/>
      <c r="I221" s="289"/>
      <c r="J221" s="289"/>
      <c r="K221" s="289"/>
      <c r="L221" s="289"/>
      <c r="M221" s="289"/>
      <c r="N221" s="289"/>
    </row>
    <row r="222" spans="3:14">
      <c r="C222" s="289"/>
      <c r="D222" s="289"/>
      <c r="E222" s="289"/>
      <c r="F222" s="289"/>
      <c r="G222" s="289"/>
      <c r="H222" s="289"/>
      <c r="I222" s="289"/>
      <c r="J222" s="289"/>
      <c r="K222" s="289"/>
      <c r="L222" s="289"/>
      <c r="M222" s="289"/>
      <c r="N222" s="289"/>
    </row>
    <row r="223" spans="3:14">
      <c r="C223" s="289"/>
      <c r="D223" s="289"/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</row>
    <row r="224" spans="3:14"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89"/>
    </row>
    <row r="225" spans="3:14"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</row>
    <row r="226" spans="3:14"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</row>
    <row r="227" spans="3:14">
      <c r="C227" s="289"/>
      <c r="D227" s="289"/>
      <c r="E227" s="289"/>
      <c r="F227" s="289"/>
      <c r="G227" s="289"/>
      <c r="H227" s="289"/>
      <c r="I227" s="289"/>
      <c r="J227" s="289"/>
      <c r="K227" s="289"/>
      <c r="L227" s="289"/>
      <c r="M227" s="289"/>
      <c r="N227" s="289"/>
    </row>
    <row r="228" spans="3:14">
      <c r="C228" s="289"/>
      <c r="D228" s="289"/>
      <c r="E228" s="289"/>
      <c r="F228" s="289"/>
      <c r="G228" s="289"/>
      <c r="H228" s="289"/>
      <c r="I228" s="289"/>
      <c r="J228" s="289"/>
      <c r="K228" s="289"/>
      <c r="L228" s="289"/>
      <c r="M228" s="289"/>
      <c r="N228" s="289"/>
    </row>
    <row r="229" spans="3:14"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</row>
    <row r="230" spans="3:14">
      <c r="C230" s="289"/>
      <c r="D230" s="289"/>
      <c r="E230" s="289"/>
      <c r="F230" s="289"/>
      <c r="G230" s="289"/>
      <c r="H230" s="289"/>
      <c r="I230" s="289"/>
      <c r="J230" s="289"/>
      <c r="K230" s="289"/>
      <c r="L230" s="289"/>
      <c r="M230" s="289"/>
      <c r="N230" s="289"/>
    </row>
    <row r="231" spans="3:14"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  <c r="M231" s="289"/>
      <c r="N231" s="289"/>
    </row>
    <row r="232" spans="3:14"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</row>
    <row r="233" spans="3:14"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</row>
    <row r="234" spans="3:14">
      <c r="C234" s="289"/>
      <c r="D234" s="289"/>
      <c r="E234" s="289"/>
      <c r="F234" s="289"/>
      <c r="G234" s="289"/>
      <c r="H234" s="289"/>
      <c r="I234" s="289"/>
      <c r="J234" s="289"/>
      <c r="K234" s="289"/>
      <c r="L234" s="289"/>
      <c r="M234" s="289"/>
      <c r="N234" s="289"/>
    </row>
    <row r="235" spans="3:14"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</row>
    <row r="236" spans="3:14"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</row>
    <row r="237" spans="3:14">
      <c r="C237" s="289"/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</row>
    <row r="238" spans="3:14">
      <c r="C238" s="289"/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</row>
    <row r="239" spans="3:14">
      <c r="C239" s="289"/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</row>
    <row r="240" spans="3:14">
      <c r="C240" s="289"/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</row>
    <row r="241" spans="3:14">
      <c r="C241" s="289"/>
      <c r="D241" s="289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</row>
    <row r="242" spans="3:14"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289"/>
    </row>
    <row r="243" spans="3:14">
      <c r="C243" s="289"/>
      <c r="D243" s="289"/>
      <c r="E243" s="289"/>
      <c r="F243" s="289"/>
      <c r="G243" s="289"/>
      <c r="H243" s="289"/>
      <c r="I243" s="289"/>
      <c r="J243" s="289"/>
      <c r="K243" s="289"/>
      <c r="L243" s="289"/>
      <c r="M243" s="289"/>
      <c r="N243" s="289"/>
    </row>
    <row r="244" spans="3:14"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</row>
    <row r="245" spans="3:14">
      <c r="C245" s="289"/>
      <c r="D245" s="289"/>
      <c r="E245" s="289"/>
      <c r="F245" s="289"/>
      <c r="G245" s="289"/>
      <c r="H245" s="289"/>
      <c r="I245" s="289"/>
      <c r="J245" s="289"/>
      <c r="K245" s="289"/>
      <c r="L245" s="289"/>
      <c r="M245" s="289"/>
      <c r="N245" s="289"/>
    </row>
    <row r="246" spans="3:14">
      <c r="C246" s="289"/>
      <c r="D246" s="289"/>
      <c r="E246" s="289"/>
      <c r="F246" s="289"/>
      <c r="G246" s="289"/>
      <c r="H246" s="289"/>
      <c r="I246" s="289"/>
      <c r="J246" s="289"/>
      <c r="K246" s="289"/>
      <c r="L246" s="289"/>
      <c r="M246" s="289"/>
      <c r="N246" s="289"/>
    </row>
    <row r="247" spans="3:14"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</row>
    <row r="248" spans="3:14"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89"/>
    </row>
    <row r="249" spans="3:14">
      <c r="C249" s="289"/>
      <c r="D249" s="289"/>
      <c r="E249" s="289"/>
      <c r="F249" s="289"/>
      <c r="G249" s="289"/>
      <c r="H249" s="289"/>
      <c r="I249" s="289"/>
      <c r="J249" s="289"/>
      <c r="K249" s="289"/>
      <c r="L249" s="289"/>
      <c r="M249" s="289"/>
      <c r="N249" s="289"/>
    </row>
    <row r="250" spans="3:14"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</row>
    <row r="251" spans="3:14">
      <c r="C251" s="289"/>
      <c r="D251" s="289"/>
      <c r="E251" s="289"/>
      <c r="F251" s="289"/>
      <c r="G251" s="289"/>
      <c r="H251" s="289"/>
      <c r="I251" s="289"/>
      <c r="J251" s="289"/>
      <c r="K251" s="289"/>
      <c r="L251" s="289"/>
      <c r="M251" s="289"/>
      <c r="N251" s="289"/>
    </row>
    <row r="252" spans="3:14">
      <c r="C252" s="289"/>
      <c r="D252" s="289"/>
      <c r="E252" s="289"/>
      <c r="F252" s="289"/>
      <c r="G252" s="289"/>
      <c r="H252" s="289"/>
      <c r="I252" s="289"/>
      <c r="J252" s="289"/>
      <c r="K252" s="289"/>
      <c r="L252" s="289"/>
      <c r="M252" s="289"/>
      <c r="N252" s="289"/>
    </row>
    <row r="253" spans="3:14"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</row>
    <row r="254" spans="3:14"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</row>
    <row r="255" spans="3:14"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</row>
    <row r="256" spans="3:14"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</row>
    <row r="257" spans="3:14">
      <c r="C257" s="289"/>
      <c r="D257" s="289"/>
      <c r="E257" s="289"/>
      <c r="F257" s="289"/>
      <c r="G257" s="289"/>
      <c r="H257" s="289"/>
      <c r="I257" s="289"/>
      <c r="J257" s="289"/>
      <c r="K257" s="289"/>
      <c r="L257" s="289"/>
      <c r="M257" s="289"/>
      <c r="N257" s="289"/>
    </row>
    <row r="258" spans="3:14">
      <c r="C258" s="289"/>
      <c r="D258" s="289"/>
      <c r="E258" s="289"/>
      <c r="F258" s="289"/>
      <c r="G258" s="289"/>
      <c r="H258" s="289"/>
      <c r="I258" s="289"/>
      <c r="J258" s="289"/>
      <c r="K258" s="289"/>
      <c r="L258" s="289"/>
      <c r="M258" s="289"/>
      <c r="N258" s="289"/>
    </row>
    <row r="259" spans="3:14"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</row>
    <row r="260" spans="3:14">
      <c r="C260" s="289"/>
      <c r="D260" s="289"/>
      <c r="E260" s="289"/>
      <c r="F260" s="289"/>
      <c r="G260" s="289"/>
      <c r="H260" s="289"/>
      <c r="I260" s="289"/>
      <c r="J260" s="289"/>
      <c r="K260" s="289"/>
      <c r="L260" s="289"/>
      <c r="M260" s="289"/>
      <c r="N260" s="289"/>
    </row>
    <row r="261" spans="3:14"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</row>
    <row r="262" spans="3:14"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</row>
    <row r="263" spans="3:14">
      <c r="C263" s="289"/>
      <c r="D263" s="289"/>
      <c r="E263" s="289"/>
      <c r="F263" s="289"/>
      <c r="G263" s="289"/>
      <c r="H263" s="289"/>
      <c r="I263" s="289"/>
      <c r="J263" s="289"/>
      <c r="K263" s="289"/>
      <c r="L263" s="289"/>
      <c r="M263" s="289"/>
      <c r="N263" s="289"/>
    </row>
    <row r="264" spans="3:14">
      <c r="C264" s="289"/>
      <c r="D264" s="289"/>
      <c r="E264" s="289"/>
      <c r="F264" s="289"/>
      <c r="G264" s="289"/>
      <c r="H264" s="289"/>
      <c r="I264" s="289"/>
      <c r="J264" s="289"/>
      <c r="K264" s="289"/>
      <c r="L264" s="289"/>
      <c r="M264" s="289"/>
      <c r="N264" s="289"/>
    </row>
    <row r="265" spans="3:14"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</row>
    <row r="266" spans="3:14">
      <c r="C266" s="289"/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</row>
    <row r="267" spans="3:14">
      <c r="C267" s="289"/>
      <c r="D267" s="289"/>
      <c r="E267" s="289"/>
      <c r="F267" s="289"/>
      <c r="G267" s="289"/>
      <c r="H267" s="289"/>
      <c r="I267" s="289"/>
      <c r="J267" s="289"/>
      <c r="K267" s="289"/>
      <c r="L267" s="289"/>
      <c r="M267" s="289"/>
      <c r="N267" s="289"/>
    </row>
    <row r="268" spans="3:14"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</row>
    <row r="269" spans="3:14">
      <c r="C269" s="289"/>
      <c r="D269" s="289"/>
      <c r="E269" s="289"/>
      <c r="F269" s="289"/>
      <c r="G269" s="289"/>
      <c r="H269" s="289"/>
      <c r="I269" s="289"/>
      <c r="J269" s="289"/>
      <c r="K269" s="289"/>
      <c r="L269" s="289"/>
      <c r="M269" s="289"/>
      <c r="N269" s="289"/>
    </row>
    <row r="270" spans="3:14">
      <c r="C270" s="289"/>
      <c r="D270" s="289"/>
      <c r="E270" s="289"/>
      <c r="F270" s="289"/>
      <c r="G270" s="289"/>
      <c r="H270" s="289"/>
      <c r="I270" s="289"/>
      <c r="J270" s="289"/>
      <c r="K270" s="289"/>
      <c r="L270" s="289"/>
      <c r="M270" s="289"/>
      <c r="N270" s="289"/>
    </row>
    <row r="271" spans="3:14">
      <c r="C271" s="289"/>
      <c r="D271" s="289"/>
      <c r="E271" s="289"/>
      <c r="F271" s="289"/>
      <c r="G271" s="289"/>
      <c r="H271" s="289"/>
      <c r="I271" s="289"/>
      <c r="J271" s="289"/>
      <c r="K271" s="289"/>
      <c r="L271" s="289"/>
      <c r="M271" s="289"/>
      <c r="N271" s="289"/>
    </row>
    <row r="272" spans="3:14"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</row>
    <row r="273" spans="3:14">
      <c r="C273" s="289"/>
      <c r="D273" s="289"/>
      <c r="E273" s="289"/>
      <c r="F273" s="289"/>
      <c r="G273" s="289"/>
      <c r="H273" s="289"/>
      <c r="I273" s="289"/>
      <c r="J273" s="289"/>
      <c r="K273" s="289"/>
      <c r="L273" s="289"/>
      <c r="M273" s="289"/>
      <c r="N273" s="289"/>
    </row>
    <row r="274" spans="3:14">
      <c r="C274" s="289"/>
      <c r="D274" s="289"/>
      <c r="E274" s="289"/>
      <c r="F274" s="289"/>
      <c r="G274" s="289"/>
      <c r="H274" s="289"/>
      <c r="I274" s="289"/>
      <c r="J274" s="289"/>
      <c r="K274" s="289"/>
      <c r="L274" s="289"/>
      <c r="M274" s="289"/>
      <c r="N274" s="289"/>
    </row>
    <row r="275" spans="3:14">
      <c r="C275" s="289"/>
      <c r="D275" s="289"/>
      <c r="E275" s="289"/>
      <c r="F275" s="289"/>
      <c r="G275" s="289"/>
      <c r="H275" s="289"/>
      <c r="I275" s="289"/>
      <c r="J275" s="289"/>
      <c r="K275" s="289"/>
      <c r="L275" s="289"/>
      <c r="M275" s="289"/>
      <c r="N275" s="289"/>
    </row>
    <row r="276" spans="3:14">
      <c r="C276" s="289"/>
      <c r="D276" s="289"/>
      <c r="E276" s="289"/>
      <c r="F276" s="289"/>
      <c r="G276" s="289"/>
      <c r="H276" s="289"/>
      <c r="I276" s="289"/>
      <c r="J276" s="289"/>
      <c r="K276" s="289"/>
      <c r="L276" s="289"/>
      <c r="M276" s="289"/>
      <c r="N276" s="289"/>
    </row>
    <row r="277" spans="3:14">
      <c r="C277" s="289"/>
      <c r="D277" s="289"/>
      <c r="E277" s="289"/>
      <c r="F277" s="289"/>
      <c r="G277" s="289"/>
      <c r="H277" s="289"/>
      <c r="I277" s="289"/>
      <c r="J277" s="289"/>
      <c r="K277" s="289"/>
      <c r="L277" s="289"/>
      <c r="M277" s="289"/>
      <c r="N277" s="289"/>
    </row>
    <row r="278" spans="3:14">
      <c r="C278" s="289"/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</row>
    <row r="279" spans="3:14">
      <c r="C279" s="289"/>
      <c r="D279" s="289"/>
      <c r="E279" s="289"/>
      <c r="F279" s="289"/>
      <c r="G279" s="289"/>
      <c r="H279" s="289"/>
      <c r="I279" s="289"/>
      <c r="J279" s="289"/>
      <c r="K279" s="289"/>
      <c r="L279" s="289"/>
      <c r="M279" s="289"/>
      <c r="N279" s="289"/>
    </row>
    <row r="280" spans="3:14">
      <c r="C280" s="289"/>
      <c r="D280" s="289"/>
      <c r="E280" s="289"/>
      <c r="F280" s="289"/>
      <c r="G280" s="289"/>
      <c r="H280" s="289"/>
      <c r="I280" s="289"/>
      <c r="J280" s="289"/>
      <c r="K280" s="289"/>
      <c r="L280" s="289"/>
      <c r="M280" s="289"/>
      <c r="N280" s="289"/>
    </row>
    <row r="281" spans="3:14">
      <c r="C281" s="289"/>
      <c r="D281" s="289"/>
      <c r="E281" s="289"/>
      <c r="F281" s="289"/>
      <c r="G281" s="289"/>
      <c r="H281" s="289"/>
      <c r="I281" s="289"/>
      <c r="J281" s="289"/>
      <c r="K281" s="289"/>
      <c r="L281" s="289"/>
      <c r="M281" s="289"/>
      <c r="N281" s="289"/>
    </row>
    <row r="282" spans="3:14">
      <c r="C282" s="289"/>
      <c r="D282" s="289"/>
      <c r="E282" s="289"/>
      <c r="F282" s="289"/>
      <c r="G282" s="289"/>
      <c r="H282" s="289"/>
      <c r="I282" s="289"/>
      <c r="J282" s="289"/>
      <c r="K282" s="289"/>
      <c r="L282" s="289"/>
      <c r="M282" s="289"/>
      <c r="N282" s="289"/>
    </row>
    <row r="283" spans="3:14">
      <c r="C283" s="289"/>
      <c r="D283" s="289"/>
      <c r="E283" s="289"/>
      <c r="F283" s="289"/>
      <c r="G283" s="289"/>
      <c r="H283" s="289"/>
      <c r="I283" s="289"/>
      <c r="J283" s="289"/>
      <c r="K283" s="289"/>
      <c r="L283" s="289"/>
      <c r="M283" s="289"/>
      <c r="N283" s="289"/>
    </row>
    <row r="284" spans="3:14">
      <c r="C284" s="289"/>
      <c r="D284" s="289"/>
      <c r="E284" s="289"/>
      <c r="F284" s="289"/>
      <c r="G284" s="289"/>
      <c r="H284" s="289"/>
      <c r="I284" s="289"/>
      <c r="J284" s="289"/>
      <c r="K284" s="289"/>
      <c r="L284" s="289"/>
      <c r="M284" s="289"/>
      <c r="N284" s="289"/>
    </row>
    <row r="285" spans="3:14">
      <c r="C285" s="289"/>
      <c r="D285" s="289"/>
      <c r="E285" s="289"/>
      <c r="F285" s="289"/>
      <c r="G285" s="289"/>
      <c r="H285" s="289"/>
      <c r="I285" s="289"/>
      <c r="J285" s="289"/>
      <c r="K285" s="289"/>
      <c r="L285" s="289"/>
      <c r="M285" s="289"/>
      <c r="N285" s="289"/>
    </row>
    <row r="286" spans="3:14"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</row>
    <row r="287" spans="3:14">
      <c r="C287" s="289"/>
      <c r="D287" s="289"/>
      <c r="E287" s="289"/>
      <c r="F287" s="289"/>
      <c r="G287" s="289"/>
      <c r="H287" s="289"/>
      <c r="I287" s="289"/>
      <c r="J287" s="289"/>
      <c r="K287" s="289"/>
      <c r="L287" s="289"/>
      <c r="M287" s="289"/>
      <c r="N287" s="289"/>
    </row>
    <row r="288" spans="3:14">
      <c r="C288" s="289"/>
      <c r="D288" s="289"/>
      <c r="E288" s="289"/>
      <c r="F288" s="289"/>
      <c r="G288" s="289"/>
      <c r="H288" s="289"/>
      <c r="I288" s="289"/>
      <c r="J288" s="289"/>
      <c r="K288" s="289"/>
      <c r="L288" s="289"/>
      <c r="M288" s="289"/>
      <c r="N288" s="289"/>
    </row>
    <row r="289" spans="3:14"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</row>
    <row r="290" spans="3:14"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</row>
    <row r="291" spans="3:14">
      <c r="C291" s="289"/>
      <c r="D291" s="289"/>
      <c r="E291" s="289"/>
      <c r="F291" s="289"/>
      <c r="G291" s="289"/>
      <c r="H291" s="289"/>
      <c r="I291" s="289"/>
      <c r="J291" s="289"/>
      <c r="K291" s="289"/>
      <c r="L291" s="289"/>
      <c r="M291" s="289"/>
      <c r="N291" s="289"/>
    </row>
    <row r="292" spans="3:14">
      <c r="C292" s="289"/>
      <c r="D292" s="289"/>
      <c r="E292" s="289"/>
      <c r="F292" s="289"/>
      <c r="G292" s="289"/>
      <c r="H292" s="289"/>
      <c r="I292" s="289"/>
      <c r="J292" s="289"/>
      <c r="K292" s="289"/>
      <c r="L292" s="289"/>
      <c r="M292" s="289"/>
      <c r="N292" s="289"/>
    </row>
    <row r="293" spans="3:14"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</row>
    <row r="294" spans="3:14">
      <c r="C294" s="289"/>
      <c r="D294" s="289"/>
      <c r="E294" s="289"/>
      <c r="F294" s="289"/>
      <c r="G294" s="289"/>
      <c r="H294" s="289"/>
      <c r="I294" s="289"/>
      <c r="J294" s="289"/>
      <c r="K294" s="289"/>
      <c r="L294" s="289"/>
      <c r="M294" s="289"/>
      <c r="N294" s="289"/>
    </row>
    <row r="295" spans="3:14">
      <c r="C295" s="289"/>
      <c r="D295" s="289"/>
      <c r="E295" s="289"/>
      <c r="F295" s="289"/>
      <c r="G295" s="289"/>
      <c r="H295" s="289"/>
      <c r="I295" s="289"/>
      <c r="J295" s="289"/>
      <c r="K295" s="289"/>
      <c r="L295" s="289"/>
      <c r="M295" s="289"/>
      <c r="N295" s="289"/>
    </row>
    <row r="296" spans="3:14">
      <c r="C296" s="289"/>
      <c r="D296" s="289"/>
      <c r="E296" s="289"/>
      <c r="F296" s="289"/>
      <c r="G296" s="289"/>
      <c r="H296" s="289"/>
      <c r="I296" s="289"/>
      <c r="J296" s="289"/>
      <c r="K296" s="289"/>
      <c r="L296" s="289"/>
      <c r="M296" s="289"/>
      <c r="N296" s="289"/>
    </row>
    <row r="297" spans="3:14">
      <c r="C297" s="289"/>
      <c r="D297" s="289"/>
      <c r="E297" s="289"/>
      <c r="F297" s="289"/>
      <c r="G297" s="289"/>
      <c r="H297" s="289"/>
      <c r="I297" s="289"/>
      <c r="J297" s="289"/>
      <c r="K297" s="289"/>
      <c r="L297" s="289"/>
      <c r="M297" s="289"/>
      <c r="N297" s="289"/>
    </row>
    <row r="298" spans="3:14">
      <c r="C298" s="289"/>
      <c r="D298" s="289"/>
      <c r="E298" s="289"/>
      <c r="F298" s="289"/>
      <c r="G298" s="289"/>
      <c r="H298" s="289"/>
      <c r="I298" s="289"/>
      <c r="J298" s="289"/>
      <c r="K298" s="289"/>
      <c r="L298" s="289"/>
      <c r="M298" s="289"/>
      <c r="N298" s="289"/>
    </row>
    <row r="299" spans="3:14">
      <c r="C299" s="289"/>
      <c r="D299" s="289"/>
      <c r="E299" s="289"/>
      <c r="F299" s="289"/>
      <c r="G299" s="289"/>
      <c r="H299" s="289"/>
      <c r="I299" s="289"/>
      <c r="J299" s="289"/>
      <c r="K299" s="289"/>
      <c r="L299" s="289"/>
      <c r="M299" s="289"/>
      <c r="N299" s="289"/>
    </row>
    <row r="300" spans="3:14"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289"/>
    </row>
    <row r="301" spans="3:14">
      <c r="C301" s="289"/>
      <c r="D301" s="289"/>
      <c r="E301" s="289"/>
      <c r="F301" s="289"/>
      <c r="G301" s="289"/>
      <c r="H301" s="289"/>
      <c r="I301" s="289"/>
      <c r="J301" s="289"/>
      <c r="K301" s="289"/>
      <c r="L301" s="289"/>
      <c r="M301" s="289"/>
      <c r="N301" s="289"/>
    </row>
    <row r="302" spans="3:14">
      <c r="C302" s="289"/>
      <c r="D302" s="289"/>
      <c r="E302" s="289"/>
      <c r="F302" s="289"/>
      <c r="G302" s="289"/>
      <c r="H302" s="289"/>
      <c r="I302" s="289"/>
      <c r="J302" s="289"/>
      <c r="K302" s="289"/>
      <c r="L302" s="289"/>
      <c r="M302" s="289"/>
      <c r="N302" s="289"/>
    </row>
    <row r="303" spans="3:14">
      <c r="C303" s="289"/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</row>
    <row r="304" spans="3:14">
      <c r="C304" s="289"/>
      <c r="D304" s="289"/>
      <c r="E304" s="289"/>
      <c r="F304" s="289"/>
      <c r="G304" s="289"/>
      <c r="H304" s="289"/>
      <c r="I304" s="289"/>
      <c r="J304" s="289"/>
      <c r="K304" s="289"/>
      <c r="L304" s="289"/>
      <c r="M304" s="289"/>
      <c r="N304" s="289"/>
    </row>
    <row r="305" spans="3:14">
      <c r="C305" s="289"/>
      <c r="D305" s="289"/>
      <c r="E305" s="289"/>
      <c r="F305" s="289"/>
      <c r="G305" s="289"/>
      <c r="H305" s="289"/>
      <c r="I305" s="289"/>
      <c r="J305" s="289"/>
      <c r="K305" s="289"/>
      <c r="L305" s="289"/>
      <c r="M305" s="289"/>
      <c r="N305" s="289"/>
    </row>
    <row r="306" spans="3:14">
      <c r="C306" s="289"/>
      <c r="D306" s="289"/>
      <c r="E306" s="289"/>
      <c r="F306" s="289"/>
      <c r="G306" s="289"/>
      <c r="H306" s="289"/>
      <c r="I306" s="289"/>
      <c r="J306" s="289"/>
      <c r="K306" s="289"/>
      <c r="L306" s="289"/>
      <c r="M306" s="289"/>
      <c r="N306" s="289"/>
    </row>
    <row r="307" spans="3:14"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</row>
    <row r="308" spans="3:14">
      <c r="C308" s="289"/>
      <c r="D308" s="289"/>
      <c r="E308" s="289"/>
      <c r="F308" s="289"/>
      <c r="G308" s="289"/>
      <c r="H308" s="289"/>
      <c r="I308" s="289"/>
      <c r="J308" s="289"/>
      <c r="K308" s="289"/>
      <c r="L308" s="289"/>
      <c r="M308" s="289"/>
      <c r="N308" s="289"/>
    </row>
    <row r="309" spans="3:14"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</row>
    <row r="310" spans="3:14">
      <c r="C310" s="289"/>
      <c r="D310" s="289"/>
      <c r="E310" s="289"/>
      <c r="F310" s="289"/>
      <c r="G310" s="289"/>
      <c r="H310" s="289"/>
      <c r="I310" s="289"/>
      <c r="J310" s="289"/>
      <c r="K310" s="289"/>
      <c r="L310" s="289"/>
      <c r="M310" s="289"/>
      <c r="N310" s="289"/>
    </row>
    <row r="311" spans="3:14">
      <c r="C311" s="289"/>
      <c r="D311" s="289"/>
      <c r="E311" s="289"/>
      <c r="F311" s="289"/>
      <c r="G311" s="289"/>
      <c r="H311" s="289"/>
      <c r="I311" s="289"/>
      <c r="J311" s="289"/>
      <c r="K311" s="289"/>
      <c r="L311" s="289"/>
      <c r="M311" s="289"/>
      <c r="N311" s="289"/>
    </row>
    <row r="312" spans="3:14">
      <c r="C312" s="289"/>
      <c r="D312" s="289"/>
      <c r="E312" s="289"/>
      <c r="F312" s="289"/>
      <c r="G312" s="289"/>
      <c r="H312" s="289"/>
      <c r="I312" s="289"/>
      <c r="J312" s="289"/>
      <c r="K312" s="289"/>
      <c r="L312" s="289"/>
      <c r="M312" s="289"/>
      <c r="N312" s="289"/>
    </row>
    <row r="313" spans="3:14">
      <c r="C313" s="289"/>
      <c r="D313" s="289"/>
      <c r="E313" s="289"/>
      <c r="F313" s="289"/>
      <c r="G313" s="289"/>
      <c r="H313" s="289"/>
      <c r="I313" s="289"/>
      <c r="J313" s="289"/>
      <c r="K313" s="289"/>
      <c r="L313" s="289"/>
      <c r="M313" s="289"/>
      <c r="N313" s="289"/>
    </row>
    <row r="314" spans="3:14"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</row>
    <row r="315" spans="3:14">
      <c r="C315" s="289"/>
      <c r="D315" s="289"/>
      <c r="E315" s="289"/>
      <c r="F315" s="289"/>
      <c r="G315" s="289"/>
      <c r="H315" s="289"/>
      <c r="I315" s="289"/>
      <c r="J315" s="289"/>
      <c r="K315" s="289"/>
      <c r="L315" s="289"/>
      <c r="M315" s="289"/>
      <c r="N315" s="289"/>
    </row>
    <row r="316" spans="3:14">
      <c r="C316" s="289"/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</row>
    <row r="317" spans="3:14">
      <c r="C317" s="289"/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</row>
    <row r="318" spans="3:14">
      <c r="C318" s="289"/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</row>
    <row r="319" spans="3:14">
      <c r="C319" s="289"/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</row>
    <row r="320" spans="3:14"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</row>
    <row r="321" spans="3:14">
      <c r="C321" s="289"/>
      <c r="D321" s="289"/>
      <c r="E321" s="289"/>
      <c r="F321" s="289"/>
      <c r="G321" s="289"/>
      <c r="H321" s="289"/>
      <c r="I321" s="289"/>
      <c r="J321" s="289"/>
      <c r="K321" s="289"/>
      <c r="L321" s="289"/>
      <c r="M321" s="289"/>
      <c r="N321" s="289"/>
    </row>
    <row r="322" spans="3:14">
      <c r="C322" s="289"/>
      <c r="D322" s="289"/>
      <c r="E322" s="289"/>
      <c r="F322" s="289"/>
      <c r="G322" s="289"/>
      <c r="H322" s="289"/>
      <c r="I322" s="289"/>
      <c r="J322" s="289"/>
      <c r="K322" s="289"/>
      <c r="L322" s="289"/>
      <c r="M322" s="289"/>
      <c r="N322" s="289"/>
    </row>
    <row r="323" spans="3:14"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</row>
    <row r="324" spans="3:14">
      <c r="C324" s="289"/>
      <c r="D324" s="289"/>
      <c r="E324" s="289"/>
      <c r="F324" s="289"/>
      <c r="G324" s="289"/>
      <c r="H324" s="289"/>
      <c r="I324" s="289"/>
      <c r="J324" s="289"/>
      <c r="K324" s="289"/>
      <c r="L324" s="289"/>
      <c r="M324" s="289"/>
      <c r="N324" s="289"/>
    </row>
    <row r="325" spans="3:14">
      <c r="C325" s="289"/>
      <c r="D325" s="289"/>
      <c r="E325" s="289"/>
      <c r="F325" s="289"/>
      <c r="G325" s="289"/>
      <c r="H325" s="289"/>
      <c r="I325" s="289"/>
      <c r="J325" s="289"/>
      <c r="K325" s="289"/>
      <c r="L325" s="289"/>
      <c r="M325" s="289"/>
      <c r="N325" s="289"/>
    </row>
    <row r="326" spans="3:14"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</row>
    <row r="327" spans="3:14">
      <c r="C327" s="289"/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</row>
    <row r="328" spans="3:14">
      <c r="C328" s="289"/>
      <c r="D328" s="289"/>
      <c r="E328" s="289"/>
      <c r="F328" s="289"/>
      <c r="G328" s="289"/>
      <c r="H328" s="289"/>
      <c r="I328" s="289"/>
      <c r="J328" s="289"/>
      <c r="K328" s="289"/>
      <c r="L328" s="289"/>
      <c r="M328" s="289"/>
      <c r="N328" s="289"/>
    </row>
    <row r="329" spans="3:14">
      <c r="C329" s="289"/>
      <c r="D329" s="289"/>
      <c r="E329" s="289"/>
      <c r="F329" s="289"/>
      <c r="G329" s="289"/>
      <c r="H329" s="289"/>
      <c r="I329" s="289"/>
      <c r="J329" s="289"/>
      <c r="K329" s="289"/>
      <c r="L329" s="289"/>
      <c r="M329" s="289"/>
      <c r="N329" s="289"/>
    </row>
    <row r="330" spans="3:14">
      <c r="C330" s="289"/>
      <c r="D330" s="289"/>
      <c r="E330" s="289"/>
      <c r="F330" s="289"/>
      <c r="G330" s="289"/>
      <c r="H330" s="289"/>
      <c r="I330" s="289"/>
      <c r="J330" s="289"/>
      <c r="K330" s="289"/>
      <c r="L330" s="289"/>
      <c r="M330" s="289"/>
      <c r="N330" s="289"/>
    </row>
    <row r="331" spans="3:14">
      <c r="C331" s="289"/>
      <c r="D331" s="289"/>
      <c r="E331" s="289"/>
      <c r="F331" s="289"/>
      <c r="G331" s="289"/>
      <c r="H331" s="289"/>
      <c r="I331" s="289"/>
      <c r="J331" s="289"/>
      <c r="K331" s="289"/>
      <c r="L331" s="289"/>
      <c r="M331" s="289"/>
      <c r="N331" s="289"/>
    </row>
    <row r="332" spans="3:14">
      <c r="C332" s="289"/>
      <c r="D332" s="289"/>
      <c r="E332" s="289"/>
      <c r="F332" s="289"/>
      <c r="G332" s="289"/>
      <c r="H332" s="289"/>
      <c r="I332" s="289"/>
      <c r="J332" s="289"/>
      <c r="K332" s="289"/>
      <c r="L332" s="289"/>
      <c r="M332" s="289"/>
      <c r="N332" s="289"/>
    </row>
    <row r="333" spans="3:14">
      <c r="C333" s="289"/>
      <c r="D333" s="289"/>
      <c r="E333" s="289"/>
      <c r="F333" s="289"/>
      <c r="G333" s="289"/>
      <c r="H333" s="289"/>
      <c r="I333" s="289"/>
      <c r="J333" s="289"/>
      <c r="K333" s="289"/>
      <c r="L333" s="289"/>
      <c r="M333" s="289"/>
      <c r="N333" s="289"/>
    </row>
    <row r="334" spans="3:14">
      <c r="C334" s="289"/>
      <c r="D334" s="289"/>
      <c r="E334" s="289"/>
      <c r="F334" s="289"/>
      <c r="G334" s="289"/>
      <c r="H334" s="289"/>
      <c r="I334" s="289"/>
      <c r="J334" s="289"/>
      <c r="K334" s="289"/>
      <c r="L334" s="289"/>
      <c r="M334" s="289"/>
      <c r="N334" s="289"/>
    </row>
    <row r="335" spans="3:14">
      <c r="C335" s="289"/>
      <c r="D335" s="289"/>
      <c r="E335" s="289"/>
      <c r="F335" s="289"/>
      <c r="G335" s="289"/>
      <c r="H335" s="289"/>
      <c r="I335" s="289"/>
      <c r="J335" s="289"/>
      <c r="K335" s="289"/>
      <c r="L335" s="289"/>
      <c r="M335" s="289"/>
      <c r="N335" s="289"/>
    </row>
    <row r="336" spans="3:14">
      <c r="C336" s="289"/>
      <c r="D336" s="289"/>
      <c r="E336" s="289"/>
      <c r="F336" s="289"/>
      <c r="G336" s="289"/>
      <c r="H336" s="289"/>
      <c r="I336" s="289"/>
      <c r="J336" s="289"/>
      <c r="K336" s="289"/>
      <c r="L336" s="289"/>
      <c r="M336" s="289"/>
      <c r="N336" s="289"/>
    </row>
    <row r="337" spans="3:14">
      <c r="C337" s="289"/>
      <c r="D337" s="289"/>
      <c r="E337" s="289"/>
      <c r="F337" s="289"/>
      <c r="G337" s="289"/>
      <c r="H337" s="289"/>
      <c r="I337" s="289"/>
      <c r="J337" s="289"/>
      <c r="K337" s="289"/>
      <c r="L337" s="289"/>
      <c r="M337" s="289"/>
      <c r="N337" s="289"/>
    </row>
    <row r="338" spans="3:14"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</row>
    <row r="339" spans="3:14">
      <c r="C339" s="289"/>
      <c r="D339" s="289"/>
      <c r="E339" s="289"/>
      <c r="F339" s="289"/>
      <c r="G339" s="289"/>
      <c r="H339" s="289"/>
      <c r="I339" s="289"/>
      <c r="J339" s="289"/>
      <c r="K339" s="289"/>
      <c r="L339" s="289"/>
      <c r="M339" s="289"/>
      <c r="N339" s="289"/>
    </row>
    <row r="340" spans="3:14">
      <c r="C340" s="289"/>
      <c r="D340" s="289"/>
      <c r="E340" s="289"/>
      <c r="F340" s="289"/>
      <c r="G340" s="289"/>
      <c r="H340" s="289"/>
      <c r="I340" s="289"/>
      <c r="J340" s="289"/>
      <c r="K340" s="289"/>
      <c r="L340" s="289"/>
      <c r="M340" s="289"/>
      <c r="N340" s="289"/>
    </row>
    <row r="341" spans="3:14">
      <c r="C341" s="289"/>
      <c r="D341" s="289"/>
      <c r="E341" s="289"/>
      <c r="F341" s="289"/>
      <c r="G341" s="289"/>
      <c r="H341" s="289"/>
      <c r="I341" s="289"/>
      <c r="J341" s="289"/>
      <c r="K341" s="289"/>
      <c r="L341" s="289"/>
      <c r="M341" s="289"/>
      <c r="N341" s="289"/>
    </row>
    <row r="342" spans="3:14"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</row>
    <row r="343" spans="3:14">
      <c r="C343" s="289"/>
      <c r="D343" s="289"/>
      <c r="E343" s="289"/>
      <c r="F343" s="289"/>
      <c r="G343" s="289"/>
      <c r="H343" s="289"/>
      <c r="I343" s="289"/>
      <c r="J343" s="289"/>
      <c r="K343" s="289"/>
      <c r="L343" s="289"/>
      <c r="M343" s="289"/>
      <c r="N343" s="289"/>
    </row>
    <row r="344" spans="3:14">
      <c r="C344" s="289"/>
      <c r="D344" s="289"/>
      <c r="E344" s="289"/>
      <c r="F344" s="289"/>
      <c r="G344" s="289"/>
      <c r="H344" s="289"/>
      <c r="I344" s="289"/>
      <c r="J344" s="289"/>
      <c r="K344" s="289"/>
      <c r="L344" s="289"/>
      <c r="M344" s="289"/>
      <c r="N344" s="289"/>
    </row>
    <row r="345" spans="3:14">
      <c r="C345" s="289"/>
      <c r="D345" s="289"/>
      <c r="E345" s="289"/>
      <c r="F345" s="289"/>
      <c r="G345" s="289"/>
      <c r="H345" s="289"/>
      <c r="I345" s="289"/>
      <c r="J345" s="289"/>
      <c r="K345" s="289"/>
      <c r="L345" s="289"/>
      <c r="M345" s="289"/>
      <c r="N345" s="289"/>
    </row>
    <row r="346" spans="3:14">
      <c r="C346" s="289"/>
      <c r="D346" s="289"/>
      <c r="E346" s="289"/>
      <c r="F346" s="289"/>
      <c r="G346" s="289"/>
      <c r="H346" s="289"/>
      <c r="I346" s="289"/>
      <c r="J346" s="289"/>
      <c r="K346" s="289"/>
      <c r="L346" s="289"/>
      <c r="M346" s="289"/>
      <c r="N346" s="289"/>
    </row>
    <row r="347" spans="3:14">
      <c r="C347" s="289"/>
      <c r="D347" s="289"/>
      <c r="E347" s="289"/>
      <c r="F347" s="289"/>
      <c r="G347" s="289"/>
      <c r="H347" s="289"/>
      <c r="I347" s="289"/>
      <c r="J347" s="289"/>
      <c r="K347" s="289"/>
      <c r="L347" s="289"/>
      <c r="M347" s="289"/>
      <c r="N347" s="289"/>
    </row>
    <row r="348" spans="3:14">
      <c r="C348" s="289"/>
      <c r="D348" s="289"/>
      <c r="E348" s="289"/>
      <c r="F348" s="289"/>
      <c r="G348" s="289"/>
      <c r="H348" s="289"/>
      <c r="I348" s="289"/>
      <c r="J348" s="289"/>
      <c r="K348" s="289"/>
      <c r="L348" s="289"/>
      <c r="M348" s="289"/>
      <c r="N348" s="289"/>
    </row>
    <row r="349" spans="3:14">
      <c r="C349" s="289"/>
      <c r="D349" s="289"/>
      <c r="E349" s="289"/>
      <c r="F349" s="289"/>
      <c r="G349" s="289"/>
      <c r="H349" s="289"/>
      <c r="I349" s="289"/>
      <c r="J349" s="289"/>
      <c r="K349" s="289"/>
      <c r="L349" s="289"/>
      <c r="M349" s="289"/>
      <c r="N349" s="289"/>
    </row>
    <row r="350" spans="3:14">
      <c r="C350" s="289"/>
      <c r="D350" s="289"/>
      <c r="E350" s="289"/>
      <c r="F350" s="289"/>
      <c r="G350" s="289"/>
      <c r="H350" s="289"/>
      <c r="I350" s="289"/>
      <c r="J350" s="289"/>
      <c r="K350" s="289"/>
      <c r="L350" s="289"/>
      <c r="M350" s="289"/>
      <c r="N350" s="289"/>
    </row>
    <row r="351" spans="3:14">
      <c r="C351" s="289"/>
      <c r="D351" s="289"/>
      <c r="E351" s="289"/>
      <c r="F351" s="289"/>
      <c r="G351" s="289"/>
      <c r="H351" s="289"/>
      <c r="I351" s="289"/>
      <c r="J351" s="289"/>
      <c r="K351" s="289"/>
      <c r="L351" s="289"/>
      <c r="M351" s="289"/>
      <c r="N351" s="289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509" t="s">
        <v>227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</row>
    <row r="2" spans="1:19" ht="15.75">
      <c r="A2" s="510" t="s">
        <v>37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</row>
    <row r="3" spans="1:19">
      <c r="A3" s="268" t="s">
        <v>0</v>
      </c>
    </row>
    <row r="4" spans="1:19">
      <c r="A4" s="146" t="s">
        <v>1</v>
      </c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19">
      <c r="B5" s="285" t="s">
        <v>228</v>
      </c>
      <c r="C5" s="267"/>
      <c r="D5" s="511" t="s">
        <v>10</v>
      </c>
      <c r="E5" s="511"/>
      <c r="F5" s="320">
        <v>43131</v>
      </c>
      <c r="G5" s="320">
        <f>EOMONTH(F5,1)</f>
        <v>43159</v>
      </c>
      <c r="H5" s="320">
        <f t="shared" ref="H5:Q5" si="0">EOMONTH(G5,1)</f>
        <v>43190</v>
      </c>
      <c r="I5" s="320">
        <f t="shared" si="0"/>
        <v>43220</v>
      </c>
      <c r="J5" s="320">
        <f t="shared" si="0"/>
        <v>43251</v>
      </c>
      <c r="K5" s="320">
        <f t="shared" si="0"/>
        <v>43281</v>
      </c>
      <c r="L5" s="320">
        <f t="shared" si="0"/>
        <v>43312</v>
      </c>
      <c r="M5" s="320">
        <f t="shared" si="0"/>
        <v>43343</v>
      </c>
      <c r="N5" s="320">
        <f t="shared" si="0"/>
        <v>43373</v>
      </c>
      <c r="O5" s="320">
        <f t="shared" si="0"/>
        <v>43404</v>
      </c>
      <c r="P5" s="320">
        <f t="shared" si="0"/>
        <v>43434</v>
      </c>
      <c r="Q5" s="320">
        <f t="shared" si="0"/>
        <v>43465</v>
      </c>
    </row>
    <row r="6" spans="1:19" ht="15.95" customHeight="1">
      <c r="A6" s="146">
        <v>1</v>
      </c>
      <c r="B6" s="51" t="s">
        <v>3</v>
      </c>
      <c r="D6" s="512">
        <f>SUM(F6:Q6)</f>
        <v>44553053</v>
      </c>
      <c r="E6" s="512"/>
      <c r="F6" s="161">
        <f>'WA Monthly'!E23</f>
        <v>16833261</v>
      </c>
      <c r="G6" s="161">
        <f>'WA Monthly'!F23</f>
        <v>15418244</v>
      </c>
      <c r="H6" s="161">
        <f>'WA Monthly'!G23</f>
        <v>12301548</v>
      </c>
      <c r="I6" s="161">
        <f>'WA Monthly'!H23</f>
        <v>0</v>
      </c>
      <c r="J6" s="161">
        <f>'WA Monthly'!I23</f>
        <v>0</v>
      </c>
      <c r="K6" s="161">
        <f>'WA Monthly'!J23</f>
        <v>0</v>
      </c>
      <c r="L6" s="161">
        <f>'WA Monthly'!K23</f>
        <v>0</v>
      </c>
      <c r="M6" s="161">
        <f>'WA Monthly'!L23</f>
        <v>0</v>
      </c>
      <c r="N6" s="161">
        <f>'WA Monthly'!M23</f>
        <v>0</v>
      </c>
      <c r="O6" s="161">
        <f>'WA Monthly'!N23</f>
        <v>0</v>
      </c>
      <c r="P6" s="161">
        <f>'WA Monthly'!O23</f>
        <v>0</v>
      </c>
      <c r="Q6" s="161">
        <f>'WA Monthly'!P23</f>
        <v>0</v>
      </c>
    </row>
    <row r="7" spans="1:19" ht="15.95" customHeight="1">
      <c r="A7" s="146">
        <f t="shared" ref="A7:A13" si="1">A6+1</f>
        <v>2</v>
      </c>
      <c r="B7" s="51" t="s">
        <v>6</v>
      </c>
      <c r="D7" s="506">
        <f t="shared" ref="D7:D13" si="2">SUM(F7:Q7)</f>
        <v>-34902292</v>
      </c>
      <c r="E7" s="506"/>
      <c r="F7" s="161">
        <f>'WA Monthly'!E45</f>
        <v>-14027524</v>
      </c>
      <c r="G7" s="161">
        <f>'WA Monthly'!F45</f>
        <v>-9676671</v>
      </c>
      <c r="H7" s="161">
        <f>'WA Monthly'!G45</f>
        <v>-11198097</v>
      </c>
      <c r="I7" s="161">
        <f>'WA Monthly'!H45</f>
        <v>0</v>
      </c>
      <c r="J7" s="161">
        <f>'WA Monthly'!I45</f>
        <v>0</v>
      </c>
      <c r="K7" s="161">
        <f>'WA Monthly'!J45</f>
        <v>0</v>
      </c>
      <c r="L7" s="161">
        <f>'WA Monthly'!K45</f>
        <v>0</v>
      </c>
      <c r="M7" s="161">
        <f>'WA Monthly'!L45</f>
        <v>0</v>
      </c>
      <c r="N7" s="161">
        <f>'WA Monthly'!M45</f>
        <v>0</v>
      </c>
      <c r="O7" s="161">
        <f>'WA Monthly'!N45</f>
        <v>0</v>
      </c>
      <c r="P7" s="161">
        <f>'WA Monthly'!O45</f>
        <v>0</v>
      </c>
      <c r="Q7" s="161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505">
        <f t="shared" si="2"/>
        <v>7070850</v>
      </c>
      <c r="E8" s="505"/>
      <c r="F8" s="161">
        <f>'WA Monthly'!E62</f>
        <v>2809889</v>
      </c>
      <c r="G8" s="161">
        <f>'WA Monthly'!F62</f>
        <v>1451692</v>
      </c>
      <c r="H8" s="161">
        <f>'WA Monthly'!G62</f>
        <v>2809269</v>
      </c>
      <c r="I8" s="161">
        <f>'WA Monthly'!H62</f>
        <v>0</v>
      </c>
      <c r="J8" s="161">
        <f>'WA Monthly'!I62</f>
        <v>0</v>
      </c>
      <c r="K8" s="161">
        <f>'WA Monthly'!J62</f>
        <v>0</v>
      </c>
      <c r="L8" s="161">
        <f>'WA Monthly'!K62</f>
        <v>0</v>
      </c>
      <c r="M8" s="161">
        <f>'WA Monthly'!L62</f>
        <v>0</v>
      </c>
      <c r="N8" s="161">
        <f>'WA Monthly'!M62</f>
        <v>0</v>
      </c>
      <c r="O8" s="161">
        <f>'WA Monthly'!N62</f>
        <v>0</v>
      </c>
      <c r="P8" s="161">
        <f>'WA Monthly'!O62</f>
        <v>0</v>
      </c>
      <c r="Q8" s="161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505">
        <f t="shared" si="2"/>
        <v>17842380</v>
      </c>
      <c r="E9" s="505"/>
      <c r="F9" s="161">
        <f>'WA Monthly'!E79</f>
        <v>6964296</v>
      </c>
      <c r="G9" s="161">
        <f>'WA Monthly'!F79</f>
        <v>4564678</v>
      </c>
      <c r="H9" s="161">
        <f>'WA Monthly'!G79</f>
        <v>6313406</v>
      </c>
      <c r="I9" s="161">
        <f>'WA Monthly'!H79</f>
        <v>0</v>
      </c>
      <c r="J9" s="161">
        <f>'WA Monthly'!I79</f>
        <v>0</v>
      </c>
      <c r="K9" s="161">
        <f>'WA Monthly'!J79</f>
        <v>0</v>
      </c>
      <c r="L9" s="161">
        <f>'WA Monthly'!K79</f>
        <v>0</v>
      </c>
      <c r="M9" s="161">
        <f>'WA Monthly'!L79</f>
        <v>0</v>
      </c>
      <c r="N9" s="161">
        <f>'WA Monthly'!M79</f>
        <v>0</v>
      </c>
      <c r="O9" s="161">
        <f>'WA Monthly'!N79</f>
        <v>0</v>
      </c>
      <c r="P9" s="161">
        <f>'WA Monthly'!O79</f>
        <v>0</v>
      </c>
      <c r="Q9" s="161">
        <f>'WA Monthly'!P79</f>
        <v>0</v>
      </c>
    </row>
    <row r="10" spans="1:19" ht="15.95" customHeight="1">
      <c r="A10" s="146">
        <f t="shared" si="1"/>
        <v>5</v>
      </c>
      <c r="B10" s="51" t="s">
        <v>143</v>
      </c>
      <c r="C10" s="41"/>
      <c r="D10" s="506">
        <f t="shared" si="2"/>
        <v>-3864409</v>
      </c>
      <c r="E10" s="506"/>
      <c r="F10" s="161">
        <f>'WA Monthly'!E92</f>
        <v>-1346464</v>
      </c>
      <c r="G10" s="161">
        <f>'WA Monthly'!F92</f>
        <v>-1432165</v>
      </c>
      <c r="H10" s="161">
        <f>'WA Monthly'!G92</f>
        <v>-1085780</v>
      </c>
      <c r="I10" s="161">
        <f>'WA Monthly'!H92</f>
        <v>0</v>
      </c>
      <c r="J10" s="161">
        <f>'WA Monthly'!I92</f>
        <v>0</v>
      </c>
      <c r="K10" s="161">
        <f>'WA Monthly'!J92</f>
        <v>0</v>
      </c>
      <c r="L10" s="161">
        <f>'WA Monthly'!K92</f>
        <v>0</v>
      </c>
      <c r="M10" s="161">
        <f>'WA Monthly'!L92</f>
        <v>0</v>
      </c>
      <c r="N10" s="161">
        <f>'WA Monthly'!M92</f>
        <v>0</v>
      </c>
      <c r="O10" s="161">
        <f>'WA Monthly'!N92</f>
        <v>0</v>
      </c>
      <c r="P10" s="161">
        <f>'WA Monthly'!O92</f>
        <v>0</v>
      </c>
      <c r="Q10" s="161">
        <f>'WA Monthly'!P92</f>
        <v>0</v>
      </c>
    </row>
    <row r="11" spans="1:19" ht="15.95" customHeight="1">
      <c r="A11" s="146">
        <f t="shared" si="1"/>
        <v>6</v>
      </c>
      <c r="B11" s="51" t="s">
        <v>109</v>
      </c>
      <c r="C11" s="41"/>
      <c r="D11" s="505">
        <f t="shared" si="2"/>
        <v>4534381</v>
      </c>
      <c r="E11" s="505"/>
      <c r="F11" s="161">
        <f>'WA Monthly'!E98</f>
        <v>1537140</v>
      </c>
      <c r="G11" s="161">
        <f>'WA Monthly'!F98</f>
        <v>1480382</v>
      </c>
      <c r="H11" s="161">
        <f>'WA Monthly'!G98</f>
        <v>1516859</v>
      </c>
      <c r="I11" s="161">
        <f>'WA Monthly'!H98</f>
        <v>0</v>
      </c>
      <c r="J11" s="161">
        <f>'WA Monthly'!I98</f>
        <v>0</v>
      </c>
      <c r="K11" s="161">
        <f>'WA Monthly'!J98</f>
        <v>0</v>
      </c>
      <c r="L11" s="161">
        <f>'WA Monthly'!K98</f>
        <v>0</v>
      </c>
      <c r="M11" s="161">
        <f>'WA Monthly'!L98</f>
        <v>0</v>
      </c>
      <c r="N11" s="161">
        <f>'WA Monthly'!M98</f>
        <v>0</v>
      </c>
      <c r="O11" s="161">
        <f>'WA Monthly'!N98</f>
        <v>0</v>
      </c>
      <c r="P11" s="161">
        <f>'WA Monthly'!O98</f>
        <v>0</v>
      </c>
      <c r="Q11" s="161">
        <f>'WA Monthly'!P98</f>
        <v>0</v>
      </c>
    </row>
    <row r="12" spans="1:19" ht="15.95" customHeight="1">
      <c r="A12" s="146">
        <f t="shared" si="1"/>
        <v>7</v>
      </c>
      <c r="B12" s="51" t="s">
        <v>110</v>
      </c>
      <c r="C12" s="41"/>
      <c r="D12" s="505">
        <f t="shared" si="2"/>
        <v>158844</v>
      </c>
      <c r="E12" s="505"/>
      <c r="F12" s="161">
        <f>'WA Monthly'!E105</f>
        <v>64248</v>
      </c>
      <c r="G12" s="161">
        <f>'WA Monthly'!F105</f>
        <v>38145</v>
      </c>
      <c r="H12" s="161">
        <f>'WA Monthly'!G105</f>
        <v>56451</v>
      </c>
      <c r="I12" s="161">
        <f>'WA Monthly'!H105</f>
        <v>0</v>
      </c>
      <c r="J12" s="161">
        <f>'WA Monthly'!I105</f>
        <v>0</v>
      </c>
      <c r="K12" s="161">
        <f>'WA Monthly'!J105</f>
        <v>0</v>
      </c>
      <c r="L12" s="161">
        <f>'WA Monthly'!K105</f>
        <v>0</v>
      </c>
      <c r="M12" s="161">
        <f>'WA Monthly'!L105</f>
        <v>0</v>
      </c>
      <c r="N12" s="161">
        <f>'WA Monthly'!M105</f>
        <v>0</v>
      </c>
      <c r="O12" s="161">
        <f>'WA Monthly'!N105</f>
        <v>0</v>
      </c>
      <c r="P12" s="161">
        <f>'WA Monthly'!O105</f>
        <v>0</v>
      </c>
      <c r="Q12" s="161">
        <f>'WA Monthly'!P105</f>
        <v>0</v>
      </c>
    </row>
    <row r="13" spans="1:19" ht="15.95" customHeight="1">
      <c r="A13" s="146">
        <f t="shared" si="1"/>
        <v>8</v>
      </c>
      <c r="B13" s="321" t="s">
        <v>11</v>
      </c>
      <c r="C13" s="321"/>
      <c r="D13" s="498">
        <f t="shared" si="2"/>
        <v>35392807</v>
      </c>
      <c r="E13" s="498"/>
      <c r="F13" s="322">
        <f t="shared" ref="F13:Q13" si="3">SUM(F6:F12)</f>
        <v>12834846</v>
      </c>
      <c r="G13" s="322">
        <f t="shared" si="3"/>
        <v>11844305</v>
      </c>
      <c r="H13" s="322">
        <f t="shared" si="3"/>
        <v>10713656</v>
      </c>
      <c r="I13" s="322">
        <f t="shared" si="3"/>
        <v>0</v>
      </c>
      <c r="J13" s="322">
        <f t="shared" si="3"/>
        <v>0</v>
      </c>
      <c r="K13" s="322">
        <f t="shared" si="3"/>
        <v>0</v>
      </c>
      <c r="L13" s="322">
        <f t="shared" si="3"/>
        <v>0</v>
      </c>
      <c r="M13" s="322">
        <f t="shared" si="3"/>
        <v>0</v>
      </c>
      <c r="N13" s="322">
        <f t="shared" si="3"/>
        <v>0</v>
      </c>
      <c r="O13" s="322">
        <f t="shared" si="3"/>
        <v>0</v>
      </c>
      <c r="P13" s="322">
        <f t="shared" si="3"/>
        <v>0</v>
      </c>
      <c r="Q13" s="322">
        <f t="shared" si="3"/>
        <v>0</v>
      </c>
    </row>
    <row r="14" spans="1:19" ht="37.5" customHeight="1">
      <c r="B14" s="285" t="s">
        <v>14</v>
      </c>
      <c r="C14" s="267"/>
      <c r="D14" s="507" t="s">
        <v>488</v>
      </c>
      <c r="E14" s="508"/>
      <c r="F14" s="324">
        <f>F5</f>
        <v>43131</v>
      </c>
      <c r="G14" s="324">
        <f>G5</f>
        <v>43159</v>
      </c>
      <c r="H14" s="324">
        <f t="shared" ref="H14:Q14" si="4">H5</f>
        <v>43190</v>
      </c>
      <c r="I14" s="324">
        <f t="shared" si="4"/>
        <v>43220</v>
      </c>
      <c r="J14" s="324">
        <f t="shared" si="4"/>
        <v>43251</v>
      </c>
      <c r="K14" s="324">
        <f t="shared" si="4"/>
        <v>43281</v>
      </c>
      <c r="L14" s="324">
        <f t="shared" si="4"/>
        <v>43312</v>
      </c>
      <c r="M14" s="324">
        <f t="shared" si="4"/>
        <v>43343</v>
      </c>
      <c r="N14" s="324">
        <f t="shared" si="4"/>
        <v>43373</v>
      </c>
      <c r="O14" s="324">
        <f t="shared" si="4"/>
        <v>43404</v>
      </c>
      <c r="P14" s="324">
        <f t="shared" si="4"/>
        <v>43434</v>
      </c>
      <c r="Q14" s="324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504">
        <f t="shared" ref="D15:D22" si="5">SUM(F15:H15)</f>
        <v>34379637</v>
      </c>
      <c r="E15" s="504"/>
      <c r="F15" s="250">
        <f>'Input Tab'!C5</f>
        <v>12127251</v>
      </c>
      <c r="G15" s="250">
        <f>'Input Tab'!D5</f>
        <v>11591985</v>
      </c>
      <c r="H15" s="250">
        <f>'Input Tab'!E5</f>
        <v>10660401</v>
      </c>
      <c r="I15" s="250">
        <f>'Input Tab'!F5</f>
        <v>10031882</v>
      </c>
      <c r="J15" s="250">
        <f>'Input Tab'!G5</f>
        <v>8675133</v>
      </c>
      <c r="K15" s="250">
        <f>'Input Tab'!H5</f>
        <v>8326700</v>
      </c>
      <c r="L15" s="250">
        <f>'Input Tab'!I5</f>
        <v>8166121</v>
      </c>
      <c r="M15" s="250">
        <f>'Input Tab'!J5</f>
        <v>9056301</v>
      </c>
      <c r="N15" s="250">
        <f>'Input Tab'!K5</f>
        <v>7883689</v>
      </c>
      <c r="O15" s="250">
        <f>'Input Tab'!L5</f>
        <v>8186793</v>
      </c>
      <c r="P15" s="250">
        <f>'Input Tab'!M5</f>
        <v>11995843</v>
      </c>
      <c r="Q15" s="250">
        <f>'Input Tab'!N5</f>
        <v>12493230</v>
      </c>
      <c r="R15" s="238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504">
        <f t="shared" si="5"/>
        <v>-20859255</v>
      </c>
      <c r="E16" s="504"/>
      <c r="F16" s="325">
        <f>'Input Tab'!C6</f>
        <v>-7154528</v>
      </c>
      <c r="G16" s="325">
        <f>'Input Tab'!D6</f>
        <v>-6331583</v>
      </c>
      <c r="H16" s="325">
        <f>'Input Tab'!E6</f>
        <v>-7373144</v>
      </c>
      <c r="I16" s="325">
        <f>'Input Tab'!F6</f>
        <v>-9451450</v>
      </c>
      <c r="J16" s="325">
        <f>'Input Tab'!G6</f>
        <v>-8788449</v>
      </c>
      <c r="K16" s="325">
        <f>'Input Tab'!H6</f>
        <v>-8347826</v>
      </c>
      <c r="L16" s="325">
        <f>'Input Tab'!I6</f>
        <v>-7766255</v>
      </c>
      <c r="M16" s="325">
        <f>'Input Tab'!J6</f>
        <v>-5454044</v>
      </c>
      <c r="N16" s="325">
        <f>'Input Tab'!K6</f>
        <v>-6343594</v>
      </c>
      <c r="O16" s="325">
        <f>'Input Tab'!L6</f>
        <v>-6461587</v>
      </c>
      <c r="P16" s="325">
        <f>'Input Tab'!M6</f>
        <v>-7582420</v>
      </c>
      <c r="Q16" s="325">
        <f>'Input Tab'!N6</f>
        <v>-7533482</v>
      </c>
      <c r="R16" s="238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504">
        <f t="shared" si="5"/>
        <v>7665147</v>
      </c>
      <c r="E17" s="504"/>
      <c r="F17" s="250">
        <f>'Input Tab'!C7</f>
        <v>2667343</v>
      </c>
      <c r="G17" s="250">
        <f>'Input Tab'!D7</f>
        <v>2503517</v>
      </c>
      <c r="H17" s="250">
        <f>'Input Tab'!E7</f>
        <v>2494287</v>
      </c>
      <c r="I17" s="250">
        <f>'Input Tab'!F7</f>
        <v>2179004</v>
      </c>
      <c r="J17" s="250">
        <f>'Input Tab'!G7</f>
        <v>1851578</v>
      </c>
      <c r="K17" s="250">
        <f>'Input Tab'!H7</f>
        <v>1612580</v>
      </c>
      <c r="L17" s="250">
        <f>'Input Tab'!I7</f>
        <v>2427227</v>
      </c>
      <c r="M17" s="250">
        <f>'Input Tab'!J7</f>
        <v>2652598</v>
      </c>
      <c r="N17" s="250">
        <f>'Input Tab'!K7</f>
        <v>2644728</v>
      </c>
      <c r="O17" s="250">
        <f>'Input Tab'!L7</f>
        <v>2706850</v>
      </c>
      <c r="P17" s="250">
        <f>'Input Tab'!M7</f>
        <v>2628470</v>
      </c>
      <c r="Q17" s="250">
        <f>'Input Tab'!N7</f>
        <v>2755227</v>
      </c>
      <c r="R17" s="238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504">
        <f t="shared" si="5"/>
        <v>23472979</v>
      </c>
      <c r="E18" s="504"/>
      <c r="F18" s="250">
        <f>'Input Tab'!C8</f>
        <v>8481668</v>
      </c>
      <c r="G18" s="250">
        <f>'Input Tab'!D8</f>
        <v>7698692</v>
      </c>
      <c r="H18" s="250">
        <f>'Input Tab'!E8</f>
        <v>7292619</v>
      </c>
      <c r="I18" s="250">
        <f>'Input Tab'!F8</f>
        <v>5265751</v>
      </c>
      <c r="J18" s="250">
        <f>'Input Tab'!G8</f>
        <v>2664694</v>
      </c>
      <c r="K18" s="250">
        <f>'Input Tab'!H8</f>
        <v>2712482</v>
      </c>
      <c r="L18" s="250">
        <f>'Input Tab'!I8</f>
        <v>5239795</v>
      </c>
      <c r="M18" s="250">
        <f>'Input Tab'!J8</f>
        <v>6788998</v>
      </c>
      <c r="N18" s="250">
        <f>'Input Tab'!K8</f>
        <v>6983768</v>
      </c>
      <c r="O18" s="250">
        <f>'Input Tab'!L8</f>
        <v>7442560</v>
      </c>
      <c r="P18" s="250">
        <f>'Input Tab'!M8</f>
        <v>7920542</v>
      </c>
      <c r="Q18" s="250">
        <f>'Input Tab'!N8</f>
        <v>8801867</v>
      </c>
      <c r="R18" s="238"/>
    </row>
    <row r="19" spans="1:19" ht="15.95" customHeight="1">
      <c r="A19" s="146">
        <f t="shared" si="6"/>
        <v>13</v>
      </c>
      <c r="B19" s="51" t="s">
        <v>143</v>
      </c>
      <c r="C19" s="41"/>
      <c r="D19" s="504">
        <f t="shared" si="5"/>
        <v>-3505922</v>
      </c>
      <c r="E19" s="504"/>
      <c r="F19" s="325">
        <f>'Input Tab'!C9</f>
        <v>-1306342</v>
      </c>
      <c r="G19" s="325">
        <f>'Input Tab'!D9</f>
        <v>-1061936</v>
      </c>
      <c r="H19" s="325">
        <f>'Input Tab'!E9</f>
        <v>-1137644</v>
      </c>
      <c r="I19" s="325">
        <f>'Input Tab'!F9</f>
        <v>-1166933</v>
      </c>
      <c r="J19" s="325">
        <f>'Input Tab'!G9</f>
        <v>-1506921</v>
      </c>
      <c r="K19" s="325">
        <f>'Input Tab'!H9</f>
        <v>-1586833</v>
      </c>
      <c r="L19" s="325">
        <f>'Input Tab'!I9</f>
        <v>-1599620</v>
      </c>
      <c r="M19" s="325">
        <f>'Input Tab'!J9</f>
        <v>-1447883</v>
      </c>
      <c r="N19" s="325">
        <f>'Input Tab'!K9</f>
        <v>-1304804</v>
      </c>
      <c r="O19" s="325">
        <f>'Input Tab'!L9</f>
        <v>-1285929</v>
      </c>
      <c r="P19" s="325">
        <f>'Input Tab'!M9</f>
        <v>-1197858</v>
      </c>
      <c r="Q19" s="325">
        <f>'Input Tab'!N9</f>
        <v>-1199571</v>
      </c>
      <c r="R19" s="238"/>
    </row>
    <row r="20" spans="1:19" ht="15.95" customHeight="1">
      <c r="A20" s="146">
        <f t="shared" si="6"/>
        <v>14</v>
      </c>
      <c r="B20" s="51" t="s">
        <v>109</v>
      </c>
      <c r="C20" s="41"/>
      <c r="D20" s="504">
        <f t="shared" si="5"/>
        <v>4478768</v>
      </c>
      <c r="E20" s="504"/>
      <c r="F20" s="326">
        <f>'Input Tab'!C10</f>
        <v>1503379</v>
      </c>
      <c r="G20" s="326">
        <f>'Input Tab'!D10</f>
        <v>1417562</v>
      </c>
      <c r="H20" s="326">
        <f>'Input Tab'!E10</f>
        <v>1557827</v>
      </c>
      <c r="I20" s="326">
        <f>'Input Tab'!F10</f>
        <v>1347286</v>
      </c>
      <c r="J20" s="326">
        <f>'Input Tab'!G10</f>
        <v>1410951</v>
      </c>
      <c r="K20" s="326">
        <f>'Input Tab'!H10</f>
        <v>1401574</v>
      </c>
      <c r="L20" s="326">
        <f>'Input Tab'!I10</f>
        <v>1411206</v>
      </c>
      <c r="M20" s="326">
        <f>'Input Tab'!J10</f>
        <v>1443939</v>
      </c>
      <c r="N20" s="326">
        <f>'Input Tab'!K10</f>
        <v>1441121</v>
      </c>
      <c r="O20" s="326">
        <f>'Input Tab'!L10</f>
        <v>1400226</v>
      </c>
      <c r="P20" s="326">
        <f>'Input Tab'!M10</f>
        <v>1464406</v>
      </c>
      <c r="Q20" s="326">
        <f>'Input Tab'!N10</f>
        <v>1437755</v>
      </c>
      <c r="R20" s="238"/>
    </row>
    <row r="21" spans="1:19" ht="15.95" customHeight="1">
      <c r="A21" s="146">
        <f t="shared" si="6"/>
        <v>15</v>
      </c>
      <c r="B21" s="51" t="s">
        <v>110</v>
      </c>
      <c r="D21" s="504">
        <f t="shared" si="5"/>
        <v>172500</v>
      </c>
      <c r="E21" s="504"/>
      <c r="F21" s="250">
        <f>'Input Tab'!C11</f>
        <v>57500</v>
      </c>
      <c r="G21" s="250">
        <f>'Input Tab'!D11</f>
        <v>57500</v>
      </c>
      <c r="H21" s="250">
        <f>'Input Tab'!E11</f>
        <v>57500</v>
      </c>
      <c r="I21" s="250">
        <f>'Input Tab'!F11</f>
        <v>57500</v>
      </c>
      <c r="J21" s="250">
        <f>'Input Tab'!G11</f>
        <v>57500</v>
      </c>
      <c r="K21" s="250">
        <f>'Input Tab'!H11</f>
        <v>57500</v>
      </c>
      <c r="L21" s="250">
        <f>'Input Tab'!I11</f>
        <v>57500</v>
      </c>
      <c r="M21" s="250">
        <f>'Input Tab'!J11</f>
        <v>57500</v>
      </c>
      <c r="N21" s="250">
        <f>'Input Tab'!K11</f>
        <v>57500</v>
      </c>
      <c r="O21" s="250">
        <f>'Input Tab'!L11</f>
        <v>57500</v>
      </c>
      <c r="P21" s="250">
        <f>'Input Tab'!M11</f>
        <v>57500</v>
      </c>
      <c r="Q21" s="250">
        <f>'Input Tab'!N11</f>
        <v>57500</v>
      </c>
      <c r="R21" s="238"/>
    </row>
    <row r="22" spans="1:19" ht="15.95" customHeight="1">
      <c r="A22" s="146">
        <f>A21+1</f>
        <v>16</v>
      </c>
      <c r="B22" s="51" t="s">
        <v>467</v>
      </c>
      <c r="D22" s="504">
        <f t="shared" si="5"/>
        <v>-579510</v>
      </c>
      <c r="E22" s="504"/>
      <c r="F22" s="250">
        <f>('Input Tab'!C12)/'Input Tab'!C13</f>
        <v>-193170</v>
      </c>
      <c r="G22" s="250">
        <f>('Input Tab'!D12)/'Input Tab'!D13</f>
        <v>-193170</v>
      </c>
      <c r="H22" s="250">
        <f>('Input Tab'!E12)/'Input Tab'!E13</f>
        <v>-193170</v>
      </c>
      <c r="I22" s="250">
        <f>('Input Tab'!F12)/'Input Tab'!F13</f>
        <v>-193170</v>
      </c>
      <c r="J22" s="250">
        <f>('Input Tab'!G12)/'Input Tab'!G13</f>
        <v>-193170</v>
      </c>
      <c r="K22" s="250">
        <f>('Input Tab'!H12)/'Input Tab'!H13</f>
        <v>-193170</v>
      </c>
      <c r="L22" s="250">
        <f>('Input Tab'!I12)/'Input Tab'!I13</f>
        <v>-193170</v>
      </c>
      <c r="M22" s="250">
        <f>('Input Tab'!J12)/'Input Tab'!J13</f>
        <v>-193170</v>
      </c>
      <c r="N22" s="250">
        <f>('Input Tab'!K12)/'Input Tab'!K13</f>
        <v>-193170</v>
      </c>
      <c r="O22" s="250">
        <f>('Input Tab'!L12)/'Input Tab'!L13</f>
        <v>-193170</v>
      </c>
      <c r="P22" s="250">
        <f>('Input Tab'!M12)/'Input Tab'!M13</f>
        <v>-193170</v>
      </c>
      <c r="Q22" s="250">
        <f>('Input Tab'!N12)/'Input Tab'!N13</f>
        <v>-193170</v>
      </c>
      <c r="R22" s="238"/>
    </row>
    <row r="23" spans="1:19" ht="20.25" customHeight="1">
      <c r="A23" s="146">
        <f>A22+1</f>
        <v>17</v>
      </c>
      <c r="B23" s="321" t="s">
        <v>7</v>
      </c>
      <c r="C23" s="321"/>
      <c r="D23" s="498">
        <f>SUM(D15:E22)</f>
        <v>45224344</v>
      </c>
      <c r="E23" s="498"/>
      <c r="F23" s="327">
        <f>SUM(F15:F22)</f>
        <v>16183101</v>
      </c>
      <c r="G23" s="327">
        <f t="shared" ref="G23:Q23" si="7">SUM(G15:G22)</f>
        <v>15682567</v>
      </c>
      <c r="H23" s="327">
        <f t="shared" si="7"/>
        <v>13358676</v>
      </c>
      <c r="I23" s="327">
        <f t="shared" si="7"/>
        <v>8069870</v>
      </c>
      <c r="J23" s="327">
        <f t="shared" si="7"/>
        <v>4171316</v>
      </c>
      <c r="K23" s="327">
        <f t="shared" si="7"/>
        <v>3983007</v>
      </c>
      <c r="L23" s="327">
        <f t="shared" si="7"/>
        <v>7742804</v>
      </c>
      <c r="M23" s="327">
        <f t="shared" si="7"/>
        <v>12904239</v>
      </c>
      <c r="N23" s="327">
        <f t="shared" si="7"/>
        <v>11169238</v>
      </c>
      <c r="O23" s="327">
        <f t="shared" si="7"/>
        <v>11853243</v>
      </c>
      <c r="P23" s="327">
        <f t="shared" si="7"/>
        <v>15093313</v>
      </c>
      <c r="Q23" s="327">
        <f t="shared" si="7"/>
        <v>16619356</v>
      </c>
      <c r="R23" s="238"/>
    </row>
    <row r="24" spans="1:19" ht="28.5" customHeight="1">
      <c r="A24" s="146">
        <f t="shared" si="6"/>
        <v>18</v>
      </c>
      <c r="B24" s="321" t="s">
        <v>8</v>
      </c>
      <c r="C24" s="321"/>
      <c r="D24" s="503">
        <f>SUM(F24:H24)</f>
        <v>-9831537</v>
      </c>
      <c r="E24" s="503" t="str">
        <f t="shared" ref="E24:Q24" si="8">IF(E13=0," ",E13-E23)</f>
        <v xml:space="preserve"> </v>
      </c>
      <c r="F24" s="327">
        <f t="shared" si="8"/>
        <v>-3348255</v>
      </c>
      <c r="G24" s="327">
        <f t="shared" si="8"/>
        <v>-3838262</v>
      </c>
      <c r="H24" s="327">
        <f t="shared" si="8"/>
        <v>-2645020</v>
      </c>
      <c r="I24" s="327" t="str">
        <f t="shared" si="8"/>
        <v xml:space="preserve"> </v>
      </c>
      <c r="J24" s="327" t="str">
        <f t="shared" si="8"/>
        <v xml:space="preserve"> </v>
      </c>
      <c r="K24" s="327" t="str">
        <f t="shared" si="8"/>
        <v xml:space="preserve"> </v>
      </c>
      <c r="L24" s="327" t="str">
        <f t="shared" si="8"/>
        <v xml:space="preserve"> </v>
      </c>
      <c r="M24" s="327" t="str">
        <f t="shared" si="8"/>
        <v xml:space="preserve"> </v>
      </c>
      <c r="N24" s="327" t="str">
        <f t="shared" si="8"/>
        <v xml:space="preserve"> </v>
      </c>
      <c r="O24" s="327" t="str">
        <f t="shared" si="8"/>
        <v xml:space="preserve"> </v>
      </c>
      <c r="P24" s="327" t="str">
        <f t="shared" si="8"/>
        <v xml:space="preserve"> </v>
      </c>
      <c r="Q24" s="327" t="str">
        <f t="shared" si="8"/>
        <v xml:space="preserve"> </v>
      </c>
    </row>
    <row r="25" spans="1:19" ht="26.25" customHeight="1">
      <c r="A25" s="146">
        <f t="shared" si="6"/>
        <v>19</v>
      </c>
      <c r="B25" s="192" t="s">
        <v>370</v>
      </c>
      <c r="C25" s="192"/>
      <c r="D25" s="497">
        <f>SUM(F25:Q25)</f>
        <v>-2554484</v>
      </c>
      <c r="E25" s="497"/>
      <c r="F25" s="193">
        <f>'WA Monthly'!E135</f>
        <v>-641912</v>
      </c>
      <c r="G25" s="193">
        <f>'WA Monthly'!F135</f>
        <v>-1114849</v>
      </c>
      <c r="H25" s="193">
        <f>'WA Monthly'!G135</f>
        <v>-797723</v>
      </c>
      <c r="I25" s="193" t="str">
        <f>'WA Monthly'!H135</f>
        <v xml:space="preserve"> </v>
      </c>
      <c r="J25" s="193" t="str">
        <f>'WA Monthly'!I135</f>
        <v xml:space="preserve"> </v>
      </c>
      <c r="K25" s="193" t="str">
        <f>'WA Monthly'!J135</f>
        <v xml:space="preserve"> </v>
      </c>
      <c r="L25" s="193" t="str">
        <f>'WA Monthly'!K135</f>
        <v xml:space="preserve"> </v>
      </c>
      <c r="M25" s="193" t="str">
        <f>'WA Monthly'!L135</f>
        <v xml:space="preserve"> </v>
      </c>
      <c r="N25" s="193" t="str">
        <f>'WA Monthly'!M135</f>
        <v xml:space="preserve"> </v>
      </c>
      <c r="O25" s="193" t="str">
        <f>'WA Monthly'!N135</f>
        <v xml:space="preserve"> </v>
      </c>
      <c r="P25" s="193" t="str">
        <f>'WA Monthly'!O135</f>
        <v xml:space="preserve"> </v>
      </c>
      <c r="Q25" s="193" t="str">
        <f>'WA Monthly'!P135</f>
        <v xml:space="preserve"> </v>
      </c>
      <c r="S25" s="148"/>
    </row>
    <row r="26" spans="1:19" ht="19.5" customHeight="1">
      <c r="A26" s="146">
        <f>A25+1</f>
        <v>20</v>
      </c>
      <c r="B26" s="192" t="s">
        <v>119</v>
      </c>
      <c r="C26" s="192"/>
      <c r="D26" s="497">
        <f>SUM(F26:Q26)</f>
        <v>-12386021</v>
      </c>
      <c r="E26" s="497"/>
      <c r="F26" s="193">
        <f>+F24+F25</f>
        <v>-3990167</v>
      </c>
      <c r="G26" s="193">
        <f t="shared" ref="G26:Q26" si="9">IF(G13=0,0,+G24+G25)</f>
        <v>-4953111</v>
      </c>
      <c r="H26" s="193">
        <f t="shared" si="9"/>
        <v>-3442743</v>
      </c>
      <c r="I26" s="193">
        <f t="shared" si="9"/>
        <v>0</v>
      </c>
      <c r="J26" s="193">
        <f t="shared" si="9"/>
        <v>0</v>
      </c>
      <c r="K26" s="193">
        <f t="shared" si="9"/>
        <v>0</v>
      </c>
      <c r="L26" s="193">
        <f t="shared" si="9"/>
        <v>0</v>
      </c>
      <c r="M26" s="193">
        <f t="shared" si="9"/>
        <v>0</v>
      </c>
      <c r="N26" s="193">
        <f t="shared" si="9"/>
        <v>0</v>
      </c>
      <c r="O26" s="193">
        <f t="shared" si="9"/>
        <v>0</v>
      </c>
      <c r="P26" s="193">
        <f t="shared" si="9"/>
        <v>0</v>
      </c>
      <c r="Q26" s="193">
        <f t="shared" si="9"/>
        <v>0</v>
      </c>
    </row>
    <row r="27" spans="1:19" ht="18.75" customHeight="1">
      <c r="A27" s="146">
        <f t="shared" si="6"/>
        <v>21</v>
      </c>
      <c r="B27" s="51" t="s">
        <v>225</v>
      </c>
      <c r="D27" s="158"/>
      <c r="E27" s="158"/>
      <c r="F27" s="328">
        <f>'Input Tab'!C13</f>
        <v>0.64710000000000001</v>
      </c>
      <c r="G27" s="328">
        <f>'Input Tab'!D13</f>
        <v>0.64710000000000001</v>
      </c>
      <c r="H27" s="328">
        <f>'Input Tab'!E13</f>
        <v>0.64710000000000001</v>
      </c>
      <c r="I27" s="328">
        <f>'Input Tab'!F13</f>
        <v>0.64710000000000001</v>
      </c>
      <c r="J27" s="328">
        <f>'Input Tab'!G13</f>
        <v>0.64710000000000001</v>
      </c>
      <c r="K27" s="328">
        <f>'Input Tab'!H13</f>
        <v>0.64710000000000001</v>
      </c>
      <c r="L27" s="328">
        <f>'Input Tab'!I13</f>
        <v>0.64710000000000001</v>
      </c>
      <c r="M27" s="328">
        <f>'Input Tab'!J13</f>
        <v>0.64710000000000001</v>
      </c>
      <c r="N27" s="328">
        <f>'Input Tab'!K13</f>
        <v>0.64710000000000001</v>
      </c>
      <c r="O27" s="328">
        <f>'Input Tab'!L13</f>
        <v>0.64710000000000001</v>
      </c>
      <c r="P27" s="328">
        <f>'Input Tab'!M13</f>
        <v>0.64710000000000001</v>
      </c>
      <c r="Q27" s="328">
        <f>'Input Tab'!N13</f>
        <v>0.64710000000000001</v>
      </c>
    </row>
    <row r="28" spans="1:19" ht="20.25" customHeight="1">
      <c r="A28" s="146">
        <f t="shared" si="6"/>
        <v>22</v>
      </c>
      <c r="B28" s="51" t="s">
        <v>226</v>
      </c>
      <c r="D28" s="501">
        <f>SUM(F28:H28)</f>
        <v>-8014994</v>
      </c>
      <c r="E28" s="501"/>
      <c r="F28" s="329">
        <f>+F26*F27</f>
        <v>-2582037</v>
      </c>
      <c r="G28" s="329">
        <f>+G26*G27</f>
        <v>-3205158</v>
      </c>
      <c r="H28" s="329">
        <f>+H26*H27</f>
        <v>-2227799</v>
      </c>
      <c r="I28" s="329">
        <f t="shared" ref="I28:Q28" si="10">+I26*I27</f>
        <v>0</v>
      </c>
      <c r="J28" s="329">
        <f t="shared" si="10"/>
        <v>0</v>
      </c>
      <c r="K28" s="329">
        <f t="shared" si="10"/>
        <v>0</v>
      </c>
      <c r="L28" s="329">
        <f t="shared" si="10"/>
        <v>0</v>
      </c>
      <c r="M28" s="329">
        <f t="shared" si="10"/>
        <v>0</v>
      </c>
      <c r="N28" s="329">
        <f t="shared" si="10"/>
        <v>0</v>
      </c>
      <c r="O28" s="329">
        <f t="shared" si="10"/>
        <v>0</v>
      </c>
      <c r="P28" s="329">
        <f t="shared" si="10"/>
        <v>0</v>
      </c>
      <c r="Q28" s="329">
        <f t="shared" si="10"/>
        <v>0</v>
      </c>
    </row>
    <row r="29" spans="1:19" ht="20.25" customHeight="1">
      <c r="A29" s="146">
        <f>A28+1</f>
        <v>23</v>
      </c>
      <c r="B29" s="51" t="s">
        <v>443</v>
      </c>
      <c r="D29" s="501">
        <f>SUM(F29:H29)</f>
        <v>0</v>
      </c>
      <c r="E29" s="501"/>
      <c r="F29" s="329">
        <f>'WA Monthly'!E133</f>
        <v>0</v>
      </c>
      <c r="G29" s="329">
        <f>'WA Monthly'!F133</f>
        <v>0</v>
      </c>
      <c r="H29" s="329">
        <f>'WA Monthly'!G133</f>
        <v>0</v>
      </c>
      <c r="I29" s="329">
        <f>'WA Monthly'!H133</f>
        <v>0</v>
      </c>
      <c r="J29" s="329">
        <f>'WA Monthly'!I133</f>
        <v>0</v>
      </c>
      <c r="K29" s="329">
        <f>'WA Monthly'!J133</f>
        <v>0</v>
      </c>
      <c r="L29" s="329">
        <f>'WA Monthly'!K133</f>
        <v>0</v>
      </c>
      <c r="M29" s="329">
        <f>'WA Monthly'!L133</f>
        <v>0</v>
      </c>
      <c r="N29" s="329">
        <f>'WA Monthly'!M133</f>
        <v>0</v>
      </c>
      <c r="O29" s="329">
        <f>'WA Monthly'!N133</f>
        <v>0</v>
      </c>
      <c r="P29" s="329">
        <f>'WA Monthly'!O133</f>
        <v>0</v>
      </c>
      <c r="Q29" s="329">
        <f>'WA Monthly'!P133</f>
        <v>0</v>
      </c>
    </row>
    <row r="30" spans="1:19" ht="29.25" customHeight="1">
      <c r="A30" s="146">
        <f t="shared" si="6"/>
        <v>24</v>
      </c>
      <c r="B30" s="495" t="s">
        <v>262</v>
      </c>
      <c r="C30" s="495"/>
      <c r="D30" s="500">
        <f>SUM(F30:Q30)</f>
        <v>497409</v>
      </c>
      <c r="E30" s="500"/>
      <c r="F30" s="330">
        <f>'WA RRC'!B19</f>
        <v>166826</v>
      </c>
      <c r="G30" s="330">
        <f>'WA RRC'!C19</f>
        <v>276446</v>
      </c>
      <c r="H30" s="330">
        <f>'WA RRC'!D19</f>
        <v>54137</v>
      </c>
      <c r="I30" s="330" t="str">
        <f>'WA RRC'!E19</f>
        <v xml:space="preserve"> </v>
      </c>
      <c r="J30" s="330" t="str">
        <f>'WA RRC'!F19</f>
        <v xml:space="preserve"> </v>
      </c>
      <c r="K30" s="330" t="str">
        <f>'WA RRC'!G19</f>
        <v xml:space="preserve"> </v>
      </c>
      <c r="L30" s="330" t="str">
        <f>'WA RRC'!H19</f>
        <v xml:space="preserve"> </v>
      </c>
      <c r="M30" s="330" t="str">
        <f>'WA RRC'!I19</f>
        <v xml:space="preserve"> </v>
      </c>
      <c r="N30" s="330" t="str">
        <f>'WA RRC'!J19</f>
        <v xml:space="preserve"> </v>
      </c>
      <c r="O30" s="330" t="str">
        <f>'WA RRC'!K19</f>
        <v xml:space="preserve"> </v>
      </c>
      <c r="P30" s="330" t="str">
        <f>'WA RRC'!L19</f>
        <v xml:space="preserve"> </v>
      </c>
      <c r="Q30" s="330" t="str">
        <f>'WA RRC'!M19</f>
        <v xml:space="preserve"> </v>
      </c>
    </row>
    <row r="31" spans="1:19" ht="27" customHeight="1">
      <c r="A31" s="146">
        <f t="shared" si="6"/>
        <v>25</v>
      </c>
      <c r="B31" s="499" t="s">
        <v>199</v>
      </c>
      <c r="C31" s="499"/>
      <c r="D31" s="502">
        <f>SUM(F31:H31)</f>
        <v>-7517585</v>
      </c>
      <c r="E31" s="502"/>
      <c r="F31" s="188">
        <f>IF(F13=0," ",F28+F30+F29)</f>
        <v>-2415211</v>
      </c>
      <c r="G31" s="188">
        <f t="shared" ref="G31:Q31" si="11">IF(G13=0," ",G28+G30+G29)</f>
        <v>-2928712</v>
      </c>
      <c r="H31" s="188">
        <f t="shared" si="11"/>
        <v>-2173662</v>
      </c>
      <c r="I31" s="188" t="str">
        <f t="shared" si="11"/>
        <v xml:space="preserve"> </v>
      </c>
      <c r="J31" s="188" t="str">
        <f t="shared" si="11"/>
        <v xml:space="preserve"> </v>
      </c>
      <c r="K31" s="188" t="str">
        <f t="shared" si="11"/>
        <v xml:space="preserve"> </v>
      </c>
      <c r="L31" s="188" t="str">
        <f t="shared" si="11"/>
        <v xml:space="preserve"> </v>
      </c>
      <c r="M31" s="188" t="str">
        <f t="shared" si="11"/>
        <v xml:space="preserve"> </v>
      </c>
      <c r="N31" s="188" t="str">
        <f t="shared" si="11"/>
        <v xml:space="preserve"> </v>
      </c>
      <c r="O31" s="188" t="str">
        <f t="shared" si="11"/>
        <v xml:space="preserve"> </v>
      </c>
      <c r="P31" s="188" t="str">
        <f t="shared" si="11"/>
        <v xml:space="preserve"> </v>
      </c>
      <c r="Q31" s="188" t="str">
        <f t="shared" si="11"/>
        <v xml:space="preserve"> </v>
      </c>
    </row>
    <row r="32" spans="1:19" ht="21" hidden="1" customHeight="1">
      <c r="A32" s="146">
        <f t="shared" si="6"/>
        <v>26</v>
      </c>
      <c r="B32" s="496" t="s">
        <v>369</v>
      </c>
      <c r="C32" s="496"/>
      <c r="D32" s="317"/>
      <c r="E32" s="317"/>
      <c r="F32" s="188"/>
      <c r="G32" s="188"/>
      <c r="H32" s="188"/>
      <c r="I32" s="188"/>
      <c r="J32" s="188"/>
      <c r="K32" s="188"/>
      <c r="L32" s="331">
        <v>0</v>
      </c>
      <c r="M32" s="188"/>
      <c r="N32" s="188"/>
      <c r="O32" s="188"/>
      <c r="P32" s="188"/>
      <c r="Q32" s="188"/>
    </row>
    <row r="33" spans="1:19" ht="28.5" customHeight="1">
      <c r="A33" s="146">
        <f t="shared" si="6"/>
        <v>27</v>
      </c>
      <c r="B33" s="321" t="s">
        <v>356</v>
      </c>
      <c r="C33" s="321"/>
      <c r="D33" s="276"/>
      <c r="E33" s="276"/>
      <c r="F33" s="157">
        <f>IF(F13=0," ",F31)</f>
        <v>-2415211</v>
      </c>
      <c r="G33" s="157">
        <f t="shared" ref="G33:Q33" si="12">IF(G13=0," ",+F33+G31)</f>
        <v>-5343923</v>
      </c>
      <c r="H33" s="157">
        <f t="shared" si="12"/>
        <v>-7517585</v>
      </c>
      <c r="I33" s="157" t="str">
        <f t="shared" si="12"/>
        <v xml:space="preserve"> </v>
      </c>
      <c r="J33" s="157" t="str">
        <f t="shared" si="12"/>
        <v xml:space="preserve"> </v>
      </c>
      <c r="K33" s="157" t="str">
        <f t="shared" si="12"/>
        <v xml:space="preserve"> </v>
      </c>
      <c r="L33" s="157" t="str">
        <f t="shared" si="12"/>
        <v xml:space="preserve"> </v>
      </c>
      <c r="M33" s="157" t="str">
        <f t="shared" si="12"/>
        <v xml:space="preserve"> </v>
      </c>
      <c r="N33" s="157" t="str">
        <f t="shared" si="12"/>
        <v xml:space="preserve"> </v>
      </c>
      <c r="O33" s="157" t="str">
        <f t="shared" si="12"/>
        <v xml:space="preserve"> </v>
      </c>
      <c r="P33" s="157" t="str">
        <f t="shared" si="12"/>
        <v xml:space="preserve"> </v>
      </c>
      <c r="Q33" s="157" t="str">
        <f t="shared" si="12"/>
        <v xml:space="preserve"> </v>
      </c>
      <c r="R33" s="148"/>
    </row>
    <row r="34" spans="1:19" ht="30.75" hidden="1" customHeight="1" outlineLevel="1">
      <c r="A34" s="51" t="s">
        <v>105</v>
      </c>
      <c r="B34" s="332">
        <v>10000000</v>
      </c>
      <c r="C34" s="333" t="s">
        <v>106</v>
      </c>
      <c r="D34" s="277">
        <v>0.9</v>
      </c>
      <c r="E34" s="277">
        <v>0.9</v>
      </c>
      <c r="F34" s="158">
        <f t="shared" ref="F34:Q34" si="13">IF(F13=0," ",IF(ABS(F$33)&lt;$B34,0,(ABS(F$33)-$B34)*SIGN(F$33)))</f>
        <v>0</v>
      </c>
      <c r="G34" s="158">
        <f t="shared" si="13"/>
        <v>0</v>
      </c>
      <c r="H34" s="158">
        <f t="shared" si="13"/>
        <v>0</v>
      </c>
      <c r="I34" s="158" t="str">
        <f t="shared" si="13"/>
        <v xml:space="preserve"> </v>
      </c>
      <c r="J34" s="158" t="str">
        <f t="shared" si="13"/>
        <v xml:space="preserve"> </v>
      </c>
      <c r="K34" s="158" t="str">
        <f t="shared" si="13"/>
        <v xml:space="preserve"> </v>
      </c>
      <c r="L34" s="158" t="str">
        <f t="shared" si="13"/>
        <v xml:space="preserve"> </v>
      </c>
      <c r="M34" s="158" t="str">
        <f t="shared" si="13"/>
        <v xml:space="preserve"> </v>
      </c>
      <c r="N34" s="158" t="str">
        <f t="shared" si="13"/>
        <v xml:space="preserve"> </v>
      </c>
      <c r="O34" s="158" t="str">
        <f t="shared" si="13"/>
        <v xml:space="preserve"> </v>
      </c>
      <c r="P34" s="158" t="str">
        <f t="shared" si="13"/>
        <v xml:space="preserve"> </v>
      </c>
      <c r="Q34" s="158" t="str">
        <f t="shared" si="13"/>
        <v xml:space="preserve"> </v>
      </c>
      <c r="R34" s="149"/>
      <c r="S34" s="334"/>
    </row>
    <row r="35" spans="1:19" ht="19.5" hidden="1" customHeight="1" outlineLevel="1">
      <c r="A35" s="51" t="s">
        <v>105</v>
      </c>
      <c r="B35" s="332">
        <v>4000000</v>
      </c>
      <c r="C35" s="333" t="str">
        <f>"to "&amp;TEXT(B34,"$#,##0,,")&amp;"M"</f>
        <v>to $10M</v>
      </c>
      <c r="D35" s="277">
        <v>0.5</v>
      </c>
      <c r="E35" s="277">
        <v>0.75</v>
      </c>
      <c r="F35" s="158">
        <f t="shared" ref="F35:Q35" si="14">IF(F13=0," ",IF(ABS(F$33)&lt;$B35,0,MIN($B$34-$B$35,ABS(F$33)-$B35)*SIGN(F$33)))</f>
        <v>0</v>
      </c>
      <c r="G35" s="158">
        <f t="shared" si="14"/>
        <v>-1343923</v>
      </c>
      <c r="H35" s="158">
        <f t="shared" si="14"/>
        <v>-3517585</v>
      </c>
      <c r="I35" s="158" t="str">
        <f t="shared" si="14"/>
        <v xml:space="preserve"> </v>
      </c>
      <c r="J35" s="158" t="str">
        <f t="shared" si="14"/>
        <v xml:space="preserve"> </v>
      </c>
      <c r="K35" s="158" t="str">
        <f t="shared" si="14"/>
        <v xml:space="preserve"> </v>
      </c>
      <c r="L35" s="158" t="str">
        <f t="shared" si="14"/>
        <v xml:space="preserve"> </v>
      </c>
      <c r="M35" s="158" t="str">
        <f t="shared" si="14"/>
        <v xml:space="preserve"> </v>
      </c>
      <c r="N35" s="158" t="str">
        <f t="shared" si="14"/>
        <v xml:space="preserve"> </v>
      </c>
      <c r="O35" s="158" t="str">
        <f t="shared" si="14"/>
        <v xml:space="preserve"> </v>
      </c>
      <c r="P35" s="158" t="str">
        <f t="shared" si="14"/>
        <v xml:space="preserve"> </v>
      </c>
      <c r="Q35" s="158" t="str">
        <f t="shared" si="14"/>
        <v xml:space="preserve"> </v>
      </c>
      <c r="R35" s="149"/>
      <c r="S35" s="334"/>
    </row>
    <row r="36" spans="1:19" ht="21.75" hidden="1" customHeight="1" outlineLevel="1">
      <c r="A36" s="51" t="s">
        <v>105</v>
      </c>
      <c r="B36" s="332">
        <v>0</v>
      </c>
      <c r="C36" s="333" t="str">
        <f>"to "&amp;TEXT(B35,"$#,##0,,")&amp;"M"</f>
        <v>to $4M</v>
      </c>
      <c r="D36" s="277">
        <v>0</v>
      </c>
      <c r="E36" s="277">
        <v>0</v>
      </c>
      <c r="F36" s="158">
        <f t="shared" ref="F36:Q36" si="15">IF(F13=0," ",IF(ABS(F$33)&lt;$B36,0,MIN($B$35-$B$36,ABS(F$33)-$B36)*SIGN(F$33)))</f>
        <v>-2415211</v>
      </c>
      <c r="G36" s="158">
        <f t="shared" si="15"/>
        <v>-4000000</v>
      </c>
      <c r="H36" s="158">
        <f t="shared" si="15"/>
        <v>-4000000</v>
      </c>
      <c r="I36" s="158" t="str">
        <f t="shared" si="15"/>
        <v xml:space="preserve"> </v>
      </c>
      <c r="J36" s="158" t="str">
        <f t="shared" si="15"/>
        <v xml:space="preserve"> </v>
      </c>
      <c r="K36" s="158" t="str">
        <f t="shared" si="15"/>
        <v xml:space="preserve"> </v>
      </c>
      <c r="L36" s="158" t="str">
        <f t="shared" si="15"/>
        <v xml:space="preserve"> </v>
      </c>
      <c r="M36" s="158" t="str">
        <f t="shared" si="15"/>
        <v xml:space="preserve"> </v>
      </c>
      <c r="N36" s="158" t="str">
        <f t="shared" si="15"/>
        <v xml:space="preserve"> </v>
      </c>
      <c r="O36" s="158" t="str">
        <f t="shared" si="15"/>
        <v xml:space="preserve"> </v>
      </c>
      <c r="P36" s="158" t="str">
        <f t="shared" si="15"/>
        <v xml:space="preserve"> </v>
      </c>
      <c r="Q36" s="158" t="str">
        <f t="shared" si="15"/>
        <v xml:space="preserve"> </v>
      </c>
      <c r="R36" s="149"/>
    </row>
    <row r="37" spans="1:19" ht="15.95" hidden="1" customHeight="1" outlineLevel="1">
      <c r="A37" s="51"/>
      <c r="B37" s="335"/>
      <c r="C37" s="51" t="s">
        <v>107</v>
      </c>
      <c r="D37" s="278"/>
      <c r="E37" s="278"/>
      <c r="F37" s="279">
        <f t="shared" ref="F37:Q37" si="16">IF(F13=0," ",SUM(F34:F36)-F33)</f>
        <v>0</v>
      </c>
      <c r="G37" s="279">
        <f t="shared" si="16"/>
        <v>0</v>
      </c>
      <c r="H37" s="279">
        <f t="shared" si="16"/>
        <v>0</v>
      </c>
      <c r="I37" s="279" t="str">
        <f t="shared" si="16"/>
        <v xml:space="preserve"> </v>
      </c>
      <c r="J37" s="279" t="str">
        <f t="shared" si="16"/>
        <v xml:space="preserve"> </v>
      </c>
      <c r="K37" s="279" t="str">
        <f t="shared" si="16"/>
        <v xml:space="preserve"> </v>
      </c>
      <c r="L37" s="279" t="str">
        <f t="shared" si="16"/>
        <v xml:space="preserve"> </v>
      </c>
      <c r="M37" s="279" t="str">
        <f t="shared" si="16"/>
        <v xml:space="preserve"> </v>
      </c>
      <c r="N37" s="279" t="str">
        <f t="shared" si="16"/>
        <v xml:space="preserve"> </v>
      </c>
      <c r="O37" s="279" t="str">
        <f t="shared" si="16"/>
        <v xml:space="preserve"> </v>
      </c>
      <c r="P37" s="279" t="str">
        <f t="shared" si="16"/>
        <v xml:space="preserve"> </v>
      </c>
      <c r="Q37" s="279" t="str">
        <f t="shared" si="16"/>
        <v xml:space="preserve"> </v>
      </c>
      <c r="R37" s="151"/>
    </row>
    <row r="38" spans="1:19" ht="23.25" customHeight="1" collapsed="1">
      <c r="A38" s="51" t="s">
        <v>263</v>
      </c>
      <c r="D38" s="280"/>
      <c r="E38" s="280"/>
      <c r="F38" s="158">
        <f t="shared" ref="F38:Q38" si="17">IF(F13=0," ",SUMPRODUCT(IF(F33&gt;0,$D$34:$D$36,$E$34:$E$36),F34:F36))</f>
        <v>0</v>
      </c>
      <c r="G38" s="158">
        <f t="shared" si="17"/>
        <v>-1007942</v>
      </c>
      <c r="H38" s="158">
        <f t="shared" si="17"/>
        <v>-2638189</v>
      </c>
      <c r="I38" s="158" t="str">
        <f t="shared" si="17"/>
        <v xml:space="preserve"> </v>
      </c>
      <c r="J38" s="158" t="str">
        <f t="shared" si="17"/>
        <v xml:space="preserve"> </v>
      </c>
      <c r="K38" s="158" t="str">
        <f t="shared" si="17"/>
        <v xml:space="preserve"> </v>
      </c>
      <c r="L38" s="158" t="str">
        <f t="shared" si="17"/>
        <v xml:space="preserve"> </v>
      </c>
      <c r="M38" s="158" t="str">
        <f t="shared" si="17"/>
        <v xml:space="preserve"> </v>
      </c>
      <c r="N38" s="158" t="str">
        <f t="shared" si="17"/>
        <v xml:space="preserve"> </v>
      </c>
      <c r="O38" s="158" t="str">
        <f t="shared" si="17"/>
        <v xml:space="preserve"> </v>
      </c>
      <c r="P38" s="158" t="str">
        <f t="shared" si="17"/>
        <v xml:space="preserve"> </v>
      </c>
      <c r="Q38" s="158" t="str">
        <f t="shared" si="17"/>
        <v xml:space="preserve"> </v>
      </c>
      <c r="R38" s="149" t="s">
        <v>264</v>
      </c>
    </row>
    <row r="39" spans="1:19" ht="20.25" customHeight="1">
      <c r="A39" s="51" t="s">
        <v>444</v>
      </c>
      <c r="D39" s="281"/>
      <c r="E39" s="281"/>
      <c r="F39" s="158">
        <f>IF(F13=0," ",F38-D38)</f>
        <v>0</v>
      </c>
      <c r="G39" s="158">
        <f t="shared" ref="G39:Q39" si="18">IF(G13=0," ",G38-F38)</f>
        <v>-1007942</v>
      </c>
      <c r="H39" s="158">
        <f t="shared" si="18"/>
        <v>-1630247</v>
      </c>
      <c r="I39" s="158" t="str">
        <f t="shared" si="18"/>
        <v xml:space="preserve"> </v>
      </c>
      <c r="J39" s="158" t="str">
        <f t="shared" si="18"/>
        <v xml:space="preserve"> </v>
      </c>
      <c r="K39" s="158" t="str">
        <f t="shared" si="18"/>
        <v xml:space="preserve"> </v>
      </c>
      <c r="L39" s="158" t="str">
        <f t="shared" si="18"/>
        <v xml:space="preserve"> </v>
      </c>
      <c r="M39" s="158" t="str">
        <f t="shared" si="18"/>
        <v xml:space="preserve"> </v>
      </c>
      <c r="N39" s="158" t="str">
        <f t="shared" si="18"/>
        <v xml:space="preserve"> </v>
      </c>
      <c r="O39" s="158" t="str">
        <f t="shared" si="18"/>
        <v xml:space="preserve"> </v>
      </c>
      <c r="P39" s="158" t="str">
        <f t="shared" si="18"/>
        <v xml:space="preserve"> </v>
      </c>
      <c r="Q39" s="158" t="str">
        <f t="shared" si="18"/>
        <v xml:space="preserve"> </v>
      </c>
      <c r="R39" s="151"/>
    </row>
    <row r="40" spans="1:19" ht="24.75" customHeight="1">
      <c r="A40" s="496" t="s">
        <v>267</v>
      </c>
      <c r="B40" s="496"/>
      <c r="C40" s="496"/>
      <c r="D40" s="502">
        <f>SUM(F40:H40)</f>
        <v>2638189</v>
      </c>
      <c r="E40" s="502"/>
      <c r="F40" s="172">
        <f t="shared" ref="F40:Q40" si="19">IF(F13=0," ",-F39)</f>
        <v>0</v>
      </c>
      <c r="G40" s="172">
        <f t="shared" si="19"/>
        <v>1007942</v>
      </c>
      <c r="H40" s="172">
        <f t="shared" si="19"/>
        <v>1630247</v>
      </c>
      <c r="I40" s="172" t="str">
        <f t="shared" si="19"/>
        <v xml:space="preserve"> </v>
      </c>
      <c r="J40" s="172" t="str">
        <f t="shared" si="19"/>
        <v xml:space="preserve"> </v>
      </c>
      <c r="K40" s="172" t="str">
        <f t="shared" si="19"/>
        <v xml:space="preserve"> </v>
      </c>
      <c r="L40" s="172" t="str">
        <f t="shared" si="19"/>
        <v xml:space="preserve"> </v>
      </c>
      <c r="M40" s="172" t="str">
        <f t="shared" si="19"/>
        <v xml:space="preserve"> </v>
      </c>
      <c r="N40" s="172" t="str">
        <f t="shared" si="19"/>
        <v xml:space="preserve"> </v>
      </c>
      <c r="O40" s="172" t="str">
        <f t="shared" si="19"/>
        <v xml:space="preserve"> </v>
      </c>
      <c r="P40" s="172" t="str">
        <f t="shared" si="19"/>
        <v xml:space="preserve"> </v>
      </c>
      <c r="Q40" s="172" t="str">
        <f t="shared" si="19"/>
        <v xml:space="preserve"> </v>
      </c>
      <c r="R40" s="149"/>
    </row>
    <row r="41" spans="1:19" ht="26.25" customHeight="1" thickBot="1">
      <c r="A41" s="494" t="s">
        <v>111</v>
      </c>
      <c r="B41" s="494"/>
      <c r="C41" s="494"/>
      <c r="D41" s="282"/>
      <c r="E41" s="282"/>
      <c r="F41" s="174">
        <f t="shared" ref="F41:Q41" si="20">IF(F13=0," ",F33-F38)</f>
        <v>-2415211</v>
      </c>
      <c r="G41" s="174">
        <f t="shared" si="20"/>
        <v>-4335981</v>
      </c>
      <c r="H41" s="174">
        <f t="shared" si="20"/>
        <v>-4879396</v>
      </c>
      <c r="I41" s="174" t="str">
        <f t="shared" si="20"/>
        <v xml:space="preserve"> </v>
      </c>
      <c r="J41" s="174" t="str">
        <f t="shared" si="20"/>
        <v xml:space="preserve"> </v>
      </c>
      <c r="K41" s="174" t="str">
        <f t="shared" si="20"/>
        <v xml:space="preserve"> </v>
      </c>
      <c r="L41" s="174" t="str">
        <f t="shared" si="20"/>
        <v xml:space="preserve"> </v>
      </c>
      <c r="M41" s="174" t="str">
        <f t="shared" si="20"/>
        <v xml:space="preserve"> </v>
      </c>
      <c r="N41" s="174" t="str">
        <f t="shared" si="20"/>
        <v xml:space="preserve"> </v>
      </c>
      <c r="O41" s="174" t="str">
        <f t="shared" si="20"/>
        <v xml:space="preserve"> </v>
      </c>
      <c r="P41" s="174" t="str">
        <f t="shared" si="20"/>
        <v xml:space="preserve"> </v>
      </c>
      <c r="Q41" s="174" t="str">
        <f t="shared" si="20"/>
        <v xml:space="preserve"> </v>
      </c>
      <c r="R41" s="51" t="s">
        <v>141</v>
      </c>
    </row>
    <row r="42" spans="1:19" ht="13.5" thickTop="1">
      <c r="A42" s="336"/>
    </row>
    <row r="43" spans="1:19">
      <c r="E43" s="337"/>
      <c r="F43" s="117"/>
      <c r="Q43" s="158"/>
      <c r="R43" s="148"/>
    </row>
    <row r="44" spans="1:19">
      <c r="E44" s="256"/>
      <c r="F44" s="71"/>
      <c r="H44" s="338"/>
      <c r="I44" s="338"/>
      <c r="J44" s="338"/>
      <c r="K44" s="338"/>
      <c r="Q44" s="211"/>
      <c r="R44" s="148"/>
    </row>
    <row r="45" spans="1:19">
      <c r="E45" s="337"/>
      <c r="F45" s="339"/>
      <c r="H45" s="338"/>
      <c r="I45" s="338"/>
      <c r="J45" s="338"/>
      <c r="K45" s="338"/>
      <c r="Q45" s="211"/>
      <c r="R45" s="148"/>
    </row>
    <row r="46" spans="1:19">
      <c r="H46" s="338"/>
      <c r="I46" s="338"/>
      <c r="J46" s="338"/>
      <c r="K46" s="338"/>
    </row>
    <row r="47" spans="1:19">
      <c r="F47" s="340"/>
      <c r="H47" s="338"/>
      <c r="I47" s="338"/>
      <c r="J47" s="338"/>
      <c r="K47" s="338"/>
    </row>
    <row r="48" spans="1:19">
      <c r="F48" s="340"/>
      <c r="H48" s="338"/>
      <c r="I48" s="338"/>
      <c r="J48" s="338"/>
      <c r="K48" s="338"/>
      <c r="Q48" s="148"/>
    </row>
    <row r="49" spans="8:11">
      <c r="H49" s="338"/>
      <c r="I49" s="338"/>
      <c r="J49" s="338"/>
      <c r="K49" s="338"/>
    </row>
    <row r="50" spans="8:11">
      <c r="H50" s="338"/>
      <c r="I50" s="338"/>
      <c r="J50" s="338"/>
      <c r="K50" s="338"/>
    </row>
    <row r="51" spans="8:11">
      <c r="H51" s="338"/>
      <c r="I51" s="338"/>
      <c r="J51" s="338"/>
      <c r="K51" s="33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tabSelected="1" zoomScaleNormal="100" zoomScaleSheetLayoutView="100" workbookViewId="0">
      <pane xSplit="4" ySplit="5" topLeftCell="E5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88" customWidth="1"/>
    <col min="2" max="2" width="46.140625" style="71" customWidth="1"/>
    <col min="3" max="3" width="31.42578125" style="71" customWidth="1" outlineLevel="1"/>
    <col min="4" max="4" width="13.42578125" style="71" bestFit="1" customWidth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513" t="s">
        <v>227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</row>
    <row r="2" spans="1:18">
      <c r="A2" s="513" t="s">
        <v>240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</row>
    <row r="3" spans="1:18" ht="38.25" customHeight="1">
      <c r="A3" s="71"/>
    </row>
    <row r="4" spans="1:18">
      <c r="A4" s="274" t="s">
        <v>0</v>
      </c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</row>
    <row r="5" spans="1:18">
      <c r="A5" s="377" t="s">
        <v>1</v>
      </c>
      <c r="C5" s="71" t="s">
        <v>251</v>
      </c>
      <c r="D5" s="378" t="s">
        <v>10</v>
      </c>
      <c r="E5" s="320">
        <v>43131</v>
      </c>
      <c r="F5" s="320">
        <f t="shared" ref="F5:P5" si="0">EOMONTH(E5,1)</f>
        <v>43159</v>
      </c>
      <c r="G5" s="320">
        <f t="shared" si="0"/>
        <v>43190</v>
      </c>
      <c r="H5" s="320">
        <f t="shared" si="0"/>
        <v>43220</v>
      </c>
      <c r="I5" s="320">
        <f t="shared" si="0"/>
        <v>43251</v>
      </c>
      <c r="J5" s="320">
        <f t="shared" si="0"/>
        <v>43281</v>
      </c>
      <c r="K5" s="320">
        <f t="shared" si="0"/>
        <v>43312</v>
      </c>
      <c r="L5" s="320">
        <f t="shared" si="0"/>
        <v>43343</v>
      </c>
      <c r="M5" s="320">
        <f t="shared" si="0"/>
        <v>43373</v>
      </c>
      <c r="N5" s="320">
        <f t="shared" si="0"/>
        <v>43404</v>
      </c>
      <c r="O5" s="320">
        <f t="shared" si="0"/>
        <v>43434</v>
      </c>
      <c r="P5" s="320">
        <f t="shared" si="0"/>
        <v>43465</v>
      </c>
      <c r="Q5" s="379"/>
      <c r="R5" s="320" t="s">
        <v>221</v>
      </c>
    </row>
    <row r="6" spans="1:18">
      <c r="A6" s="274"/>
      <c r="B6" s="258" t="s">
        <v>15</v>
      </c>
      <c r="C6" s="264"/>
    </row>
    <row r="7" spans="1:18">
      <c r="A7" s="274">
        <f>A6+1</f>
        <v>1</v>
      </c>
      <c r="B7" s="52" t="s">
        <v>265</v>
      </c>
      <c r="C7" s="191"/>
      <c r="D7" s="175">
        <f>SUM(E7:P7)</f>
        <v>11817858</v>
      </c>
      <c r="E7" s="175">
        <f t="shared" ref="E7:P7" si="1">E23-SUM(E8:E22)</f>
        <v>5222009</v>
      </c>
      <c r="F7" s="175">
        <f t="shared" si="1"/>
        <v>4094932</v>
      </c>
      <c r="G7" s="175">
        <f t="shared" si="1"/>
        <v>2500917</v>
      </c>
      <c r="H7" s="175">
        <v>0</v>
      </c>
      <c r="I7" s="175">
        <f t="shared" si="1"/>
        <v>0</v>
      </c>
      <c r="J7" s="175">
        <f t="shared" si="1"/>
        <v>0</v>
      </c>
      <c r="K7" s="175">
        <f t="shared" si="1"/>
        <v>0</v>
      </c>
      <c r="L7" s="175">
        <f t="shared" si="1"/>
        <v>0</v>
      </c>
      <c r="M7" s="175">
        <f t="shared" si="1"/>
        <v>0</v>
      </c>
      <c r="N7" s="175">
        <f t="shared" si="1"/>
        <v>0</v>
      </c>
      <c r="O7" s="175">
        <f t="shared" si="1"/>
        <v>0</v>
      </c>
      <c r="P7" s="175">
        <f t="shared" si="1"/>
        <v>0</v>
      </c>
      <c r="Q7" s="239"/>
      <c r="R7" s="380">
        <f t="shared" ref="R7:R22" si="2">SUM(E7:P7)</f>
        <v>11817858</v>
      </c>
    </row>
    <row r="8" spans="1:18">
      <c r="A8" s="274">
        <v>2</v>
      </c>
      <c r="B8" s="381" t="s">
        <v>277</v>
      </c>
      <c r="C8" s="382">
        <v>100096</v>
      </c>
      <c r="D8" s="175">
        <f t="shared" ref="D8:D22" si="3">SUM(E8:P8)</f>
        <v>3160609</v>
      </c>
      <c r="E8" s="383">
        <f>'Input Tab'!C19</f>
        <v>726733</v>
      </c>
      <c r="F8" s="383">
        <f>'Input Tab'!D19</f>
        <v>1216938</v>
      </c>
      <c r="G8" s="383">
        <f>'Input Tab'!E19</f>
        <v>1216938</v>
      </c>
      <c r="H8" s="383">
        <f>'Input Tab'!F19</f>
        <v>0</v>
      </c>
      <c r="I8" s="383">
        <f>'Input Tab'!G19</f>
        <v>0</v>
      </c>
      <c r="J8" s="383">
        <f>'Input Tab'!H19</f>
        <v>0</v>
      </c>
      <c r="K8" s="383">
        <f>'Input Tab'!I19</f>
        <v>0</v>
      </c>
      <c r="L8" s="383">
        <f>'Input Tab'!J19</f>
        <v>0</v>
      </c>
      <c r="M8" s="383">
        <f>'Input Tab'!K19</f>
        <v>0</v>
      </c>
      <c r="N8" s="383">
        <f>'Input Tab'!L19</f>
        <v>0</v>
      </c>
      <c r="O8" s="383">
        <f>'Input Tab'!M19</f>
        <v>0</v>
      </c>
      <c r="P8" s="383">
        <f>'Input Tab'!N19</f>
        <v>0</v>
      </c>
      <c r="Q8" s="239"/>
      <c r="R8" s="380">
        <f t="shared" si="2"/>
        <v>3160609</v>
      </c>
    </row>
    <row r="9" spans="1:18">
      <c r="A9" s="274">
        <v>3</v>
      </c>
      <c r="B9" s="381" t="s">
        <v>278</v>
      </c>
      <c r="C9" s="382">
        <v>107240</v>
      </c>
      <c r="D9" s="175">
        <f t="shared" si="3"/>
        <v>242656</v>
      </c>
      <c r="E9" s="383">
        <f>'Input Tab'!C20</f>
        <v>67917</v>
      </c>
      <c r="F9" s="383">
        <f>'Input Tab'!D20</f>
        <v>81241</v>
      </c>
      <c r="G9" s="383">
        <f>'Input Tab'!E20</f>
        <v>93498</v>
      </c>
      <c r="H9" s="383">
        <f>'Input Tab'!F20</f>
        <v>0</v>
      </c>
      <c r="I9" s="383">
        <f>'Input Tab'!G20</f>
        <v>0</v>
      </c>
      <c r="J9" s="383">
        <f>'Input Tab'!H20</f>
        <v>0</v>
      </c>
      <c r="K9" s="383">
        <f>'Input Tab'!I20</f>
        <v>0</v>
      </c>
      <c r="L9" s="383">
        <f>'Input Tab'!J20</f>
        <v>0</v>
      </c>
      <c r="M9" s="383">
        <f>'Input Tab'!K20</f>
        <v>0</v>
      </c>
      <c r="N9" s="383">
        <f>'Input Tab'!L20</f>
        <v>0</v>
      </c>
      <c r="O9" s="383">
        <f>'Input Tab'!M20</f>
        <v>0</v>
      </c>
      <c r="P9" s="383">
        <f>'Input Tab'!N20</f>
        <v>0</v>
      </c>
      <c r="Q9" s="239"/>
      <c r="R9" s="380">
        <f>SUM(E9:P9)</f>
        <v>242656</v>
      </c>
    </row>
    <row r="10" spans="1:18">
      <c r="A10" s="274">
        <v>4</v>
      </c>
      <c r="B10" s="52" t="s">
        <v>281</v>
      </c>
      <c r="C10" s="191">
        <v>100131</v>
      </c>
      <c r="D10" s="175">
        <f t="shared" si="3"/>
        <v>461220</v>
      </c>
      <c r="E10" s="383">
        <f>'Input Tab'!C21</f>
        <v>153740</v>
      </c>
      <c r="F10" s="383">
        <f>'Input Tab'!D21</f>
        <v>153740</v>
      </c>
      <c r="G10" s="383">
        <f>'Input Tab'!E21</f>
        <v>153740</v>
      </c>
      <c r="H10" s="383">
        <f>'Input Tab'!F21</f>
        <v>0</v>
      </c>
      <c r="I10" s="383">
        <f>'Input Tab'!G21</f>
        <v>0</v>
      </c>
      <c r="J10" s="383">
        <f>'Input Tab'!H21</f>
        <v>0</v>
      </c>
      <c r="K10" s="383">
        <f>'Input Tab'!I21</f>
        <v>0</v>
      </c>
      <c r="L10" s="383">
        <f>'Input Tab'!J21</f>
        <v>0</v>
      </c>
      <c r="M10" s="383">
        <f>'Input Tab'!K21</f>
        <v>0</v>
      </c>
      <c r="N10" s="383">
        <f>'Input Tab'!L21</f>
        <v>0</v>
      </c>
      <c r="O10" s="383">
        <f>'Input Tab'!M21</f>
        <v>0</v>
      </c>
      <c r="P10" s="383">
        <f>'Input Tab'!N21</f>
        <v>0</v>
      </c>
      <c r="Q10" s="239"/>
      <c r="R10" s="380">
        <f t="shared" si="2"/>
        <v>461220</v>
      </c>
    </row>
    <row r="11" spans="1:18" ht="13.5" customHeight="1">
      <c r="A11" s="274">
        <v>5</v>
      </c>
      <c r="B11" s="52" t="s">
        <v>279</v>
      </c>
      <c r="C11" s="191">
        <v>100085</v>
      </c>
      <c r="D11" s="175">
        <f t="shared" si="3"/>
        <v>1855362</v>
      </c>
      <c r="E11" s="384">
        <f>'Input Tab'!C22</f>
        <v>618454</v>
      </c>
      <c r="F11" s="384">
        <f>'Input Tab'!D22</f>
        <v>618454</v>
      </c>
      <c r="G11" s="384">
        <f>'Input Tab'!E22</f>
        <v>618454</v>
      </c>
      <c r="H11" s="384">
        <f>'Input Tab'!F22</f>
        <v>0</v>
      </c>
      <c r="I11" s="384">
        <f>'Input Tab'!G22</f>
        <v>0</v>
      </c>
      <c r="J11" s="384">
        <f>'Input Tab'!H22</f>
        <v>0</v>
      </c>
      <c r="K11" s="384">
        <f>'Input Tab'!I22</f>
        <v>0</v>
      </c>
      <c r="L11" s="384">
        <f>'Input Tab'!J22</f>
        <v>0</v>
      </c>
      <c r="M11" s="384">
        <f>'Input Tab'!K22</f>
        <v>0</v>
      </c>
      <c r="N11" s="384">
        <f>'Input Tab'!L22</f>
        <v>0</v>
      </c>
      <c r="O11" s="384">
        <f>'Input Tab'!M22</f>
        <v>0</v>
      </c>
      <c r="P11" s="384">
        <f>'Input Tab'!N22</f>
        <v>0</v>
      </c>
      <c r="Q11" s="239"/>
      <c r="R11" s="380">
        <f t="shared" si="2"/>
        <v>1855362</v>
      </c>
    </row>
    <row r="12" spans="1:18" ht="14.25">
      <c r="A12" s="274">
        <f>A11+1</f>
        <v>6</v>
      </c>
      <c r="B12" s="52" t="s">
        <v>280</v>
      </c>
      <c r="C12" s="288" t="s">
        <v>252</v>
      </c>
      <c r="D12" s="175">
        <f t="shared" si="3"/>
        <v>8977091</v>
      </c>
      <c r="E12" s="384">
        <f>'Input Tab'!C23</f>
        <v>3744667</v>
      </c>
      <c r="F12" s="384">
        <f>'Input Tab'!D23</f>
        <v>3383687</v>
      </c>
      <c r="G12" s="384">
        <f>'Input Tab'!E23</f>
        <v>1848737</v>
      </c>
      <c r="H12" s="384">
        <f>'Input Tab'!F23</f>
        <v>0</v>
      </c>
      <c r="I12" s="384">
        <f>'Input Tab'!G23</f>
        <v>0</v>
      </c>
      <c r="J12" s="384">
        <f>'Input Tab'!H23</f>
        <v>0</v>
      </c>
      <c r="K12" s="384">
        <f>'Input Tab'!I23</f>
        <v>0</v>
      </c>
      <c r="L12" s="384">
        <f>'Input Tab'!J23</f>
        <v>0</v>
      </c>
      <c r="M12" s="383">
        <f>'Input Tab'!K23</f>
        <v>0</v>
      </c>
      <c r="N12" s="383">
        <f>'Input Tab'!L23</f>
        <v>0</v>
      </c>
      <c r="O12" s="384">
        <f>'Input Tab'!M23</f>
        <v>0</v>
      </c>
      <c r="P12" s="384">
        <f>'Input Tab'!N23</f>
        <v>0</v>
      </c>
      <c r="Q12" s="239"/>
      <c r="R12" s="380">
        <f t="shared" si="2"/>
        <v>8977091</v>
      </c>
    </row>
    <row r="13" spans="1:18">
      <c r="A13" s="274">
        <f t="shared" ref="A13:A23" si="4">A12+1</f>
        <v>7</v>
      </c>
      <c r="B13" s="71" t="s">
        <v>274</v>
      </c>
      <c r="C13" s="288">
        <v>100137</v>
      </c>
      <c r="D13" s="175">
        <f t="shared" si="3"/>
        <v>3041</v>
      </c>
      <c r="E13" s="384">
        <f>'Input Tab'!C24</f>
        <v>1068</v>
      </c>
      <c r="F13" s="384">
        <f>'Input Tab'!D24</f>
        <v>885</v>
      </c>
      <c r="G13" s="384">
        <f>'Input Tab'!E24</f>
        <v>1088</v>
      </c>
      <c r="H13" s="384">
        <f>'Input Tab'!F24</f>
        <v>0</v>
      </c>
      <c r="I13" s="384">
        <f>'Input Tab'!G24</f>
        <v>0</v>
      </c>
      <c r="J13" s="384">
        <f>'Input Tab'!H24</f>
        <v>0</v>
      </c>
      <c r="K13" s="384">
        <f>'Input Tab'!I24</f>
        <v>0</v>
      </c>
      <c r="L13" s="384">
        <f>'Input Tab'!J24</f>
        <v>0</v>
      </c>
      <c r="M13" s="384">
        <f>'Input Tab'!K24</f>
        <v>0</v>
      </c>
      <c r="N13" s="384">
        <f>'Input Tab'!L24</f>
        <v>0</v>
      </c>
      <c r="O13" s="384">
        <f>'Input Tab'!M24</f>
        <v>0</v>
      </c>
      <c r="P13" s="384">
        <f>'Input Tab'!N24</f>
        <v>0</v>
      </c>
      <c r="Q13" s="239"/>
      <c r="R13" s="380">
        <f t="shared" si="2"/>
        <v>3041</v>
      </c>
    </row>
    <row r="14" spans="1:18">
      <c r="A14" s="274">
        <f t="shared" si="4"/>
        <v>8</v>
      </c>
      <c r="B14" s="71" t="s">
        <v>19</v>
      </c>
      <c r="C14" s="191" t="s">
        <v>441</v>
      </c>
      <c r="D14" s="175">
        <f t="shared" si="3"/>
        <v>510476</v>
      </c>
      <c r="E14" s="384">
        <f>'Input Tab'!C25</f>
        <v>196327</v>
      </c>
      <c r="F14" s="384">
        <f>'Input Tab'!D25</f>
        <v>176449</v>
      </c>
      <c r="G14" s="384">
        <f>'Input Tab'!E25</f>
        <v>137700</v>
      </c>
      <c r="H14" s="384">
        <f>'Input Tab'!F25</f>
        <v>0</v>
      </c>
      <c r="I14" s="384">
        <f>'Input Tab'!G25</f>
        <v>0</v>
      </c>
      <c r="J14" s="384">
        <f>'Input Tab'!H25</f>
        <v>0</v>
      </c>
      <c r="K14" s="384">
        <f>'Input Tab'!I25</f>
        <v>0</v>
      </c>
      <c r="L14" s="384">
        <f>'Input Tab'!J25</f>
        <v>0</v>
      </c>
      <c r="M14" s="384">
        <f>'Input Tab'!K25</f>
        <v>0</v>
      </c>
      <c r="N14" s="384">
        <f>'Input Tab'!L25</f>
        <v>0</v>
      </c>
      <c r="O14" s="384">
        <f>'Input Tab'!M25</f>
        <v>0</v>
      </c>
      <c r="P14" s="384">
        <f>'Input Tab'!N25</f>
        <v>0</v>
      </c>
      <c r="Q14" s="239"/>
      <c r="R14" s="380">
        <f t="shared" si="2"/>
        <v>510476</v>
      </c>
    </row>
    <row r="15" spans="1:18">
      <c r="A15" s="274">
        <f t="shared" si="4"/>
        <v>9</v>
      </c>
      <c r="B15" s="52" t="s">
        <v>121</v>
      </c>
      <c r="C15" s="191">
        <v>185895</v>
      </c>
      <c r="D15" s="175">
        <f t="shared" si="3"/>
        <v>453305</v>
      </c>
      <c r="E15" s="384">
        <f>'Input Tab'!C34</f>
        <v>167411</v>
      </c>
      <c r="F15" s="384">
        <f>'Input Tab'!D34</f>
        <v>151142</v>
      </c>
      <c r="G15" s="384">
        <f>'Input Tab'!E34</f>
        <v>134752</v>
      </c>
      <c r="H15" s="384">
        <f>'Input Tab'!F34</f>
        <v>0</v>
      </c>
      <c r="I15" s="384">
        <f>'Input Tab'!G34</f>
        <v>0</v>
      </c>
      <c r="J15" s="384">
        <f>'Input Tab'!H34</f>
        <v>0</v>
      </c>
      <c r="K15" s="384">
        <f>'Input Tab'!I34</f>
        <v>0</v>
      </c>
      <c r="L15" s="384">
        <f>'Input Tab'!J34</f>
        <v>0</v>
      </c>
      <c r="M15" s="384">
        <f>'Input Tab'!K34</f>
        <v>0</v>
      </c>
      <c r="N15" s="384">
        <f>'Input Tab'!L34</f>
        <v>0</v>
      </c>
      <c r="O15" s="384">
        <f>'Input Tab'!M34</f>
        <v>0</v>
      </c>
      <c r="P15" s="384">
        <f>'Input Tab'!N34</f>
        <v>0</v>
      </c>
      <c r="Q15" s="239"/>
      <c r="R15" s="380">
        <f t="shared" si="2"/>
        <v>453305</v>
      </c>
    </row>
    <row r="16" spans="1:18" ht="12.75" customHeight="1">
      <c r="A16" s="274">
        <f t="shared" si="4"/>
        <v>10</v>
      </c>
      <c r="B16" s="71" t="s">
        <v>250</v>
      </c>
      <c r="C16" s="191">
        <v>186298</v>
      </c>
      <c r="D16" s="175">
        <f t="shared" si="3"/>
        <v>1489155</v>
      </c>
      <c r="E16" s="384">
        <f>'Input Tab'!C35</f>
        <v>509116</v>
      </c>
      <c r="F16" s="384">
        <f>'Input Tab'!D35</f>
        <v>428290</v>
      </c>
      <c r="G16" s="384">
        <f>'Input Tab'!E35</f>
        <v>551749</v>
      </c>
      <c r="H16" s="384">
        <f>'Input Tab'!F35</f>
        <v>0</v>
      </c>
      <c r="I16" s="384">
        <f>'Input Tab'!G35</f>
        <v>0</v>
      </c>
      <c r="J16" s="384">
        <f>'Input Tab'!H35</f>
        <v>0</v>
      </c>
      <c r="K16" s="384">
        <f>'Input Tab'!I35</f>
        <v>0</v>
      </c>
      <c r="L16" s="384">
        <f>'Input Tab'!J35</f>
        <v>0</v>
      </c>
      <c r="M16" s="384">
        <f>'Input Tab'!K35</f>
        <v>0</v>
      </c>
      <c r="N16" s="384">
        <f>'Input Tab'!L35</f>
        <v>0</v>
      </c>
      <c r="O16" s="384">
        <f>'Input Tab'!M35</f>
        <v>0</v>
      </c>
      <c r="P16" s="384">
        <f>'Input Tab'!N35</f>
        <v>0</v>
      </c>
      <c r="Q16" s="239"/>
      <c r="R16" s="380">
        <f t="shared" si="2"/>
        <v>1489155</v>
      </c>
    </row>
    <row r="17" spans="1:20">
      <c r="A17" s="274">
        <f>A16+1</f>
        <v>11</v>
      </c>
      <c r="B17" s="52" t="s">
        <v>358</v>
      </c>
      <c r="C17" s="191">
        <v>223063</v>
      </c>
      <c r="D17" s="175">
        <f t="shared" si="3"/>
        <v>1375926</v>
      </c>
      <c r="E17" s="384">
        <f>'Input Tab'!C36</f>
        <v>503270</v>
      </c>
      <c r="F17" s="384">
        <f>'Input Tab'!D36</f>
        <v>466388</v>
      </c>
      <c r="G17" s="384">
        <f>'Input Tab'!E36</f>
        <v>406268</v>
      </c>
      <c r="H17" s="384">
        <f>'Input Tab'!F36</f>
        <v>0</v>
      </c>
      <c r="I17" s="384">
        <f>'Input Tab'!G36</f>
        <v>0</v>
      </c>
      <c r="J17" s="384">
        <f>'Input Tab'!H36</f>
        <v>0</v>
      </c>
      <c r="K17" s="384">
        <f>'Input Tab'!I36</f>
        <v>0</v>
      </c>
      <c r="L17" s="384">
        <f>'Input Tab'!J36</f>
        <v>0</v>
      </c>
      <c r="M17" s="384">
        <f>'Input Tab'!K36</f>
        <v>0</v>
      </c>
      <c r="N17" s="384">
        <f>'Input Tab'!L36</f>
        <v>0</v>
      </c>
      <c r="O17" s="384">
        <f>'Input Tab'!M36</f>
        <v>0</v>
      </c>
      <c r="P17" s="384">
        <f>'Input Tab'!N36</f>
        <v>0</v>
      </c>
      <c r="Q17" s="239"/>
      <c r="R17" s="380">
        <f t="shared" si="2"/>
        <v>1375926</v>
      </c>
    </row>
    <row r="18" spans="1:20">
      <c r="A18" s="274">
        <f>A17+1</f>
        <v>12</v>
      </c>
      <c r="B18" s="385" t="s">
        <v>490</v>
      </c>
      <c r="C18" s="191">
        <v>102475</v>
      </c>
      <c r="D18" s="175">
        <f t="shared" si="3"/>
        <v>2771</v>
      </c>
      <c r="E18" s="383">
        <f>'Input Tab'!C37</f>
        <v>0</v>
      </c>
      <c r="F18" s="383">
        <f>'Input Tab'!D37</f>
        <v>0</v>
      </c>
      <c r="G18" s="383">
        <f>'Input Tab'!E37</f>
        <v>2771</v>
      </c>
      <c r="H18" s="383">
        <f>'Input Tab'!F37</f>
        <v>0</v>
      </c>
      <c r="I18" s="383">
        <f>'Input Tab'!G37</f>
        <v>0</v>
      </c>
      <c r="J18" s="383">
        <f>'Input Tab'!H37</f>
        <v>0</v>
      </c>
      <c r="K18" s="383">
        <f>'Input Tab'!I37</f>
        <v>0</v>
      </c>
      <c r="L18" s="383">
        <f>'Input Tab'!J37</f>
        <v>0</v>
      </c>
      <c r="M18" s="383">
        <f>'Input Tab'!K37</f>
        <v>0</v>
      </c>
      <c r="N18" s="383">
        <f>'Input Tab'!L37</f>
        <v>0</v>
      </c>
      <c r="O18" s="383">
        <f>'Input Tab'!M37</f>
        <v>0</v>
      </c>
      <c r="P18" s="383">
        <f>'Input Tab'!N37</f>
        <v>0</v>
      </c>
      <c r="Q18" s="239"/>
      <c r="R18" s="380">
        <f t="shared" si="2"/>
        <v>2771</v>
      </c>
    </row>
    <row r="19" spans="1:20">
      <c r="A19" s="274">
        <f>A18+1</f>
        <v>13</v>
      </c>
      <c r="B19" s="52" t="s">
        <v>275</v>
      </c>
      <c r="C19" s="191" t="s">
        <v>276</v>
      </c>
      <c r="D19" s="175">
        <f t="shared" si="3"/>
        <v>6867495</v>
      </c>
      <c r="E19" s="383">
        <f>'Input Tab'!C38</f>
        <v>2326853</v>
      </c>
      <c r="F19" s="383">
        <f>'Input Tab'!D38</f>
        <v>2182871</v>
      </c>
      <c r="G19" s="383">
        <f>'Input Tab'!E38</f>
        <v>2357771</v>
      </c>
      <c r="H19" s="383">
        <f>'Input Tab'!F38</f>
        <v>0</v>
      </c>
      <c r="I19" s="383">
        <f>'Input Tab'!G38</f>
        <v>0</v>
      </c>
      <c r="J19" s="383">
        <f>'Input Tab'!H38</f>
        <v>0</v>
      </c>
      <c r="K19" s="383">
        <f>'Input Tab'!I38</f>
        <v>0</v>
      </c>
      <c r="L19" s="383">
        <f>'Input Tab'!J38</f>
        <v>0</v>
      </c>
      <c r="M19" s="383">
        <f>'Input Tab'!K38</f>
        <v>0</v>
      </c>
      <c r="N19" s="383">
        <f>'Input Tab'!L38</f>
        <v>0</v>
      </c>
      <c r="O19" s="383">
        <f>'Input Tab'!M38</f>
        <v>0</v>
      </c>
      <c r="P19" s="383">
        <f>'Input Tab'!N38</f>
        <v>0</v>
      </c>
      <c r="Q19" s="239"/>
      <c r="R19" s="380">
        <f t="shared" si="2"/>
        <v>6867495</v>
      </c>
    </row>
    <row r="20" spans="1:20">
      <c r="A20" s="274">
        <f>A19+1</f>
        <v>14</v>
      </c>
      <c r="B20" s="52" t="s">
        <v>357</v>
      </c>
      <c r="C20" s="191">
        <v>181462</v>
      </c>
      <c r="D20" s="175">
        <f t="shared" si="3"/>
        <v>6678549</v>
      </c>
      <c r="E20" s="383">
        <f>'Input Tab'!C39</f>
        <v>2365264</v>
      </c>
      <c r="F20" s="383">
        <f>'Input Tab'!D39</f>
        <v>2240478</v>
      </c>
      <c r="G20" s="383">
        <f>'Input Tab'!E39</f>
        <v>2072807</v>
      </c>
      <c r="H20" s="383">
        <f>'Input Tab'!F39</f>
        <v>0</v>
      </c>
      <c r="I20" s="383">
        <f>'Input Tab'!G39</f>
        <v>0</v>
      </c>
      <c r="J20" s="383">
        <f>'Input Tab'!H39</f>
        <v>0</v>
      </c>
      <c r="K20" s="383">
        <f>'Input Tab'!I39</f>
        <v>0</v>
      </c>
      <c r="L20" s="383">
        <f>'Input Tab'!J39</f>
        <v>0</v>
      </c>
      <c r="M20" s="383">
        <f>'Input Tab'!K39</f>
        <v>0</v>
      </c>
      <c r="N20" s="383">
        <f>'Input Tab'!L39</f>
        <v>0</v>
      </c>
      <c r="O20" s="383">
        <f>'Input Tab'!M39</f>
        <v>0</v>
      </c>
      <c r="P20" s="383">
        <f>'Input Tab'!N39</f>
        <v>0</v>
      </c>
      <c r="Q20" s="239"/>
      <c r="R20" s="380">
        <f t="shared" si="2"/>
        <v>6678549</v>
      </c>
    </row>
    <row r="21" spans="1:20">
      <c r="A21" s="274">
        <f>A20+1</f>
        <v>15</v>
      </c>
      <c r="B21" s="71" t="s">
        <v>35</v>
      </c>
      <c r="C21" s="288"/>
      <c r="D21" s="175">
        <f t="shared" si="3"/>
        <v>659247</v>
      </c>
      <c r="E21" s="177">
        <f>E35</f>
        <v>213305</v>
      </c>
      <c r="F21" s="177">
        <f>F35</f>
        <v>248240</v>
      </c>
      <c r="G21" s="177">
        <f t="shared" ref="G21:P21" si="5">G35</f>
        <v>197702</v>
      </c>
      <c r="H21" s="177">
        <f t="shared" si="5"/>
        <v>0</v>
      </c>
      <c r="I21" s="177">
        <f t="shared" si="5"/>
        <v>0</v>
      </c>
      <c r="J21" s="177">
        <f t="shared" si="5"/>
        <v>0</v>
      </c>
      <c r="K21" s="177">
        <f t="shared" si="5"/>
        <v>0</v>
      </c>
      <c r="L21" s="177">
        <f t="shared" si="5"/>
        <v>0</v>
      </c>
      <c r="M21" s="177">
        <f>M35</f>
        <v>0</v>
      </c>
      <c r="N21" s="177">
        <f>N35</f>
        <v>0</v>
      </c>
      <c r="O21" s="177">
        <f t="shared" si="5"/>
        <v>0</v>
      </c>
      <c r="P21" s="177">
        <f t="shared" si="5"/>
        <v>0</v>
      </c>
      <c r="Q21" s="177"/>
      <c r="R21" s="380">
        <f t="shared" si="2"/>
        <v>659247</v>
      </c>
    </row>
    <row r="22" spans="1:20">
      <c r="A22" s="274">
        <f t="shared" si="4"/>
        <v>16</v>
      </c>
      <c r="B22" s="385" t="s">
        <v>20</v>
      </c>
      <c r="C22" s="386"/>
      <c r="D22" s="175">
        <f t="shared" si="3"/>
        <v>-1708</v>
      </c>
      <c r="E22" s="178">
        <f>E33</f>
        <v>17127</v>
      </c>
      <c r="F22" s="178">
        <f>F33</f>
        <v>-25491</v>
      </c>
      <c r="G22" s="178">
        <f t="shared" ref="G22:P22" si="6">G33</f>
        <v>6656</v>
      </c>
      <c r="H22" s="178">
        <f t="shared" si="6"/>
        <v>0</v>
      </c>
      <c r="I22" s="178">
        <f t="shared" si="6"/>
        <v>0</v>
      </c>
      <c r="J22" s="178">
        <f t="shared" si="6"/>
        <v>0</v>
      </c>
      <c r="K22" s="178">
        <f t="shared" si="6"/>
        <v>0</v>
      </c>
      <c r="L22" s="178">
        <f t="shared" si="6"/>
        <v>0</v>
      </c>
      <c r="M22" s="178">
        <f t="shared" si="6"/>
        <v>0</v>
      </c>
      <c r="N22" s="178">
        <f>N33</f>
        <v>0</v>
      </c>
      <c r="O22" s="178">
        <f t="shared" si="6"/>
        <v>0</v>
      </c>
      <c r="P22" s="178">
        <f t="shared" si="6"/>
        <v>0</v>
      </c>
      <c r="Q22" s="178"/>
      <c r="R22" s="380">
        <f t="shared" si="2"/>
        <v>-1708</v>
      </c>
    </row>
    <row r="23" spans="1:20" s="185" customFormat="1" ht="13.5" thickBot="1">
      <c r="A23" s="387">
        <f t="shared" si="4"/>
        <v>17</v>
      </c>
      <c r="B23" s="259" t="s">
        <v>234</v>
      </c>
      <c r="C23" s="259"/>
      <c r="D23" s="202">
        <f>SUM(E23:P23)</f>
        <v>44553053</v>
      </c>
      <c r="E23" s="388">
        <f>E37</f>
        <v>16833261</v>
      </c>
      <c r="F23" s="388">
        <f t="shared" ref="F23:P23" si="7">F37</f>
        <v>15418244</v>
      </c>
      <c r="G23" s="388">
        <f>G37</f>
        <v>12301548</v>
      </c>
      <c r="H23" s="388">
        <f>H37</f>
        <v>0</v>
      </c>
      <c r="I23" s="388">
        <f t="shared" si="7"/>
        <v>0</v>
      </c>
      <c r="J23" s="388">
        <f t="shared" si="7"/>
        <v>0</v>
      </c>
      <c r="K23" s="388">
        <f t="shared" si="7"/>
        <v>0</v>
      </c>
      <c r="L23" s="388">
        <f t="shared" si="7"/>
        <v>0</v>
      </c>
      <c r="M23" s="388">
        <f>M37</f>
        <v>0</v>
      </c>
      <c r="N23" s="388">
        <f>N37</f>
        <v>0</v>
      </c>
      <c r="O23" s="388">
        <f t="shared" si="7"/>
        <v>0</v>
      </c>
      <c r="P23" s="388">
        <f t="shared" si="7"/>
        <v>0</v>
      </c>
      <c r="Q23" s="179"/>
      <c r="R23" s="389">
        <f>SUM(R7:R21)</f>
        <v>44554761</v>
      </c>
    </row>
    <row r="24" spans="1:20" ht="13.5" thickTop="1">
      <c r="A24" s="274"/>
      <c r="E24" s="201" t="s">
        <v>30</v>
      </c>
      <c r="F24" s="390" t="s">
        <v>30</v>
      </c>
      <c r="G24" s="390"/>
      <c r="H24" s="390"/>
      <c r="I24" s="390"/>
      <c r="J24" s="390"/>
      <c r="K24" s="390"/>
      <c r="L24" s="390"/>
      <c r="M24" s="390"/>
      <c r="N24" s="390"/>
      <c r="O24" s="390"/>
      <c r="P24" s="390"/>
    </row>
    <row r="25" spans="1:20">
      <c r="A25" s="274"/>
      <c r="B25" s="52" t="s">
        <v>235</v>
      </c>
      <c r="C25" s="52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T25" s="391"/>
    </row>
    <row r="26" spans="1:20" outlineLevel="1">
      <c r="A26" s="274"/>
      <c r="B26" s="255" t="s">
        <v>15</v>
      </c>
      <c r="C26" s="255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</row>
    <row r="27" spans="1:20" outlineLevel="1">
      <c r="A27" s="274"/>
      <c r="B27" s="71">
        <v>555000</v>
      </c>
      <c r="D27" s="390">
        <f>SUM(E27:P27)</f>
        <v>41832049</v>
      </c>
      <c r="E27" s="158">
        <f>_xll.Get_Balance(E$83,"PTD","USD","Total","A","","001","555000","ED","AN","DL")</f>
        <v>15846149</v>
      </c>
      <c r="F27" s="158">
        <f>_xll.Get_Balance(F$83,"PTD","USD","Total","A","","001","555000","ED","AN","DL")</f>
        <v>14328579</v>
      </c>
      <c r="G27" s="158">
        <f>_xll.Get_Balance(G$83,"PTD","USD","Total","A","","001","555000","ED","AN","DL")</f>
        <v>11657321</v>
      </c>
      <c r="H27" s="158">
        <f>_xll.Get_Balance(H$83,"PTD","USD","Total","A","","001","555000","ED","AN","DL")</f>
        <v>0</v>
      </c>
      <c r="I27" s="158">
        <f>_xll.Get_Balance(I$83,"PTD","USD","Total","A","","001","555000","ED","AN","DL")</f>
        <v>0</v>
      </c>
      <c r="J27" s="158">
        <f>_xll.Get_Balance(J$83,"PTD","USD","Total","A","","001","555000","ED","AN","DL")</f>
        <v>0</v>
      </c>
      <c r="K27" s="158">
        <f>_xll.Get_Balance(K$83,"PTD","USD","Total","A","","001","555000","ED","AN","DL")</f>
        <v>0</v>
      </c>
      <c r="L27" s="158">
        <f>_xll.Get_Balance(L$83,"PTD","USD","Total","A","","001","555000","ED","AN","DL")</f>
        <v>0</v>
      </c>
      <c r="M27" s="158">
        <f>_xll.Get_Balance(M$83,"PTD","USD","Total","A","","001","555000","ED","AN","DL")</f>
        <v>0</v>
      </c>
      <c r="N27" s="158">
        <f>_xll.Get_Balance(N$83,"PTD","USD","Total","A","","001","555000","ED","AN","DL")</f>
        <v>0</v>
      </c>
      <c r="O27" s="158">
        <f>_xll.Get_Balance(O$83,"PTD","USD","Total","A","","001","555000","ED","AN","DL")</f>
        <v>0</v>
      </c>
      <c r="P27" s="158">
        <f>_xll.Get_Balance(P$83,"PTD","USD","Total","A","","001","555000","ED","AN","DL")</f>
        <v>0</v>
      </c>
      <c r="Q27" s="239"/>
      <c r="R27" s="380">
        <f t="shared" ref="R27:R36" si="8">SUM(E27:P27)</f>
        <v>41832049</v>
      </c>
    </row>
    <row r="28" spans="1:20" outlineLevel="1">
      <c r="A28" s="274"/>
      <c r="B28" s="71">
        <v>555030</v>
      </c>
      <c r="D28" s="390">
        <f>SUM(E28:P28)</f>
        <v>0</v>
      </c>
      <c r="E28" s="158">
        <f>_xll.Get_Balance(E$83,"PTD","USD","Total","A","","001","555030","ED","AN","DL")</f>
        <v>0</v>
      </c>
      <c r="F28" s="158">
        <f>_xll.Get_Balance(F$83,"PTD","USD","Total","A","","001","555030","ED","AN","DL")</f>
        <v>0</v>
      </c>
      <c r="G28" s="158">
        <f>_xll.Get_Balance(G$83,"PTD","USD","Total","A","","001","555030","ED","AN","DL")</f>
        <v>0</v>
      </c>
      <c r="H28" s="158">
        <f>_xll.Get_Balance(H$83,"PTD","USD","Total","A","","001","555030","ED","AN","DL")</f>
        <v>0</v>
      </c>
      <c r="I28" s="158">
        <f>_xll.Get_Balance(I$83,"PTD","USD","Total","A","","001","555030","ED","AN","DL")</f>
        <v>0</v>
      </c>
      <c r="J28" s="158">
        <f>_xll.Get_Balance(J$83,"PTD","USD","Total","A","","001","555030","ED","AN","DL")</f>
        <v>0</v>
      </c>
      <c r="K28" s="158">
        <f>_xll.Get_Balance(K$83,"PTD","USD","Total","A","","001","555030","ED","AN","DL")</f>
        <v>0</v>
      </c>
      <c r="L28" s="158">
        <f>_xll.Get_Balance(L$83,"PTD","USD","Total","A","","001","555030","ED","AN","DL")</f>
        <v>0</v>
      </c>
      <c r="M28" s="158">
        <f>_xll.Get_Balance(M$83,"PTD","USD","Total","A","","001","555030","ED","AN","DL")</f>
        <v>0</v>
      </c>
      <c r="N28" s="158">
        <f>_xll.Get_Balance(N$83,"PTD","USD","Total","A","","001","555030","ED","AN","DL")</f>
        <v>0</v>
      </c>
      <c r="O28" s="158">
        <f>_xll.Get_Balance(O$83,"PTD","USD","Total","A","","001","555030","ED","AN","DL")</f>
        <v>0</v>
      </c>
      <c r="P28" s="158">
        <f>_xll.Get_Balance(P$83,"PTD","USD","Total","A","","001","555030","ED","AN","DL")</f>
        <v>0</v>
      </c>
      <c r="Q28" s="239"/>
      <c r="R28" s="380"/>
    </row>
    <row r="29" spans="1:20" outlineLevel="1">
      <c r="A29" s="274"/>
      <c r="B29" s="71">
        <v>555100</v>
      </c>
      <c r="C29" s="71" t="s">
        <v>253</v>
      </c>
      <c r="D29" s="390">
        <f t="shared" ref="D29:D36" si="9">SUM(E29:P29)</f>
        <v>669820</v>
      </c>
      <c r="E29" s="158">
        <f>_xll.Get_Balance(E$83,"PTD","USD","Total","A","","001","555100","ED","AN","DL")</f>
        <v>269952</v>
      </c>
      <c r="F29" s="158">
        <f>_xll.Get_Balance(F$83,"PTD","USD","Total","A","","001","555100","ED","AN","DL")</f>
        <v>412596</v>
      </c>
      <c r="G29" s="158">
        <f>_xll.Get_Balance(G$83,"PTD","USD","Total","A","","001","555100","ED","AN","DL")</f>
        <v>-12728</v>
      </c>
      <c r="H29" s="158">
        <f>_xll.Get_Balance(H$83,"PTD","USD","Total","A","","001","555100","ED","AN","DL")</f>
        <v>0</v>
      </c>
      <c r="I29" s="158">
        <f>_xll.Get_Balance(I$83,"PTD","USD","Total","A","","001","555100","ED","AN","DL")</f>
        <v>0</v>
      </c>
      <c r="J29" s="158">
        <f>_xll.Get_Balance(J$83,"PTD","USD","Total","A","","001","555100","ED","AN","DL")</f>
        <v>0</v>
      </c>
      <c r="K29" s="158">
        <f>_xll.Get_Balance(K$83,"PTD","USD","Total","A","","001","555100","ED","AN","DL")</f>
        <v>0</v>
      </c>
      <c r="L29" s="158">
        <f>_xll.Get_Balance(L$83,"PTD","USD","Total","A","","001","555100","ED","AN","DL")</f>
        <v>0</v>
      </c>
      <c r="M29" s="158">
        <f>_xll.Get_Balance(M$83,"PTD","USD","Total","A","","001","555100","ED","AN","DL")</f>
        <v>0</v>
      </c>
      <c r="N29" s="158">
        <f>_xll.Get_Balance(N$83,"PTD","USD","Total","A","","001","555100","ED","AN","DL")</f>
        <v>0</v>
      </c>
      <c r="O29" s="158">
        <f>_xll.Get_Balance(O$83,"PTD","USD","Total","A","","001","555100","ED","AN","DL")</f>
        <v>0</v>
      </c>
      <c r="P29" s="158">
        <f>_xll.Get_Balance(P$83,"PTD","USD","Total","A","","001","555100","ED","AN","DL")</f>
        <v>0</v>
      </c>
      <c r="Q29" s="239"/>
      <c r="R29" s="380">
        <f t="shared" si="8"/>
        <v>669820</v>
      </c>
    </row>
    <row r="30" spans="1:20" outlineLevel="1">
      <c r="A30" s="274"/>
      <c r="B30" s="52">
        <v>555312</v>
      </c>
      <c r="C30" s="52" t="s">
        <v>197</v>
      </c>
      <c r="D30" s="390">
        <f t="shared" si="9"/>
        <v>0</v>
      </c>
      <c r="E30" s="158">
        <f>_xll.Get_Balance(E$83,"PTD","USD","Total","A","","001","555312","ED","AN","DL")</f>
        <v>0</v>
      </c>
      <c r="F30" s="158">
        <f>_xll.Get_Balance(F$83,"PTD","USD","Total","A","","001","555312","ED","AN","DL")</f>
        <v>0</v>
      </c>
      <c r="G30" s="158">
        <f>_xll.Get_Balance(G$83,"PTD","USD","Total","A","","001","555312","ED","AN","DL")</f>
        <v>0</v>
      </c>
      <c r="H30" s="158">
        <f>_xll.Get_Balance(H$83,"PTD","USD","Total","A","","001","555312","ED","AN","DL")</f>
        <v>0</v>
      </c>
      <c r="I30" s="158">
        <f>_xll.Get_Balance(I$83,"PTD","USD","Total","A","","001","555312","ED","AN","DL")</f>
        <v>0</v>
      </c>
      <c r="J30" s="158">
        <f>_xll.Get_Balance(J$83,"PTD","USD","Total","A","","001","555312","ED","AN","DL")</f>
        <v>0</v>
      </c>
      <c r="K30" s="158">
        <f>_xll.Get_Balance(K$83,"PTD","USD","Total","A","","001","555312","ED","AN","DL")</f>
        <v>0</v>
      </c>
      <c r="L30" s="158">
        <f>_xll.Get_Balance(L$83,"PTD","USD","Total","A","","001","555312","ED","AN","DL")</f>
        <v>0</v>
      </c>
      <c r="M30" s="158">
        <f>_xll.Get_Balance(M$83,"PTD","USD","Total","A","","001","555312","ED","AN","DL")</f>
        <v>0</v>
      </c>
      <c r="N30" s="158">
        <f>_xll.Get_Balance(N$83,"PTD","USD","Total","A","","001","555312","ED","AN","DL")</f>
        <v>0</v>
      </c>
      <c r="O30" s="158">
        <f>_xll.Get_Balance(O$83,"PTD","USD","Total","A","","001","555312","ED","AN","DL")</f>
        <v>0</v>
      </c>
      <c r="P30" s="158">
        <f>_xll.Get_Balance(P$83,"PTD","USD","Total","A","","001","555312","ED","AN","DL")</f>
        <v>0</v>
      </c>
      <c r="Q30" s="239"/>
      <c r="R30" s="380">
        <f>SUM(E30:P30)</f>
        <v>0</v>
      </c>
    </row>
    <row r="31" spans="1:20" outlineLevel="1">
      <c r="A31" s="274"/>
      <c r="B31" s="71">
        <v>555313</v>
      </c>
      <c r="C31" s="71" t="s">
        <v>197</v>
      </c>
      <c r="D31" s="390">
        <f t="shared" si="9"/>
        <v>0</v>
      </c>
      <c r="E31" s="158">
        <f>_xll.Get_Balance(E$83,"PTD","USD","Total","A","","001","555313","ED","AN","DL")</f>
        <v>0</v>
      </c>
      <c r="F31" s="158">
        <f>_xll.Get_Balance(F$83,"PTD","USD","Total","A","","001","555313","ED","AN","DL")</f>
        <v>0</v>
      </c>
      <c r="G31" s="158">
        <f>_xll.Get_Balance(G$83,"PTD","USD","Total","A","","001","555313","ED","AN","DL")</f>
        <v>0</v>
      </c>
      <c r="H31" s="158">
        <f>_xll.Get_Balance(H$83,"PTD","USD","Total","A","","001","555313","ED","AN","DL")</f>
        <v>0</v>
      </c>
      <c r="I31" s="158">
        <f>_xll.Get_Balance(I$83,"PTD","USD","Total","A","","001","555313","ED","AN","DL")</f>
        <v>0</v>
      </c>
      <c r="J31" s="158">
        <f>_xll.Get_Balance(J$83,"PTD","USD","Total","A","","001","555313","ED","AN","DL")</f>
        <v>0</v>
      </c>
      <c r="K31" s="158">
        <f>_xll.Get_Balance(K$83,"PTD","USD","Total","A","","001","555313","ED","AN","DL")</f>
        <v>0</v>
      </c>
      <c r="L31" s="158">
        <f>_xll.Get_Balance(L$83,"PTD","USD","Total","A","","001","555313","ED","AN","DL")</f>
        <v>0</v>
      </c>
      <c r="M31" s="158">
        <f>_xll.Get_Balance(M$83,"PTD","USD","Total","A","","001","555313","ED","AN","DL")</f>
        <v>0</v>
      </c>
      <c r="N31" s="158">
        <f>_xll.Get_Balance(N$83,"PTD","USD","Total","A","","001","555313","ED","AN","DL")</f>
        <v>0</v>
      </c>
      <c r="O31" s="158">
        <f>_xll.Get_Balance(O$83,"PTD","USD","Total","A","","001","555313","ED","AN","DL")</f>
        <v>0</v>
      </c>
      <c r="P31" s="158">
        <f>_xll.Get_Balance(P$83,"PTD","USD","Total","A","","001","555313","ED","AN","DL")</f>
        <v>0</v>
      </c>
      <c r="Q31" s="239"/>
      <c r="R31" s="380">
        <f>SUM(E31:P31)</f>
        <v>0</v>
      </c>
    </row>
    <row r="32" spans="1:20" outlineLevel="1">
      <c r="A32" s="274"/>
      <c r="B32" s="71">
        <v>555380</v>
      </c>
      <c r="C32" s="71" t="s">
        <v>254</v>
      </c>
      <c r="D32" s="390">
        <f t="shared" si="9"/>
        <v>0</v>
      </c>
      <c r="E32" s="158">
        <f>_xll.Get_Balance(E$83,"PTD","USD","Total","A","","001","555380","ED","AN","DL")</f>
        <v>0</v>
      </c>
      <c r="F32" s="158">
        <f>_xll.Get_Balance(F$83,"PTD","USD","Total","A","","001","555380","ED","AN","DL")</f>
        <v>0</v>
      </c>
      <c r="G32" s="158">
        <f>_xll.Get_Balance(G$83,"PTD","USD","Total","A","","001","555380","ED","AN","DL")</f>
        <v>0</v>
      </c>
      <c r="H32" s="158">
        <f>_xll.Get_Balance(H$83,"PTD","USD","Total","A","","001","555380","ED","AN","DL")</f>
        <v>0</v>
      </c>
      <c r="I32" s="158">
        <f>_xll.Get_Balance(I$83,"PTD","USD","Total","A","","001","555380","ED","AN","DL")</f>
        <v>0</v>
      </c>
      <c r="J32" s="158">
        <f>_xll.Get_Balance(J$83,"PTD","USD","Total","A","","001","555380","ED","AN","DL")</f>
        <v>0</v>
      </c>
      <c r="K32" s="158">
        <f>_xll.Get_Balance(K$83,"PTD","USD","Total","A","","001","555380","ED","AN","DL")</f>
        <v>0</v>
      </c>
      <c r="L32" s="158">
        <f>_xll.Get_Balance(L$83,"PTD","USD","Total","A","","001","555380","ED","AN","DL")</f>
        <v>0</v>
      </c>
      <c r="M32" s="158">
        <f>_xll.Get_Balance(M$83,"PTD","USD","Total","A","","001","555380","ED","AN","DL")</f>
        <v>0</v>
      </c>
      <c r="N32" s="158">
        <f>_xll.Get_Balance(N$83,"PTD","USD","Total","A","","001","555380","ED","AN","DL")</f>
        <v>0</v>
      </c>
      <c r="O32" s="158">
        <f>_xll.Get_Balance(O$83,"PTD","USD","Total","A","","001","555380","ED","AN","DL")</f>
        <v>0</v>
      </c>
      <c r="P32" s="158">
        <f>_xll.Get_Balance(P$83,"PTD","USD","Total","A","","001","555380","ED","AN","DL")</f>
        <v>0</v>
      </c>
      <c r="Q32" s="239"/>
      <c r="R32" s="380">
        <f>SUM(E32:P32)</f>
        <v>0</v>
      </c>
    </row>
    <row r="33" spans="1:18" outlineLevel="1">
      <c r="A33" s="274"/>
      <c r="B33" s="71">
        <v>555550</v>
      </c>
      <c r="C33" s="71" t="s">
        <v>255</v>
      </c>
      <c r="D33" s="390">
        <f t="shared" si="9"/>
        <v>-1708</v>
      </c>
      <c r="E33" s="158">
        <f>_xll.Get_Balance(E$83,"PTD","USD","Total","A","","001","555550","ED","AN","DL")</f>
        <v>17127</v>
      </c>
      <c r="F33" s="158">
        <f>_xll.Get_Balance(F$83,"PTD","USD","Total","A","","001","555550","ED","AN","DL")</f>
        <v>-25491</v>
      </c>
      <c r="G33" s="158">
        <f>_xll.Get_Balance(G$83,"PTD","USD","Total","A","","001","555550","ED","AN","DL")</f>
        <v>6656</v>
      </c>
      <c r="H33" s="158">
        <f>_xll.Get_Balance(H$83,"PTD","USD","Total","A","","001","555550","ED","AN","DL")</f>
        <v>0</v>
      </c>
      <c r="I33" s="158">
        <f>_xll.Get_Balance(I$83,"PTD","USD","Total","A","","001","555550","ED","AN","DL")</f>
        <v>0</v>
      </c>
      <c r="J33" s="158">
        <f>_xll.Get_Balance(J$83,"PTD","USD","Total","A","","001","555550","ED","AN","DL")</f>
        <v>0</v>
      </c>
      <c r="K33" s="158">
        <f>_xll.Get_Balance(K$83,"PTD","USD","Total","A","","001","555550","ED","AN","DL")</f>
        <v>0</v>
      </c>
      <c r="L33" s="158">
        <f>_xll.Get_Balance(L$83,"PTD","USD","Total","A","","001","555550","ED","AN","DL")</f>
        <v>0</v>
      </c>
      <c r="M33" s="158">
        <f>_xll.Get_Balance(M$83,"PTD","USD","Total","A","","001","555550","ED","AN","DL")</f>
        <v>0</v>
      </c>
      <c r="N33" s="158">
        <f>_xll.Get_Balance(N$83,"PTD","USD","Total","A","","001","555550","ED","AN","DL")</f>
        <v>0</v>
      </c>
      <c r="O33" s="158">
        <f>_xll.Get_Balance(O$83,"PTD","USD","Total","A","","001","555550","ED","AN","DL")</f>
        <v>0</v>
      </c>
      <c r="P33" s="158">
        <f>_xll.Get_Balance(P$83,"PTD","USD","Total","A","","001","555550","ED","AN","DL")</f>
        <v>0</v>
      </c>
      <c r="Q33" s="239"/>
      <c r="R33" s="380">
        <f>SUM(E33:P33)</f>
        <v>-1708</v>
      </c>
    </row>
    <row r="34" spans="1:18" outlineLevel="1">
      <c r="A34" s="274"/>
      <c r="B34" s="71">
        <v>555700</v>
      </c>
      <c r="C34" s="71" t="s">
        <v>256</v>
      </c>
      <c r="D34" s="390">
        <f t="shared" si="9"/>
        <v>672482</v>
      </c>
      <c r="E34" s="158">
        <f>_xll.Get_Balance(E$83,"PTD","USD","Total","A","","001","555700","ED","AN","DL")</f>
        <v>185905</v>
      </c>
      <c r="F34" s="158">
        <f>_xll.Get_Balance(F$83,"PTD","USD","Total","A","","001","555700","ED","AN","DL")</f>
        <v>182496</v>
      </c>
      <c r="G34" s="158">
        <f>_xll.Get_Balance(G$83,"PTD","USD","Total","A","","001","555700","ED","AN","DL")</f>
        <v>304081</v>
      </c>
      <c r="H34" s="158">
        <f>_xll.Get_Balance(H$83,"PTD","USD","Total","A","","001","555700","ED","AN","DL")</f>
        <v>0</v>
      </c>
      <c r="I34" s="158">
        <f>_xll.Get_Balance(I$83,"PTD","USD","Total","A","","001","555700","ED","AN","DL")</f>
        <v>0</v>
      </c>
      <c r="J34" s="158">
        <f>_xll.Get_Balance(J$83,"PTD","USD","Total","A","","001","555700","ED","AN","DL")</f>
        <v>0</v>
      </c>
      <c r="K34" s="158">
        <f>_xll.Get_Balance(K$83,"PTD","USD","Total","A","","001","555700","ED","AN","DL")</f>
        <v>0</v>
      </c>
      <c r="L34" s="158">
        <f>_xll.Get_Balance(L$83,"PTD","USD","Total","A","","001","555700","ED","AN","DL")</f>
        <v>0</v>
      </c>
      <c r="M34" s="158">
        <f>_xll.Get_Balance(M$83,"PTD","USD","Total","A","","001","555700","ED","AN","DL")</f>
        <v>0</v>
      </c>
      <c r="N34" s="158">
        <f>_xll.Get_Balance(N$83,"PTD","USD","Total","A","","001","555700","ED","AN","DL")</f>
        <v>0</v>
      </c>
      <c r="O34" s="158">
        <f>_xll.Get_Balance(O$83,"PTD","USD","Total","A","","001","555700","ED","AN","DL")</f>
        <v>0</v>
      </c>
      <c r="P34" s="158">
        <f>_xll.Get_Balance(P$83,"PTD","USD","Total","A","","001","555700","ED","AN","DL")</f>
        <v>0</v>
      </c>
      <c r="Q34" s="239"/>
      <c r="R34" s="380">
        <f t="shared" si="8"/>
        <v>672482</v>
      </c>
    </row>
    <row r="35" spans="1:18" outlineLevel="1">
      <c r="A35" s="274"/>
      <c r="B35" s="71">
        <v>555710</v>
      </c>
      <c r="C35" s="71" t="s">
        <v>257</v>
      </c>
      <c r="D35" s="390">
        <f t="shared" si="9"/>
        <v>659247</v>
      </c>
      <c r="E35" s="158">
        <f>_xll.Get_Balance(E$83,"PTD","USD","Total","A","","001","555710","ED","AN","DL")</f>
        <v>213305</v>
      </c>
      <c r="F35" s="158">
        <f>_xll.Get_Balance(F$83,"PTD","USD","Total","A","","001","555710","ED","AN","DL")</f>
        <v>248240</v>
      </c>
      <c r="G35" s="158">
        <f>_xll.Get_Balance(G$83,"PTD","USD","Total","A","","001","555710","ED","AN","DL")</f>
        <v>197702</v>
      </c>
      <c r="H35" s="158">
        <f>_xll.Get_Balance(H$83,"PTD","USD","Total","A","","001","555710","ED","AN","DL")</f>
        <v>0</v>
      </c>
      <c r="I35" s="158">
        <f>_xll.Get_Balance(I$83,"PTD","USD","Total","A","","001","555710","ED","AN","DL")</f>
        <v>0</v>
      </c>
      <c r="J35" s="158">
        <f>_xll.Get_Balance(J$83,"PTD","USD","Total","A","","001","555710","ED","AN","DL")</f>
        <v>0</v>
      </c>
      <c r="K35" s="158">
        <f>_xll.Get_Balance(K$83,"PTD","USD","Total","A","","001","555710","ED","AN","DL")</f>
        <v>0</v>
      </c>
      <c r="L35" s="158">
        <f>_xll.Get_Balance(L$83,"PTD","USD","Total","A","","001","555710","ED","AN","DL")</f>
        <v>0</v>
      </c>
      <c r="M35" s="158">
        <f>_xll.Get_Balance(M$83,"PTD","USD","Total","A","","001","555710","ED","AN","DL")</f>
        <v>0</v>
      </c>
      <c r="N35" s="158">
        <f>_xll.Get_Balance(N$83,"PTD","USD","Total","A","","001","555710","ED","AN","DL")</f>
        <v>0</v>
      </c>
      <c r="O35" s="158">
        <f>_xll.Get_Balance(O$83,"PTD","USD","Total","A","","001","555710","ED","AN","DL")</f>
        <v>0</v>
      </c>
      <c r="P35" s="158">
        <f>_xll.Get_Balance(P$83,"PTD","USD","Total","A","","001","555710","ED","AN","DL")</f>
        <v>0</v>
      </c>
      <c r="Q35" s="239"/>
      <c r="R35" s="380">
        <f t="shared" si="8"/>
        <v>659247</v>
      </c>
    </row>
    <row r="36" spans="1:18" outlineLevel="1">
      <c r="A36" s="274"/>
      <c r="B36" s="256" t="s">
        <v>170</v>
      </c>
      <c r="C36" s="191" t="s">
        <v>432</v>
      </c>
      <c r="D36" s="392">
        <f t="shared" si="9"/>
        <v>721163</v>
      </c>
      <c r="E36" s="393">
        <f>'Input Tab'!C41</f>
        <v>300823.05</v>
      </c>
      <c r="F36" s="393">
        <f>'Input Tab'!D41</f>
        <v>271824.2</v>
      </c>
      <c r="G36" s="393">
        <f>'Input Tab'!E41</f>
        <v>148515.9</v>
      </c>
      <c r="H36" s="393">
        <v>0</v>
      </c>
      <c r="I36" s="393">
        <f>'Input Tab'!G41</f>
        <v>0</v>
      </c>
      <c r="J36" s="393">
        <f>'Input Tab'!H41</f>
        <v>0</v>
      </c>
      <c r="K36" s="393">
        <f>'Input Tab'!I41</f>
        <v>0</v>
      </c>
      <c r="L36" s="393">
        <f>'Input Tab'!J41</f>
        <v>0</v>
      </c>
      <c r="M36" s="393">
        <f>'Input Tab'!K41</f>
        <v>0</v>
      </c>
      <c r="N36" s="393">
        <f>'Input Tab'!L41</f>
        <v>0</v>
      </c>
      <c r="O36" s="393">
        <f>'Input Tab'!M41</f>
        <v>0</v>
      </c>
      <c r="P36" s="393">
        <f>'Input Tab'!N41</f>
        <v>0</v>
      </c>
      <c r="Q36" s="325"/>
      <c r="R36" s="380">
        <f t="shared" si="8"/>
        <v>721163</v>
      </c>
    </row>
    <row r="37" spans="1:18" s="185" customFormat="1" outlineLevel="1">
      <c r="A37" s="394"/>
      <c r="B37" s="257"/>
      <c r="C37" s="257"/>
      <c r="D37" s="203">
        <f>SUM(E37:P37)</f>
        <v>44553053</v>
      </c>
      <c r="E37" s="203">
        <f>SUM(E27:E36)</f>
        <v>16833261</v>
      </c>
      <c r="F37" s="203">
        <f t="shared" ref="F37:P37" si="10">SUM(F27:F36)</f>
        <v>15418244</v>
      </c>
      <c r="G37" s="203">
        <f>SUM(G27:G36)</f>
        <v>12301548</v>
      </c>
      <c r="H37" s="203">
        <f t="shared" si="10"/>
        <v>0</v>
      </c>
      <c r="I37" s="203">
        <f t="shared" si="10"/>
        <v>0</v>
      </c>
      <c r="J37" s="203">
        <f t="shared" si="10"/>
        <v>0</v>
      </c>
      <c r="K37" s="203">
        <f t="shared" si="10"/>
        <v>0</v>
      </c>
      <c r="L37" s="203">
        <f t="shared" si="10"/>
        <v>0</v>
      </c>
      <c r="M37" s="203">
        <f>SUM(M27:M36)</f>
        <v>0</v>
      </c>
      <c r="N37" s="203">
        <f>SUM(N27:N36)</f>
        <v>0</v>
      </c>
      <c r="O37" s="203">
        <f t="shared" si="10"/>
        <v>0</v>
      </c>
      <c r="P37" s="203">
        <f t="shared" si="10"/>
        <v>0</v>
      </c>
      <c r="Q37" s="234"/>
      <c r="R37" s="203">
        <f>SUM(R27:R36)</f>
        <v>44553053</v>
      </c>
    </row>
    <row r="38" spans="1:18">
      <c r="A38" s="274"/>
      <c r="B38" s="257"/>
      <c r="C38" s="257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</row>
    <row r="39" spans="1:18" ht="19.5" customHeight="1">
      <c r="A39" s="274"/>
      <c r="B39" s="258" t="s">
        <v>27</v>
      </c>
      <c r="C39" s="258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</row>
    <row r="40" spans="1:18" ht="12.95" customHeight="1">
      <c r="A40" s="274">
        <f>A23+1</f>
        <v>18</v>
      </c>
      <c r="B40" s="71" t="s">
        <v>28</v>
      </c>
      <c r="C40" s="288"/>
      <c r="D40" s="390">
        <f t="shared" ref="D40:D45" si="11">SUM(E40:P40)</f>
        <v>-27699289</v>
      </c>
      <c r="E40" s="178">
        <f t="shared" ref="E40:P40" si="12">E45-SUM(E41:E44)</f>
        <v>-11050528</v>
      </c>
      <c r="F40" s="178">
        <f t="shared" si="12"/>
        <v>-7466737</v>
      </c>
      <c r="G40" s="178">
        <f t="shared" si="12"/>
        <v>-9182024</v>
      </c>
      <c r="H40" s="178">
        <f t="shared" si="12"/>
        <v>0</v>
      </c>
      <c r="I40" s="178">
        <f t="shared" si="12"/>
        <v>0</v>
      </c>
      <c r="J40" s="178">
        <f t="shared" si="12"/>
        <v>0</v>
      </c>
      <c r="K40" s="178">
        <f t="shared" si="12"/>
        <v>0</v>
      </c>
      <c r="L40" s="178">
        <f t="shared" si="12"/>
        <v>0</v>
      </c>
      <c r="M40" s="178">
        <f t="shared" si="12"/>
        <v>0</v>
      </c>
      <c r="N40" s="178">
        <f t="shared" si="12"/>
        <v>0</v>
      </c>
      <c r="O40" s="178">
        <f t="shared" si="12"/>
        <v>0</v>
      </c>
      <c r="P40" s="178">
        <f t="shared" si="12"/>
        <v>0</v>
      </c>
      <c r="Q40" s="395"/>
      <c r="R40" s="390">
        <f>SUM(E40:P40)</f>
        <v>-27699289</v>
      </c>
    </row>
    <row r="41" spans="1:18">
      <c r="A41" s="274">
        <f>A40+1</f>
        <v>19</v>
      </c>
      <c r="B41" s="71" t="s">
        <v>33</v>
      </c>
      <c r="C41" s="288" t="s">
        <v>258</v>
      </c>
      <c r="D41" s="390">
        <f t="shared" si="11"/>
        <v>218636</v>
      </c>
      <c r="E41" s="384">
        <f>'Input Tab'!C44</f>
        <v>96850</v>
      </c>
      <c r="F41" s="384">
        <f>'Input Tab'!D44</f>
        <v>54051</v>
      </c>
      <c r="G41" s="384">
        <f>'Input Tab'!E44</f>
        <v>67735</v>
      </c>
      <c r="H41" s="384">
        <f>'Input Tab'!F44</f>
        <v>0</v>
      </c>
      <c r="I41" s="384">
        <f>'Input Tab'!G44</f>
        <v>0</v>
      </c>
      <c r="J41" s="384">
        <f>'Input Tab'!H44</f>
        <v>0</v>
      </c>
      <c r="K41" s="384">
        <f>'Input Tab'!I44</f>
        <v>0</v>
      </c>
      <c r="L41" s="384">
        <f>'Input Tab'!J44</f>
        <v>0</v>
      </c>
      <c r="M41" s="384">
        <f>'Input Tab'!K44</f>
        <v>0</v>
      </c>
      <c r="N41" s="384">
        <f>'Input Tab'!L44</f>
        <v>0</v>
      </c>
      <c r="O41" s="384">
        <f>'Input Tab'!M44</f>
        <v>0</v>
      </c>
      <c r="P41" s="384">
        <f>'Input Tab'!N44</f>
        <v>0</v>
      </c>
      <c r="Q41" s="395"/>
      <c r="R41" s="390">
        <f>SUM(E41:P41)</f>
        <v>218636</v>
      </c>
    </row>
    <row r="42" spans="1:18">
      <c r="A42" s="274">
        <f>A41+1</f>
        <v>20</v>
      </c>
      <c r="B42" s="52" t="s">
        <v>461</v>
      </c>
      <c r="C42" s="191" t="s">
        <v>431</v>
      </c>
      <c r="D42" s="390">
        <f t="shared" si="11"/>
        <v>36841</v>
      </c>
      <c r="E42" s="384">
        <f>'Input Tab'!C45</f>
        <v>12978</v>
      </c>
      <c r="F42" s="384">
        <f>'Input Tab'!D45</f>
        <v>11594</v>
      </c>
      <c r="G42" s="384">
        <f>'Input Tab'!E45</f>
        <v>12269</v>
      </c>
      <c r="H42" s="384">
        <f>'Input Tab'!F45</f>
        <v>0</v>
      </c>
      <c r="I42" s="384">
        <f>'Input Tab'!G45</f>
        <v>0</v>
      </c>
      <c r="J42" s="384">
        <f>'Input Tab'!H45</f>
        <v>0</v>
      </c>
      <c r="K42" s="384">
        <f>'Input Tab'!I45</f>
        <v>0</v>
      </c>
      <c r="L42" s="384">
        <f>'Input Tab'!J45</f>
        <v>0</v>
      </c>
      <c r="M42" s="384">
        <f>'Input Tab'!K45</f>
        <v>0</v>
      </c>
      <c r="N42" s="384">
        <f>'Input Tab'!L45</f>
        <v>0</v>
      </c>
      <c r="O42" s="384">
        <f>'Input Tab'!M45</f>
        <v>0</v>
      </c>
      <c r="P42" s="384">
        <f>'Input Tab'!N45</f>
        <v>0</v>
      </c>
      <c r="Q42" s="395"/>
      <c r="R42" s="390">
        <f>SUM(E42:P42)</f>
        <v>36841</v>
      </c>
    </row>
    <row r="43" spans="1:18">
      <c r="A43" s="274">
        <f>A42+1</f>
        <v>21</v>
      </c>
      <c r="B43" s="71" t="s">
        <v>55</v>
      </c>
      <c r="C43" s="396" t="s">
        <v>430</v>
      </c>
      <c r="D43" s="390">
        <f t="shared" si="11"/>
        <v>186628</v>
      </c>
      <c r="E43" s="384">
        <f>'Input Tab'!C46</f>
        <v>61859</v>
      </c>
      <c r="F43" s="384">
        <f>'Input Tab'!D46</f>
        <v>59141</v>
      </c>
      <c r="G43" s="384">
        <f>'Input Tab'!E46</f>
        <v>65628</v>
      </c>
      <c r="H43" s="384">
        <f>'Input Tab'!F46</f>
        <v>0</v>
      </c>
      <c r="I43" s="384">
        <f>'Input Tab'!G46</f>
        <v>0</v>
      </c>
      <c r="J43" s="384">
        <f>'Input Tab'!H46</f>
        <v>0</v>
      </c>
      <c r="K43" s="384">
        <f>'Input Tab'!I46</f>
        <v>0</v>
      </c>
      <c r="L43" s="384">
        <f>'Input Tab'!J46</f>
        <v>0</v>
      </c>
      <c r="M43" s="384">
        <f>'Input Tab'!K46</f>
        <v>0</v>
      </c>
      <c r="N43" s="384">
        <f>'Input Tab'!L46</f>
        <v>0</v>
      </c>
      <c r="O43" s="384">
        <f>'Input Tab'!M46</f>
        <v>0</v>
      </c>
      <c r="P43" s="384">
        <f>'Input Tab'!N46</f>
        <v>0</v>
      </c>
      <c r="Q43" s="395"/>
      <c r="R43" s="390">
        <f>SUM(E43:P43)</f>
        <v>186628</v>
      </c>
    </row>
    <row r="44" spans="1:18">
      <c r="A44" s="274">
        <f>A43+1</f>
        <v>22</v>
      </c>
      <c r="B44" s="71" t="s">
        <v>36</v>
      </c>
      <c r="C44" s="288"/>
      <c r="D44" s="390">
        <f t="shared" si="11"/>
        <v>-7645108</v>
      </c>
      <c r="E44" s="176">
        <f>E54</f>
        <v>-3148683</v>
      </c>
      <c r="F44" s="176">
        <f>F54</f>
        <v>-2334720</v>
      </c>
      <c r="G44" s="176">
        <f t="shared" ref="G44:P44" si="13">G54</f>
        <v>-2161705</v>
      </c>
      <c r="H44" s="176">
        <f t="shared" si="13"/>
        <v>0</v>
      </c>
      <c r="I44" s="176">
        <f t="shared" si="13"/>
        <v>0</v>
      </c>
      <c r="J44" s="176">
        <f>J54</f>
        <v>0</v>
      </c>
      <c r="K44" s="176">
        <f>K54</f>
        <v>0</v>
      </c>
      <c r="L44" s="176">
        <f t="shared" si="13"/>
        <v>0</v>
      </c>
      <c r="M44" s="176">
        <f t="shared" si="13"/>
        <v>0</v>
      </c>
      <c r="N44" s="176">
        <f t="shared" si="13"/>
        <v>0</v>
      </c>
      <c r="O44" s="176">
        <f t="shared" si="13"/>
        <v>0</v>
      </c>
      <c r="P44" s="176">
        <f t="shared" si="13"/>
        <v>0</v>
      </c>
      <c r="Q44" s="395"/>
      <c r="R44" s="390">
        <f>SUM(E44:P44)</f>
        <v>-7645108</v>
      </c>
    </row>
    <row r="45" spans="1:18" s="185" customFormat="1" ht="24.75" customHeight="1" thickBot="1">
      <c r="A45" s="387">
        <f>A44+1</f>
        <v>23</v>
      </c>
      <c r="B45" s="259" t="s">
        <v>233</v>
      </c>
      <c r="C45" s="259"/>
      <c r="D45" s="202">
        <f t="shared" si="11"/>
        <v>-34902292</v>
      </c>
      <c r="E45" s="388">
        <f>E55</f>
        <v>-14027524</v>
      </c>
      <c r="F45" s="388">
        <f>F55</f>
        <v>-9676671</v>
      </c>
      <c r="G45" s="388">
        <f t="shared" ref="G45:P45" si="14">G55</f>
        <v>-11198097</v>
      </c>
      <c r="H45" s="388">
        <f>H55</f>
        <v>0</v>
      </c>
      <c r="I45" s="388">
        <f>I55</f>
        <v>0</v>
      </c>
      <c r="J45" s="388">
        <f t="shared" si="14"/>
        <v>0</v>
      </c>
      <c r="K45" s="388">
        <f t="shared" si="14"/>
        <v>0</v>
      </c>
      <c r="L45" s="388">
        <f t="shared" si="14"/>
        <v>0</v>
      </c>
      <c r="M45" s="388">
        <f>M55</f>
        <v>0</v>
      </c>
      <c r="N45" s="388">
        <f t="shared" si="14"/>
        <v>0</v>
      </c>
      <c r="O45" s="388">
        <f t="shared" si="14"/>
        <v>0</v>
      </c>
      <c r="P45" s="388">
        <f t="shared" si="14"/>
        <v>0</v>
      </c>
      <c r="Q45" s="397"/>
      <c r="R45" s="389">
        <f>SUM(R40:R44)</f>
        <v>-34902292</v>
      </c>
    </row>
    <row r="46" spans="1:18" ht="13.5" thickTop="1">
      <c r="A46" s="274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398"/>
    </row>
    <row r="47" spans="1:18" outlineLevel="2">
      <c r="A47" s="274"/>
      <c r="E47" s="390"/>
      <c r="F47" s="390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398"/>
    </row>
    <row r="48" spans="1:18" outlineLevel="2">
      <c r="A48" s="274"/>
      <c r="B48" s="260" t="s">
        <v>27</v>
      </c>
      <c r="C48" s="260"/>
      <c r="E48" s="390"/>
      <c r="F48" s="390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398"/>
    </row>
    <row r="49" spans="1:18" outlineLevel="2">
      <c r="A49" s="274"/>
      <c r="B49" s="71">
        <v>447000</v>
      </c>
      <c r="D49" s="390">
        <f t="shared" ref="D49:D55" si="15">SUM(E49:P49)</f>
        <v>-19201428</v>
      </c>
      <c r="E49" s="158">
        <f>_xll.Get_Balance(E$83,"PTD","USD","Total","A","","001","447000","ED","AN","DL")</f>
        <v>-7609680</v>
      </c>
      <c r="F49" s="158">
        <f>_xll.Get_Balance(F$83,"PTD","USD","Total","A","","001","447000","ED","AN","DL")</f>
        <v>-5047431</v>
      </c>
      <c r="G49" s="158">
        <f>_xll.Get_Balance(G$83,"PTD","USD","Total","A","","001","447000","ED","AN","DL")</f>
        <v>-6544317</v>
      </c>
      <c r="H49" s="158">
        <f>_xll.Get_Balance(H$83,"PTD","USD","Total","A","","001","447000","ED","AN","DL")</f>
        <v>0</v>
      </c>
      <c r="I49" s="158">
        <f>_xll.Get_Balance(I$83,"PTD","USD","Total","A","","001","447000","ED","AN","DL")</f>
        <v>0</v>
      </c>
      <c r="J49" s="158">
        <f>_xll.Get_Balance(J$83,"PTD","USD","Total","A","","001","447000","ED","AN","DL")</f>
        <v>0</v>
      </c>
      <c r="K49" s="158">
        <f>_xll.Get_Balance(K$83,"PTD","USD","Total","A","","001","447000","ED","AN","DL")</f>
        <v>0</v>
      </c>
      <c r="L49" s="158">
        <f>_xll.Get_Balance(L$83,"PTD","USD","Total","A","","001","447000","ED","AN","DL")</f>
        <v>0</v>
      </c>
      <c r="M49" s="158">
        <f>_xll.Get_Balance(M$83,"PTD","USD","Total","A","","001","447000","ED","AN","DL")</f>
        <v>0</v>
      </c>
      <c r="N49" s="158">
        <f>_xll.Get_Balance(N$83,"PTD","USD","Total","A","","001","447000","ED","AN","DL")</f>
        <v>0</v>
      </c>
      <c r="O49" s="158">
        <f>_xll.Get_Balance(O$83,"PTD","USD","Total","A","","001","447000","ED","AN","DL")</f>
        <v>0</v>
      </c>
      <c r="P49" s="158">
        <f>_xll.Get_Balance(P$83,"PTD","USD","Total","A","","001","447000","ED","AN","DL")</f>
        <v>0</v>
      </c>
      <c r="Q49" s="399"/>
      <c r="R49" s="380">
        <f t="shared" ref="R49:R54" si="16">SUM(E49:P49)</f>
        <v>-19201428</v>
      </c>
    </row>
    <row r="50" spans="1:18" outlineLevel="2">
      <c r="A50" s="274"/>
      <c r="B50" s="71">
        <v>447100</v>
      </c>
      <c r="D50" s="390">
        <f t="shared" si="15"/>
        <v>-2491074</v>
      </c>
      <c r="E50" s="158">
        <f>_xll.Get_Balance(E$83,"PTD","USD","Total","A","","001","447100","ED","AN","DL")</f>
        <v>-1305898</v>
      </c>
      <c r="F50" s="158">
        <f>_xll.Get_Balance(F$83,"PTD","USD","Total","A","","001","447100","ED","AN","DL")</f>
        <v>-673570</v>
      </c>
      <c r="G50" s="158">
        <f>_xll.Get_Balance(G$83,"PTD","USD","Total","A","","001","447100","ED","AN","DL")</f>
        <v>-511606</v>
      </c>
      <c r="H50" s="158">
        <f>_xll.Get_Balance(H$83,"PTD","USD","Total","A","","001","447100","ED","AN","DL")</f>
        <v>0</v>
      </c>
      <c r="I50" s="158">
        <f>_xll.Get_Balance(I$83,"PTD","USD","Total","A","","001","447100","ED","AN","DL")</f>
        <v>0</v>
      </c>
      <c r="J50" s="158">
        <f>_xll.Get_Balance(J$83,"PTD","USD","Total","A","","001","447100","ED","AN","DL")</f>
        <v>0</v>
      </c>
      <c r="K50" s="158">
        <f>_xll.Get_Balance(K$83,"PTD","USD","Total","A","","001","447100","ED","AN","DL")</f>
        <v>0</v>
      </c>
      <c r="L50" s="158">
        <f>_xll.Get_Balance(L$83,"PTD","USD","Total","A","","001","447100","ED","AN","DL")</f>
        <v>0</v>
      </c>
      <c r="M50" s="158">
        <f>_xll.Get_Balance(M$83,"PTD","USD","Total","A","","001","447100","ED","AN","DL")</f>
        <v>0</v>
      </c>
      <c r="N50" s="158">
        <f>_xll.Get_Balance(N$83,"PTD","USD","Total","A","","001","447100","ED","AN","DL")</f>
        <v>0</v>
      </c>
      <c r="O50" s="158">
        <f>_xll.Get_Balance(O$83,"PTD","USD","Total","A","","001","447100","ED","AN","DL")</f>
        <v>0</v>
      </c>
      <c r="P50" s="158">
        <f>_xll.Get_Balance(P$83,"PTD","USD","Total","A","","001","447100","ED","AN","DL")</f>
        <v>0</v>
      </c>
      <c r="Q50" s="399"/>
      <c r="R50" s="380">
        <f t="shared" si="16"/>
        <v>-2491074</v>
      </c>
    </row>
    <row r="51" spans="1:18" outlineLevel="2">
      <c r="A51" s="274"/>
      <c r="B51" s="71">
        <v>447150</v>
      </c>
      <c r="D51" s="390">
        <f t="shared" si="15"/>
        <v>-4136313</v>
      </c>
      <c r="E51" s="158">
        <f>_xll.Get_Balance(E$83,"PTD","USD","Total","A","","001","447150","ED","AN","DL")</f>
        <v>-1555198</v>
      </c>
      <c r="F51" s="158">
        <f>_xll.Get_Balance(F$83,"PTD","USD","Total","A","","001","447150","ED","AN","DL")</f>
        <v>-1161880</v>
      </c>
      <c r="G51" s="158">
        <f>_xll.Get_Balance(G$83,"PTD","USD","Total","A","","001","447150","ED","AN","DL")</f>
        <v>-1419235</v>
      </c>
      <c r="H51" s="158">
        <f>_xll.Get_Balance(H$83,"PTD","USD","Total","A","","001","447150","ED","AN","DL")</f>
        <v>0</v>
      </c>
      <c r="I51" s="158">
        <f>_xll.Get_Balance(I$83,"PTD","USD","Total","A","","001","447150","ED","AN","DL")</f>
        <v>0</v>
      </c>
      <c r="J51" s="158">
        <f>_xll.Get_Balance(J$83,"PTD","USD","Total","A","","001","447150","ED","AN","DL")</f>
        <v>0</v>
      </c>
      <c r="K51" s="158">
        <f>_xll.Get_Balance(K$83,"PTD","USD","Total","A","","001","447150","ED","AN","DL")</f>
        <v>0</v>
      </c>
      <c r="L51" s="158">
        <f>_xll.Get_Balance(L$83,"PTD","USD","Total","A","","001","447150","ED","AN","DL")</f>
        <v>0</v>
      </c>
      <c r="M51" s="158">
        <f>_xll.Get_Balance(M$83,"PTD","USD","Total","A","","001","447150","ED","AN","DL")</f>
        <v>0</v>
      </c>
      <c r="N51" s="158">
        <f>_xll.Get_Balance(N$83,"PTD","USD","Total","A","","001","447150","ED","AN","DL")</f>
        <v>0</v>
      </c>
      <c r="O51" s="158">
        <f>_xll.Get_Balance(O$83,"PTD","USD","Total","A","","001","447150","ED","AN","DL")</f>
        <v>0</v>
      </c>
      <c r="P51" s="158">
        <f>_xll.Get_Balance(P$83,"PTD","USD","Total","A","","001","447150","ED","AN","DL")</f>
        <v>0</v>
      </c>
      <c r="Q51" s="399"/>
      <c r="R51" s="380">
        <f t="shared" si="16"/>
        <v>-4136313</v>
      </c>
    </row>
    <row r="52" spans="1:18" outlineLevel="2">
      <c r="A52" s="274"/>
      <c r="B52" s="71">
        <v>447700</v>
      </c>
      <c r="D52" s="390">
        <f t="shared" si="15"/>
        <v>-769122</v>
      </c>
      <c r="E52" s="158">
        <f>_xll.Get_Balance(E$83,"PTD","USD","Total","A","","001","447700","ED","AN","DL")</f>
        <v>-194760</v>
      </c>
      <c r="F52" s="158">
        <f>_xll.Get_Balance(F$83,"PTD","USD","Total","A","","001","447700","ED","AN","DL")</f>
        <v>-210830</v>
      </c>
      <c r="G52" s="158">
        <f>_xll.Get_Balance(G$83,"PTD","USD","Total","A","","001","447700","ED","AN","DL")</f>
        <v>-363532</v>
      </c>
      <c r="H52" s="158">
        <f>_xll.Get_Balance(H$83,"PTD","USD","Total","A","","001","447700","ED","AN","DL")</f>
        <v>0</v>
      </c>
      <c r="I52" s="158">
        <f>_xll.Get_Balance(I$83,"PTD","USD","Total","A","","001","447700","ED","AN","DL")</f>
        <v>0</v>
      </c>
      <c r="J52" s="158">
        <f>_xll.Get_Balance(J$83,"PTD","USD","Total","A","","001","447700","ED","AN","DL")</f>
        <v>0</v>
      </c>
      <c r="K52" s="158">
        <f>_xll.Get_Balance(K$83,"PTD","USD","Total","A","","001","447700","ED","AN","DL")</f>
        <v>0</v>
      </c>
      <c r="L52" s="158">
        <f>_xll.Get_Balance(L$83,"PTD","USD","Total","A","","001","447700","ED","AN","DL")</f>
        <v>0</v>
      </c>
      <c r="M52" s="158">
        <f>_xll.Get_Balance(M$83,"PTD","USD","Total","A","","001","447700","ED","AN","DL")</f>
        <v>0</v>
      </c>
      <c r="N52" s="158">
        <f>_xll.Get_Balance(N$83,"PTD","USD","Total","A","","001","447700","ED","AN","DL")</f>
        <v>0</v>
      </c>
      <c r="O52" s="158">
        <f>_xll.Get_Balance(O$83,"PTD","USD","Total","A","","001","447700","ED","AN","DL")</f>
        <v>0</v>
      </c>
      <c r="P52" s="158">
        <f>_xll.Get_Balance(P$83,"PTD","USD","Total","A","","001","447700","ED","AN","DL")</f>
        <v>0</v>
      </c>
      <c r="Q52" s="399"/>
      <c r="R52" s="380">
        <f t="shared" si="16"/>
        <v>-769122</v>
      </c>
    </row>
    <row r="53" spans="1:18" outlineLevel="2">
      <c r="A53" s="274"/>
      <c r="B53" s="71">
        <v>447710</v>
      </c>
      <c r="D53" s="390">
        <f t="shared" si="15"/>
        <v>-659247</v>
      </c>
      <c r="E53" s="158">
        <f>_xll.Get_Balance(E$83,"PTD","USD","Total","A","","001","447710","ED","AN","DL")</f>
        <v>-213305</v>
      </c>
      <c r="F53" s="158">
        <f>_xll.Get_Balance(F$83,"PTD","USD","Total","A","","001","447710","ED","AN","DL")</f>
        <v>-248240</v>
      </c>
      <c r="G53" s="158">
        <f>_xll.Get_Balance(G$83,"PTD","USD","Total","A","","001","447710","ED","AN","DL")</f>
        <v>-197702</v>
      </c>
      <c r="H53" s="158">
        <f>_xll.Get_Balance(H$83,"PTD","USD","Total","A","","001","447710","ED","AN","DL")</f>
        <v>0</v>
      </c>
      <c r="I53" s="158">
        <f>_xll.Get_Balance(I$83,"PTD","USD","Total","A","","001","447710","ED","AN","DL")</f>
        <v>0</v>
      </c>
      <c r="J53" s="158">
        <f>_xll.Get_Balance(J$83,"PTD","USD","Total","A","","001","447710","ED","AN","DL")</f>
        <v>0</v>
      </c>
      <c r="K53" s="158">
        <f>_xll.Get_Balance(K$83,"PTD","USD","Total","A","","001","447710","ED","AN","DL")</f>
        <v>0</v>
      </c>
      <c r="L53" s="158">
        <f>_xll.Get_Balance(L$83,"PTD","USD","Total","A","","001","447710","ED","AN","DL")</f>
        <v>0</v>
      </c>
      <c r="M53" s="158">
        <f>_xll.Get_Balance(M$83,"PTD","USD","Total","A","","001","447710","ED","AN","DL")</f>
        <v>0</v>
      </c>
      <c r="N53" s="158">
        <f>_xll.Get_Balance(N$83,"PTD","USD","Total","A","","001","447710","ED","AN","DL")</f>
        <v>0</v>
      </c>
      <c r="O53" s="158">
        <f>_xll.Get_Balance(O$83,"PTD","USD","Total","A","","001","447710","ED","AN","DL")</f>
        <v>0</v>
      </c>
      <c r="P53" s="158">
        <f>_xll.Get_Balance(P$83,"PTD","USD","Total","A","","001","447710","ED","AN","DL")</f>
        <v>0</v>
      </c>
      <c r="Q53" s="399"/>
      <c r="R53" s="380">
        <f t="shared" si="16"/>
        <v>-659247</v>
      </c>
    </row>
    <row r="54" spans="1:18" outlineLevel="2">
      <c r="A54" s="274"/>
      <c r="B54" s="71">
        <v>447720</v>
      </c>
      <c r="C54" s="52" t="s">
        <v>442</v>
      </c>
      <c r="D54" s="392">
        <f t="shared" si="15"/>
        <v>-7645108</v>
      </c>
      <c r="E54" s="181">
        <f>_xll.Get_Balance(E$83,"PTD","USD","Total","A","","001","447720","ED","AN","DL")</f>
        <v>-3148683</v>
      </c>
      <c r="F54" s="181">
        <f>_xll.Get_Balance(F$83,"PTD","USD","Total","A","","001","447720","ED","AN","DL")</f>
        <v>-2334720</v>
      </c>
      <c r="G54" s="181">
        <f>_xll.Get_Balance(G$83,"PTD","USD","Total","A","","001","447720","ED","AN","DL")</f>
        <v>-2161705</v>
      </c>
      <c r="H54" s="181">
        <f>_xll.Get_Balance(H$83,"PTD","USD","Total","A","","001","447720","ED","AN","DL")</f>
        <v>0</v>
      </c>
      <c r="I54" s="181">
        <f>_xll.Get_Balance(I$83,"PTD","USD","Total","A","","001","447720","ED","AN","DL")</f>
        <v>0</v>
      </c>
      <c r="J54" s="181">
        <f>_xll.Get_Balance(J$83,"PTD","USD","Total","A","","001","447720","ED","AN","DL")</f>
        <v>0</v>
      </c>
      <c r="K54" s="181">
        <f>_xll.Get_Balance(K$83,"PTD","USD","Total","A","","001","447720","ED","AN","DL")</f>
        <v>0</v>
      </c>
      <c r="L54" s="181">
        <f>_xll.Get_Balance(L$83,"PTD","USD","Total","A","","001","447720","ED","AN","DL")</f>
        <v>0</v>
      </c>
      <c r="M54" s="181">
        <f>_xll.Get_Balance(M$83,"PTD","USD","Total","A","","001","447720","ED","AN","DL")</f>
        <v>0</v>
      </c>
      <c r="N54" s="181">
        <f>_xll.Get_Balance(N$83,"PTD","USD","Total","A","","001","447720","ED","AN","DL")</f>
        <v>0</v>
      </c>
      <c r="O54" s="181">
        <f>_xll.Get_Balance(O$83,"PTD","USD","Total","A","","001","447720","ED","AN","DL")</f>
        <v>0</v>
      </c>
      <c r="P54" s="181">
        <f>_xll.Get_Balance(P$83,"PTD","USD","Total","A","","001","447720","ED","AN","DL")</f>
        <v>0</v>
      </c>
      <c r="Q54" s="399"/>
      <c r="R54" s="400">
        <f t="shared" si="16"/>
        <v>-7645108</v>
      </c>
    </row>
    <row r="55" spans="1:18" s="185" customFormat="1" outlineLevel="2">
      <c r="A55" s="394"/>
      <c r="D55" s="203">
        <f t="shared" si="15"/>
        <v>-34902292</v>
      </c>
      <c r="E55" s="182">
        <f t="shared" ref="E55:P55" si="17">SUM(E49:E54)</f>
        <v>-14027524</v>
      </c>
      <c r="F55" s="182">
        <f t="shared" si="17"/>
        <v>-9676671</v>
      </c>
      <c r="G55" s="182">
        <f t="shared" si="17"/>
        <v>-11198097</v>
      </c>
      <c r="H55" s="182">
        <f t="shared" si="17"/>
        <v>0</v>
      </c>
      <c r="I55" s="182">
        <f t="shared" si="17"/>
        <v>0</v>
      </c>
      <c r="J55" s="182">
        <f t="shared" si="17"/>
        <v>0</v>
      </c>
      <c r="K55" s="182">
        <f t="shared" si="17"/>
        <v>0</v>
      </c>
      <c r="L55" s="182">
        <f t="shared" si="17"/>
        <v>0</v>
      </c>
      <c r="M55" s="182">
        <f>SUM(M49:M54)</f>
        <v>0</v>
      </c>
      <c r="N55" s="182">
        <f t="shared" si="17"/>
        <v>0</v>
      </c>
      <c r="O55" s="182">
        <f t="shared" si="17"/>
        <v>0</v>
      </c>
      <c r="P55" s="182">
        <f t="shared" si="17"/>
        <v>0</v>
      </c>
      <c r="Q55" s="401"/>
      <c r="R55" s="203">
        <f>SUM(R49:R54)</f>
        <v>-34902292</v>
      </c>
    </row>
    <row r="56" spans="1:18" outlineLevel="2">
      <c r="A56" s="274"/>
      <c r="E56" s="390"/>
      <c r="F56" s="390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399"/>
      <c r="R56" s="390"/>
    </row>
    <row r="57" spans="1:18">
      <c r="A57" s="274"/>
      <c r="B57" s="258" t="s">
        <v>21</v>
      </c>
      <c r="C57" s="258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399"/>
      <c r="R57" s="390"/>
    </row>
    <row r="58" spans="1:18">
      <c r="A58" s="274">
        <f>A45+1</f>
        <v>24</v>
      </c>
      <c r="B58" s="52" t="s">
        <v>247</v>
      </c>
      <c r="C58" s="52"/>
      <c r="D58" s="390">
        <f>SUM(E58:P58)</f>
        <v>1860760</v>
      </c>
      <c r="E58" s="158">
        <f>_xll.Get_Balance(E$83,"PTD","USD","Total","A","","001","501110","ED","AN","DL")</f>
        <v>626601</v>
      </c>
      <c r="F58" s="158">
        <f>_xll.Get_Balance(F$83,"PTD","USD","Total","A","","001","501110","ED","AN","DL")</f>
        <v>554862</v>
      </c>
      <c r="G58" s="158">
        <f>_xll.Get_Balance(G$83,"PTD","USD","Total","A","","001","501110","ED","AN","DL")</f>
        <v>679297</v>
      </c>
      <c r="H58" s="158">
        <f>_xll.Get_Balance(H$83,"PTD","USD","Total","A","","001","501110","ED","AN","DL")</f>
        <v>0</v>
      </c>
      <c r="I58" s="158">
        <f>_xll.Get_Balance(I$83,"PTD","USD","Total","A","","001","501110","ED","AN","DL")</f>
        <v>0</v>
      </c>
      <c r="J58" s="158">
        <f>_xll.Get_Balance(J$83,"PTD","USD","Total","A","","001","501110","ED","AN","DL")</f>
        <v>0</v>
      </c>
      <c r="K58" s="158">
        <f>_xll.Get_Balance(K$83,"PTD","USD","Total","A","","001","501110","ED","AN","DL")</f>
        <v>0</v>
      </c>
      <c r="L58" s="158">
        <f>_xll.Get_Balance(L$83,"PTD","USD","Total","A","","001","501110","ED","AN","DL")</f>
        <v>0</v>
      </c>
      <c r="M58" s="158">
        <f>_xll.Get_Balance(M$83,"PTD","USD","Total","A","","001","501110","ED","AN","DL")</f>
        <v>0</v>
      </c>
      <c r="N58" s="158">
        <f>_xll.Get_Balance(N$83,"PTD","USD","Total","A","","001","501110","ED","AN","DL")</f>
        <v>0</v>
      </c>
      <c r="O58" s="158">
        <f>_xll.Get_Balance(O$83,"PTD","USD","Total","A","","001","501110","ED","AN","DL")</f>
        <v>0</v>
      </c>
      <c r="P58" s="158">
        <f>_xll.Get_Balance(P$83,"PTD","USD","Total","A","","001","501110","ED","AN","DL")</f>
        <v>0</v>
      </c>
      <c r="Q58" s="402"/>
      <c r="R58" s="204">
        <f>SUM(E58:P58)</f>
        <v>1860760</v>
      </c>
    </row>
    <row r="59" spans="1:18">
      <c r="A59" s="274">
        <f>+A58+1</f>
        <v>25</v>
      </c>
      <c r="B59" s="52" t="s">
        <v>246</v>
      </c>
      <c r="C59" s="52"/>
      <c r="D59" s="390">
        <f>SUM(E59:P59)</f>
        <v>163</v>
      </c>
      <c r="E59" s="158">
        <f>_xll.Get_Balance(E$83,"PTD","USD","Total","A","","001","501120","ED","AN","DL")</f>
        <v>93</v>
      </c>
      <c r="F59" s="158">
        <f>_xll.Get_Balance(F$83,"PTD","USD","Total","A","","001","501120","ED","AN","DL")</f>
        <v>929</v>
      </c>
      <c r="G59" s="158">
        <f>_xll.Get_Balance(G$83,"PTD","USD","Total","A","","001","501120","ED","AN","DL")</f>
        <v>-859</v>
      </c>
      <c r="H59" s="158">
        <f>_xll.Get_Balance(H$83,"PTD","USD","Total","A","","001","501120","ED","AN","DL")</f>
        <v>0</v>
      </c>
      <c r="I59" s="158">
        <f>_xll.Get_Balance(I$83,"PTD","USD","Total","A","","001","501120","ED","AN","DL")</f>
        <v>0</v>
      </c>
      <c r="J59" s="158">
        <f>_xll.Get_Balance(J$83,"PTD","USD","Total","A","","001","501120","ED","AN","DL")</f>
        <v>0</v>
      </c>
      <c r="K59" s="158">
        <f>_xll.Get_Balance(K$83,"PTD","USD","Total","A","","001","501120","ED","AN","DL")</f>
        <v>0</v>
      </c>
      <c r="L59" s="158">
        <f>_xll.Get_Balance(L$83,"PTD","USD","Total","A","","001","501120","ED","AN","DL")</f>
        <v>0</v>
      </c>
      <c r="M59" s="158">
        <f>_xll.Get_Balance(M$83,"PTD","USD","Total","A","","001","501120","ED","AN","DL")</f>
        <v>0</v>
      </c>
      <c r="N59" s="158">
        <f>_xll.Get_Balance(N$83,"PTD","USD","Total","A","","001","501120","ED","AN","DL")</f>
        <v>0</v>
      </c>
      <c r="O59" s="158">
        <f>_xll.Get_Balance(O$83,"PTD","USD","Total","A","","001","501120","ED","AN","DL")</f>
        <v>0</v>
      </c>
      <c r="P59" s="158">
        <f>_xll.Get_Balance(P$83,"PTD","USD","Total","A","","001","501120","ED","AN","DL")</f>
        <v>0</v>
      </c>
      <c r="Q59" s="402"/>
      <c r="R59" s="204">
        <f>SUM(E59:P59)</f>
        <v>163</v>
      </c>
    </row>
    <row r="60" spans="1:18">
      <c r="A60" s="274">
        <f>+A59+1</f>
        <v>26</v>
      </c>
      <c r="B60" s="73" t="s">
        <v>168</v>
      </c>
      <c r="C60" s="73"/>
      <c r="D60" s="390">
        <f>SUM(E60:P60)</f>
        <v>5209927</v>
      </c>
      <c r="E60" s="158">
        <f>_xll.Get_Balance(E$83,"PTD","USD","Total","A","","001","501140","ED","AN","DL")</f>
        <v>2183195</v>
      </c>
      <c r="F60" s="158">
        <f>_xll.Get_Balance(F$83,"PTD","USD","Total","A","","001","501140","ED","AN","DL")</f>
        <v>895901</v>
      </c>
      <c r="G60" s="158">
        <f>_xll.Get_Balance(G$83,"PTD","USD","Total","A","","001","501140","ED","AN","DL")</f>
        <v>2130831</v>
      </c>
      <c r="H60" s="158">
        <f>_xll.Get_Balance(H$83,"PTD","USD","Total","A","","001","501140","ED","AN","DL")</f>
        <v>0</v>
      </c>
      <c r="I60" s="158">
        <f>_xll.Get_Balance(I$83,"PTD","USD","Total","A","","001","501140","ED","AN","DL")</f>
        <v>0</v>
      </c>
      <c r="J60" s="158">
        <f>_xll.Get_Balance(J$83,"PTD","USD","Total","A","","001","501140","ED","AN","DL")</f>
        <v>0</v>
      </c>
      <c r="K60" s="158">
        <f>_xll.Get_Balance(K$83,"PTD","USD","Total","A","","001","501140","ED","AN","DL")</f>
        <v>0</v>
      </c>
      <c r="L60" s="158">
        <f>_xll.Get_Balance(L$83,"PTD","USD","Total","A","","001","501140","ED","AN","DL")</f>
        <v>0</v>
      </c>
      <c r="M60" s="158">
        <f>_xll.Get_Balance(M$83,"PTD","USD","Total","A","","001","501140","ED","AN","DL")</f>
        <v>0</v>
      </c>
      <c r="N60" s="158">
        <f>_xll.Get_Balance(N$83,"PTD","USD","Total","A","","001","501140","ED","AN","DL")</f>
        <v>0</v>
      </c>
      <c r="O60" s="158">
        <f>_xll.Get_Balance(O$83,"PTD","USD","Total","A","","001","501140","ED","AN","DL")</f>
        <v>0</v>
      </c>
      <c r="P60" s="158">
        <f>_xll.Get_Balance(P$83,"PTD","USD","Total","A","","001","501140","ED","AN","DL")</f>
        <v>0</v>
      </c>
      <c r="Q60" s="402"/>
      <c r="R60" s="403">
        <f>SUM(E60:P60)</f>
        <v>5209927</v>
      </c>
    </row>
    <row r="61" spans="1:18">
      <c r="A61" s="274">
        <f>+A60+1</f>
        <v>27</v>
      </c>
      <c r="B61" s="73" t="s">
        <v>167</v>
      </c>
      <c r="C61" s="73"/>
      <c r="D61" s="390">
        <f>SUM(E61:P61)</f>
        <v>0</v>
      </c>
      <c r="E61" s="158">
        <f>_xll.Get_Balance(E$83,"PTD","USD","Total","A","","001","501160","ED","AN","DL")</f>
        <v>0</v>
      </c>
      <c r="F61" s="158">
        <f>_xll.Get_Balance(F$83,"PTD","USD","Total","A","","001","501160","ED","AN","DL")</f>
        <v>0</v>
      </c>
      <c r="G61" s="158">
        <f>_xll.Get_Balance(G$83,"PTD","USD","Total","A","","001","501160","ED","AN","DL")</f>
        <v>0</v>
      </c>
      <c r="H61" s="158">
        <f>_xll.Get_Balance(H$83,"PTD","USD","Total","A","","001","501160","ED","AN","DL")</f>
        <v>0</v>
      </c>
      <c r="I61" s="158">
        <f>_xll.Get_Balance(I$83,"PTD","USD","Total","A","","001","501160","ED","AN","DL")</f>
        <v>0</v>
      </c>
      <c r="J61" s="158">
        <f>_xll.Get_Balance(J$83,"PTD","USD","Total","A","","001","501160","ED","AN","DL")</f>
        <v>0</v>
      </c>
      <c r="K61" s="158">
        <f>_xll.Get_Balance(K$83,"PTD","USD","Total","A","","001","501160","ED","AN","DL")</f>
        <v>0</v>
      </c>
      <c r="L61" s="158">
        <f>_xll.Get_Balance(L$83,"PTD","USD","Total","A","","001","501160","ED","AN","DL")</f>
        <v>0</v>
      </c>
      <c r="M61" s="158">
        <f>_xll.Get_Balance(M$83,"PTD","USD","Total","A","","001","501160","ED","AN","DL")</f>
        <v>0</v>
      </c>
      <c r="N61" s="158">
        <f>_xll.Get_Balance(N$83,"PTD","USD","Total","A","","001","501160","ED","AN","DL")</f>
        <v>0</v>
      </c>
      <c r="O61" s="158">
        <f>_xll.Get_Balance(O$83,"PTD","USD","Total","A","","001","501160","ED","AN","DL")</f>
        <v>0</v>
      </c>
      <c r="P61" s="158">
        <f>_xll.Get_Balance(P$83,"PTD","USD","Total","A","","001","501160","ED","AN","DL")</f>
        <v>0</v>
      </c>
      <c r="Q61" s="402"/>
      <c r="R61" s="403">
        <f>SUM(E61:P61)</f>
        <v>0</v>
      </c>
    </row>
    <row r="62" spans="1:18" s="185" customFormat="1" ht="27.75" customHeight="1" thickBot="1">
      <c r="A62" s="387">
        <f>+A61+1</f>
        <v>28</v>
      </c>
      <c r="B62" s="259" t="s">
        <v>232</v>
      </c>
      <c r="C62" s="259"/>
      <c r="D62" s="202">
        <f>SUM(E62:P62)</f>
        <v>7070850</v>
      </c>
      <c r="E62" s="172">
        <f>SUM(E58:E61)</f>
        <v>2809889</v>
      </c>
      <c r="F62" s="172">
        <f t="shared" ref="F62:P62" si="18">SUM(F58:F61)</f>
        <v>1451692</v>
      </c>
      <c r="G62" s="172">
        <f t="shared" si="18"/>
        <v>2809269</v>
      </c>
      <c r="H62" s="172">
        <f t="shared" si="18"/>
        <v>0</v>
      </c>
      <c r="I62" s="172">
        <f t="shared" si="18"/>
        <v>0</v>
      </c>
      <c r="J62" s="172">
        <f t="shared" si="18"/>
        <v>0</v>
      </c>
      <c r="K62" s="172">
        <f t="shared" si="18"/>
        <v>0</v>
      </c>
      <c r="L62" s="172">
        <f t="shared" si="18"/>
        <v>0</v>
      </c>
      <c r="M62" s="172">
        <f t="shared" si="18"/>
        <v>0</v>
      </c>
      <c r="N62" s="172">
        <f t="shared" si="18"/>
        <v>0</v>
      </c>
      <c r="O62" s="172">
        <f t="shared" si="18"/>
        <v>0</v>
      </c>
      <c r="P62" s="172">
        <f t="shared" si="18"/>
        <v>0</v>
      </c>
      <c r="Q62" s="404"/>
      <c r="R62" s="389">
        <f>SUM(E62:P62)</f>
        <v>7070850</v>
      </c>
    </row>
    <row r="63" spans="1:18" ht="8.25" customHeight="1" thickTop="1">
      <c r="A63" s="274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398"/>
    </row>
    <row r="64" spans="1:18" ht="18.75" customHeight="1">
      <c r="A64" s="274"/>
      <c r="B64" s="258" t="s">
        <v>29</v>
      </c>
      <c r="C64" s="258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398"/>
    </row>
    <row r="65" spans="1:18">
      <c r="A65" s="274">
        <f>A62+1</f>
        <v>29</v>
      </c>
      <c r="B65" s="71" t="s">
        <v>22</v>
      </c>
      <c r="C65" s="52" t="s">
        <v>284</v>
      </c>
      <c r="D65" s="358">
        <f>SUM(E65:P65)</f>
        <v>160672</v>
      </c>
      <c r="E65" s="405">
        <f>'Input Tab'!C49</f>
        <v>53359</v>
      </c>
      <c r="F65" s="405">
        <f>'Input Tab'!D49</f>
        <v>48502</v>
      </c>
      <c r="G65" s="405">
        <f>'Input Tab'!E49</f>
        <v>58811</v>
      </c>
      <c r="H65" s="405">
        <f>'Input Tab'!F49</f>
        <v>0</v>
      </c>
      <c r="I65" s="405">
        <f>'Input Tab'!G49</f>
        <v>0</v>
      </c>
      <c r="J65" s="405">
        <f>'Input Tab'!H49</f>
        <v>0</v>
      </c>
      <c r="K65" s="405">
        <f>'Input Tab'!I49</f>
        <v>0</v>
      </c>
      <c r="L65" s="405">
        <f>'Input Tab'!J49</f>
        <v>0</v>
      </c>
      <c r="M65" s="405">
        <f>'Input Tab'!K49</f>
        <v>0</v>
      </c>
      <c r="N65" s="405">
        <f>'Input Tab'!L49</f>
        <v>0</v>
      </c>
      <c r="O65" s="405">
        <f>'Input Tab'!M49</f>
        <v>0</v>
      </c>
      <c r="P65" s="405">
        <f>'Input Tab'!N49</f>
        <v>0</v>
      </c>
      <c r="Q65" s="398"/>
      <c r="R65" s="63">
        <f>SUM(E65:P65)</f>
        <v>160672</v>
      </c>
    </row>
    <row r="66" spans="1:18">
      <c r="A66" s="274">
        <f>A65+1</f>
        <v>30</v>
      </c>
      <c r="B66" s="71" t="s">
        <v>31</v>
      </c>
      <c r="C66" s="52" t="s">
        <v>283</v>
      </c>
      <c r="D66" s="358">
        <f>SUM(E66:P66)</f>
        <v>269371</v>
      </c>
      <c r="E66" s="405">
        <f>'Input Tab'!C50</f>
        <v>99606</v>
      </c>
      <c r="F66" s="405">
        <f>'Input Tab'!D50</f>
        <v>73063</v>
      </c>
      <c r="G66" s="405">
        <f>'Input Tab'!E50</f>
        <v>96702</v>
      </c>
      <c r="H66" s="405">
        <f>'Input Tab'!F50</f>
        <v>0</v>
      </c>
      <c r="I66" s="405">
        <f>'Input Tab'!G50</f>
        <v>0</v>
      </c>
      <c r="J66" s="405">
        <f>'Input Tab'!H50</f>
        <v>0</v>
      </c>
      <c r="K66" s="405">
        <f>'Input Tab'!I50</f>
        <v>0</v>
      </c>
      <c r="L66" s="405">
        <f>'Input Tab'!J50</f>
        <v>0</v>
      </c>
      <c r="M66" s="405">
        <f>'Input Tab'!K50</f>
        <v>0</v>
      </c>
      <c r="N66" s="405">
        <f>'Input Tab'!L50</f>
        <v>0</v>
      </c>
      <c r="O66" s="405">
        <f>'Input Tab'!M50</f>
        <v>0</v>
      </c>
      <c r="P66" s="405">
        <f>'Input Tab'!N50</f>
        <v>0</v>
      </c>
      <c r="Q66" s="398"/>
      <c r="R66" s="63">
        <f>SUM(E66:P66)</f>
        <v>269371</v>
      </c>
    </row>
    <row r="67" spans="1:18" ht="9" customHeight="1">
      <c r="A67" s="274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398"/>
    </row>
    <row r="68" spans="1:18" ht="21" customHeight="1">
      <c r="A68" s="274"/>
      <c r="B68" s="258" t="s">
        <v>32</v>
      </c>
      <c r="C68" s="258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398"/>
    </row>
    <row r="69" spans="1:18">
      <c r="A69" s="274">
        <f>A66+1</f>
        <v>31</v>
      </c>
      <c r="B69" s="71" t="s">
        <v>22</v>
      </c>
      <c r="D69" s="406" t="s">
        <v>23</v>
      </c>
      <c r="E69" s="407">
        <f>IF(E65=0," ",E58/E65)</f>
        <v>11.74</v>
      </c>
      <c r="F69" s="407">
        <f>IF(F65=0," ",F58/F65)</f>
        <v>11.44</v>
      </c>
      <c r="G69" s="407">
        <f>IF(G65=0," ",G58/G65)</f>
        <v>11.55</v>
      </c>
      <c r="H69" s="407" t="str">
        <f t="shared" ref="H69:P69" si="19">IF(H65=0," ",H58/H65)</f>
        <v xml:space="preserve"> </v>
      </c>
      <c r="I69" s="407" t="str">
        <f>IF(I65=0," ",I58/I65)</f>
        <v xml:space="preserve"> </v>
      </c>
      <c r="J69" s="407" t="str">
        <f t="shared" si="19"/>
        <v xml:space="preserve"> </v>
      </c>
      <c r="K69" s="407" t="str">
        <f>IF(K65=0," ",K58/K65)</f>
        <v xml:space="preserve"> </v>
      </c>
      <c r="L69" s="407" t="str">
        <f t="shared" si="19"/>
        <v xml:space="preserve"> </v>
      </c>
      <c r="M69" s="407" t="str">
        <f t="shared" si="19"/>
        <v xml:space="preserve"> </v>
      </c>
      <c r="N69" s="407" t="str">
        <f t="shared" si="19"/>
        <v xml:space="preserve"> </v>
      </c>
      <c r="O69" s="407" t="str">
        <f t="shared" si="19"/>
        <v xml:space="preserve"> </v>
      </c>
      <c r="P69" s="407" t="str">
        <f t="shared" si="19"/>
        <v xml:space="preserve"> </v>
      </c>
      <c r="Q69" s="408"/>
      <c r="R69" s="409">
        <f>R58/R65</f>
        <v>11.58</v>
      </c>
    </row>
    <row r="70" spans="1:18">
      <c r="A70" s="274">
        <f>A69+1</f>
        <v>32</v>
      </c>
      <c r="B70" s="71" t="s">
        <v>25</v>
      </c>
      <c r="D70" s="274" t="s">
        <v>24</v>
      </c>
      <c r="E70" s="407">
        <f>IF(E66=0," ",E60/E66)</f>
        <v>21.92</v>
      </c>
      <c r="F70" s="407">
        <f>IF(F66=0," ",F60/F66)</f>
        <v>12.26</v>
      </c>
      <c r="G70" s="407">
        <f t="shared" ref="G70:P70" si="20">IF(G66=0," ",G60/G66)</f>
        <v>22.04</v>
      </c>
      <c r="H70" s="407" t="str">
        <f t="shared" si="20"/>
        <v xml:space="preserve"> </v>
      </c>
      <c r="I70" s="407" t="str">
        <f>IF(I66=0," ",I60/I66)</f>
        <v xml:space="preserve"> </v>
      </c>
      <c r="J70" s="407" t="str">
        <f t="shared" si="20"/>
        <v xml:space="preserve"> </v>
      </c>
      <c r="K70" s="407" t="str">
        <f t="shared" si="20"/>
        <v xml:space="preserve"> </v>
      </c>
      <c r="L70" s="407" t="str">
        <f t="shared" si="20"/>
        <v xml:space="preserve"> </v>
      </c>
      <c r="M70" s="407" t="str">
        <f t="shared" si="20"/>
        <v xml:space="preserve"> </v>
      </c>
      <c r="N70" s="407" t="str">
        <f t="shared" si="20"/>
        <v xml:space="preserve"> </v>
      </c>
      <c r="O70" s="407" t="str">
        <f t="shared" si="20"/>
        <v xml:space="preserve"> </v>
      </c>
      <c r="P70" s="407" t="str">
        <f t="shared" si="20"/>
        <v xml:space="preserve"> </v>
      </c>
      <c r="Q70" s="408"/>
      <c r="R70" s="409">
        <f>R60/R66</f>
        <v>19.34</v>
      </c>
    </row>
    <row r="71" spans="1:18">
      <c r="A71" s="274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398"/>
    </row>
    <row r="72" spans="1:18">
      <c r="A72" s="274"/>
      <c r="B72" s="258" t="s">
        <v>26</v>
      </c>
      <c r="C72" s="258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398"/>
    </row>
    <row r="73" spans="1:18">
      <c r="A73" s="274">
        <f>A70+1</f>
        <v>33</v>
      </c>
      <c r="B73" s="71" t="s">
        <v>187</v>
      </c>
      <c r="D73" s="390">
        <f t="shared" ref="D73:D79" si="21">SUM(E73:P73)</f>
        <v>15710</v>
      </c>
      <c r="E73" s="158">
        <f>_xll.Get_Balance(E$83,"PTD","USD","Total","A","","001","547213","ED","AN","DL")</f>
        <v>2244</v>
      </c>
      <c r="F73" s="158">
        <f>_xll.Get_Balance(F$83,"PTD","USD","Total","A","","001","547213","ED","AN","DL")</f>
        <v>11535</v>
      </c>
      <c r="G73" s="158">
        <f>_xll.Get_Balance(G$83,"PTD","USD","Total","A","","001","547213","ED","AN","DL")</f>
        <v>1931</v>
      </c>
      <c r="H73" s="158">
        <f>_xll.Get_Balance(H$83,"PTD","USD","Total","A","","001","547213","ED","AN","DL")</f>
        <v>0</v>
      </c>
      <c r="I73" s="158">
        <f>_xll.Get_Balance(I$83,"PTD","USD","Total","A","","001","547213","ED","AN","DL")</f>
        <v>0</v>
      </c>
      <c r="J73" s="158">
        <f>_xll.Get_Balance(J$83,"PTD","USD","Total","A","","001","547213","ED","AN","DL")</f>
        <v>0</v>
      </c>
      <c r="K73" s="158">
        <f>_xll.Get_Balance(K$83,"PTD","USD","Total","A","","001","547213","ED","AN","DL")</f>
        <v>0</v>
      </c>
      <c r="L73" s="158">
        <f>_xll.Get_Balance(L$83,"PTD","USD","Total","A","","001","547213","ED","AN","DL")</f>
        <v>0</v>
      </c>
      <c r="M73" s="158">
        <f>_xll.Get_Balance(M$83,"PTD","USD","Total","A","","001","547213","ED","AN","DL")</f>
        <v>0</v>
      </c>
      <c r="N73" s="158">
        <f>_xll.Get_Balance(N$83,"PTD","USD","Total","A","","001","547213","ED","AN","DL")</f>
        <v>0</v>
      </c>
      <c r="O73" s="158">
        <f>_xll.Get_Balance(O$83,"PTD","USD","Total","A","","001","547213","ED","AN","DL")</f>
        <v>0</v>
      </c>
      <c r="P73" s="158">
        <f>_xll.Get_Balance(P$83,"PTD","USD","Total","A","","001","547213","ED","AN","DL")</f>
        <v>0</v>
      </c>
      <c r="Q73" s="410"/>
      <c r="R73" s="411">
        <f t="shared" ref="R73:R78" si="22">SUM(E73:P73)</f>
        <v>15710</v>
      </c>
    </row>
    <row r="74" spans="1:18">
      <c r="A74" s="274">
        <f t="shared" ref="A74:A79" si="23">A73+1</f>
        <v>34</v>
      </c>
      <c r="B74" s="71" t="s">
        <v>180</v>
      </c>
      <c r="D74" s="390">
        <f t="shared" si="21"/>
        <v>56528</v>
      </c>
      <c r="E74" s="158">
        <f>_xll.Get_Balance(E$83,"PTD","USD","Total","A","","001","547216","ED","AN","DL")</f>
        <v>9587</v>
      </c>
      <c r="F74" s="158">
        <f>_xll.Get_Balance(F$83,"PTD","USD","Total","A","","001","547216","ED","AN","DL")</f>
        <v>32574</v>
      </c>
      <c r="G74" s="158">
        <f>_xll.Get_Balance(G$83,"PTD","USD","Total","A","","001","547216","ED","AN","DL")</f>
        <v>14367</v>
      </c>
      <c r="H74" s="158">
        <f>_xll.Get_Balance(H$83,"PTD","USD","Total","A","","001","547216","ED","AN","DL")</f>
        <v>0</v>
      </c>
      <c r="I74" s="158">
        <f>_xll.Get_Balance(I$83,"PTD","USD","Total","A","","001","547216","ED","AN","DL")</f>
        <v>0</v>
      </c>
      <c r="J74" s="158">
        <f>_xll.Get_Balance(J$83,"PTD","USD","Total","A","","001","547216","ED","AN","DL")</f>
        <v>0</v>
      </c>
      <c r="K74" s="158">
        <f>_xll.Get_Balance(K$83,"PTD","USD","Total","A","","001","547216","ED","AN","DL")</f>
        <v>0</v>
      </c>
      <c r="L74" s="158">
        <f>_xll.Get_Balance(L$83,"PTD","USD","Total","A","","001","547216","ED","AN","DL")</f>
        <v>0</v>
      </c>
      <c r="M74" s="158">
        <f>_xll.Get_Balance(M$83,"PTD","USD","Total","A","","001","547216","ED","AN","DL")</f>
        <v>0</v>
      </c>
      <c r="N74" s="158">
        <f>_xll.Get_Balance(N$83,"PTD","USD","Total","A","","001","547216","ED","AN","DL")</f>
        <v>0</v>
      </c>
      <c r="O74" s="158">
        <f>_xll.Get_Balance(O$83,"PTD","USD","Total","A","","001","547216","ED","AN","DL")</f>
        <v>0</v>
      </c>
      <c r="P74" s="158">
        <f>_xll.Get_Balance(P$83,"PTD","USD","Total","A","","001","547216","ED","AN","DL")</f>
        <v>0</v>
      </c>
      <c r="Q74" s="410"/>
      <c r="R74" s="411">
        <f t="shared" si="22"/>
        <v>56528</v>
      </c>
    </row>
    <row r="75" spans="1:18">
      <c r="A75" s="274">
        <f t="shared" si="23"/>
        <v>35</v>
      </c>
      <c r="B75" s="71" t="s">
        <v>179</v>
      </c>
      <c r="D75" s="390">
        <f t="shared" si="21"/>
        <v>6222</v>
      </c>
      <c r="E75" s="158">
        <f>_xll.Get_Balance(E83,"PTD","USD","Total","A","","001","547211","ED","AN","DL")</f>
        <v>5</v>
      </c>
      <c r="F75" s="158">
        <f>_xll.Get_Balance(F83,"PTD","USD","Total","A","","001","547211","ED","AN","DL")</f>
        <v>4249</v>
      </c>
      <c r="G75" s="158">
        <f>_xll.Get_Balance(G83,"PTD","USD","Total","A","","001","547211","ED","AN","DL")</f>
        <v>1968</v>
      </c>
      <c r="H75" s="158">
        <f>_xll.Get_Balance(H83,"PTD","USD","Total","A","","001","547211","ED","AN","DL")</f>
        <v>0</v>
      </c>
      <c r="I75" s="158">
        <f>_xll.Get_Balance(I83,"PTD","USD","Total","A","","001","547211","ED","AN","DL")</f>
        <v>0</v>
      </c>
      <c r="J75" s="158">
        <f>_xll.Get_Balance(J83,"PTD","USD","Total","A","","001","547211","ED","AN","DL")</f>
        <v>0</v>
      </c>
      <c r="K75" s="158">
        <f>_xll.Get_Balance(K83,"PTD","USD","Total","A","","001","547211","ED","AN","DL")</f>
        <v>0</v>
      </c>
      <c r="L75" s="158">
        <f>_xll.Get_Balance(L83,"PTD","USD","Total","A","","001","547211","ED","AN","DL")</f>
        <v>0</v>
      </c>
      <c r="M75" s="158">
        <f>_xll.Get_Balance(M83,"PTD","USD","Total","A","","001","547211","ED","AN","DL")</f>
        <v>0</v>
      </c>
      <c r="N75" s="158">
        <f>_xll.Get_Balance(N83,"PTD","USD","Total","A","","001","547211","ED","AN","DL")</f>
        <v>0</v>
      </c>
      <c r="O75" s="158">
        <f>_xll.Get_Balance(O83,"PTD","USD","Total","A","","001","547211","ED","AN","DL")</f>
        <v>0</v>
      </c>
      <c r="P75" s="158">
        <f>_xll.Get_Balance(P83,"PTD","USD","Total","A","","001","547211","ED","AN","DL")</f>
        <v>0</v>
      </c>
      <c r="Q75" s="410"/>
      <c r="R75" s="411">
        <f t="shared" si="22"/>
        <v>6222</v>
      </c>
    </row>
    <row r="76" spans="1:18">
      <c r="A76" s="274">
        <f t="shared" si="23"/>
        <v>36</v>
      </c>
      <c r="B76" s="71" t="s">
        <v>181</v>
      </c>
      <c r="D76" s="390">
        <f t="shared" si="21"/>
        <v>9372255</v>
      </c>
      <c r="E76" s="158">
        <f>_xll.Get_Balance(E$83,"PTD","USD","Total","A","","001","547610","ED","AN","DL")</f>
        <v>3721117</v>
      </c>
      <c r="F76" s="158">
        <f>_xll.Get_Balance(F$83,"PTD","USD","Total","A","","001","547610","ED","AN","DL")</f>
        <v>2449832</v>
      </c>
      <c r="G76" s="158">
        <f>_xll.Get_Balance(G$83,"PTD","USD","Total","A","","001","547610","ED","AN","DL")</f>
        <v>3201306</v>
      </c>
      <c r="H76" s="158">
        <f>_xll.Get_Balance(H$83,"PTD","USD","Total","A","","001","547610","ED","AN","DL")</f>
        <v>0</v>
      </c>
      <c r="I76" s="158">
        <f>_xll.Get_Balance(I$83,"PTD","USD","Total","A","","001","547610","ED","AN","DL")</f>
        <v>0</v>
      </c>
      <c r="J76" s="158">
        <f>_xll.Get_Balance(J$83,"PTD","USD","Total","A","","001","547610","ED","AN","DL")</f>
        <v>0</v>
      </c>
      <c r="K76" s="158">
        <f>_xll.Get_Balance(K$83,"PTD","USD","Total","A","","001","547610","ED","AN","DL")</f>
        <v>0</v>
      </c>
      <c r="L76" s="158">
        <f>_xll.Get_Balance(L$83,"PTD","USD","Total","A","","001","547610","ED","AN","DL")</f>
        <v>0</v>
      </c>
      <c r="M76" s="158">
        <f>_xll.Get_Balance(M$83,"PTD","USD","Total","A","","001","547610","ED","AN","DL")</f>
        <v>0</v>
      </c>
      <c r="N76" s="158">
        <f>_xll.Get_Balance(N$83,"PTD","USD","Total","A","","001","547610","ED","AN","DL")</f>
        <v>0</v>
      </c>
      <c r="O76" s="158">
        <f>_xll.Get_Balance(O$83,"PTD","USD","Total","A","","001","547610","ED","AN","DL")</f>
        <v>0</v>
      </c>
      <c r="P76" s="158">
        <f>_xll.Get_Balance(P$83,"PTD","USD","Total","A","","001","547610","ED","AN","DL")</f>
        <v>0</v>
      </c>
      <c r="Q76" s="410"/>
      <c r="R76" s="411">
        <f t="shared" si="22"/>
        <v>9372255</v>
      </c>
    </row>
    <row r="77" spans="1:18">
      <c r="A77" s="274">
        <f>A76+1</f>
        <v>37</v>
      </c>
      <c r="B77" s="52" t="s">
        <v>195</v>
      </c>
      <c r="C77" s="52"/>
      <c r="D77" s="390">
        <f t="shared" si="21"/>
        <v>8310782</v>
      </c>
      <c r="E77" s="158">
        <f>_xll.Get_Balance(E$83,"PTD","USD","Total","A","","001","547312","ED","AN","DL")</f>
        <v>3228167</v>
      </c>
      <c r="F77" s="158">
        <f>_xll.Get_Balance(F$83,"PTD","USD","Total","A","","001","547312","ED","AN","DL")</f>
        <v>2007130</v>
      </c>
      <c r="G77" s="158">
        <f>_xll.Get_Balance(G$83,"PTD","USD","Total","A","","001","547312","ED","AN","DL")</f>
        <v>3075485</v>
      </c>
      <c r="H77" s="158">
        <f>_xll.Get_Balance(H$83,"PTD","USD","Total","A","","001","547312","ED","AN","DL")</f>
        <v>0</v>
      </c>
      <c r="I77" s="158">
        <f>_xll.Get_Balance(I$83,"PTD","USD","Total","A","","001","547312","ED","AN","DL")</f>
        <v>0</v>
      </c>
      <c r="J77" s="158">
        <f>_xll.Get_Balance(J$83,"PTD","USD","Total","A","","001","547312","ED","AN","DL")</f>
        <v>0</v>
      </c>
      <c r="K77" s="158">
        <f>_xll.Get_Balance(K$83,"PTD","USD","Total","A","","001","547312","ED","AN","DL")</f>
        <v>0</v>
      </c>
      <c r="L77" s="158">
        <f>_xll.Get_Balance(L$83,"PTD","USD","Total","A","","001","547312","ED","AN","DL")</f>
        <v>0</v>
      </c>
      <c r="M77" s="158">
        <f>_xll.Get_Balance(M$83,"PTD","USD","Total","A","","001","547312","ED","AN","DL")</f>
        <v>0</v>
      </c>
      <c r="N77" s="158">
        <f>_xll.Get_Balance(N$83,"PTD","USD","Total","A","","001","547312","ED","AN","DL")</f>
        <v>0</v>
      </c>
      <c r="O77" s="158">
        <f>_xll.Get_Balance(O$83,"PTD","USD","Total","A","","001","547312","ED","AN","DL")</f>
        <v>0</v>
      </c>
      <c r="P77" s="158">
        <f>_xll.Get_Balance(P$83,"PTD","USD","Total","A","","001","547312","ED","AN","DL")</f>
        <v>0</v>
      </c>
      <c r="Q77" s="410"/>
      <c r="R77" s="411">
        <f>SUM(E77:P77)</f>
        <v>8310782</v>
      </c>
    </row>
    <row r="78" spans="1:18">
      <c r="A78" s="274">
        <f>A77+1</f>
        <v>38</v>
      </c>
      <c r="B78" s="261" t="s">
        <v>182</v>
      </c>
      <c r="C78" s="261"/>
      <c r="D78" s="390">
        <f t="shared" si="21"/>
        <v>80883</v>
      </c>
      <c r="E78" s="181">
        <f>_xll.Get_Balance(E$83,"PTD","USD","Total","A","","001","547310","ED","AN","DL")</f>
        <v>3176</v>
      </c>
      <c r="F78" s="181">
        <f>_xll.Get_Balance(F$83,"PTD","USD","Total","A","","001","547310","ED","AN","DL")</f>
        <v>59358</v>
      </c>
      <c r="G78" s="181">
        <f>_xll.Get_Balance(G$83,"PTD","USD","Total","A","","001","547310","ED","AN","DL")</f>
        <v>18349</v>
      </c>
      <c r="H78" s="181">
        <f>_xll.Get_Balance(H$83,"PTD","USD","Total","A","","001","547310","ED","AN","DL")</f>
        <v>0</v>
      </c>
      <c r="I78" s="181">
        <f>_xll.Get_Balance(I$83,"PTD","USD","Total","A","","001","547310","ED","AN","DL")</f>
        <v>0</v>
      </c>
      <c r="J78" s="181">
        <f>_xll.Get_Balance(J$83,"PTD","USD","Total","A","","001","547310","ED","AN","DL")</f>
        <v>0</v>
      </c>
      <c r="K78" s="181">
        <f>_xll.Get_Balance(K$83,"PTD","USD","Total","A","","001","547310","ED","AN","DL")</f>
        <v>0</v>
      </c>
      <c r="L78" s="181">
        <f>_xll.Get_Balance(L$83,"PTD","USD","Total","A","","001","547310","ED","AN","DL")</f>
        <v>0</v>
      </c>
      <c r="M78" s="181">
        <f>_xll.Get_Balance(M$83,"PTD","USD","Total","A","","001","547310","ED","AN","DL")</f>
        <v>0</v>
      </c>
      <c r="N78" s="181">
        <f>_xll.Get_Balance(N$83,"PTD","USD","Total","A","","001","547310","ED","AN","DL")</f>
        <v>0</v>
      </c>
      <c r="O78" s="181">
        <f>_xll.Get_Balance(O$83,"PTD","USD","Total","A","","001","547310","ED","AN","DL")</f>
        <v>0</v>
      </c>
      <c r="P78" s="181">
        <f>_xll.Get_Balance(P$83,"PTD","USD","Total","A","","001","547310","ED","AN","DL")</f>
        <v>0</v>
      </c>
      <c r="Q78" s="410"/>
      <c r="R78" s="412">
        <f t="shared" si="22"/>
        <v>80883</v>
      </c>
    </row>
    <row r="79" spans="1:18" s="185" customFormat="1" ht="21.75" customHeight="1">
      <c r="A79" s="387">
        <f t="shared" si="23"/>
        <v>39</v>
      </c>
      <c r="B79" s="259" t="s">
        <v>231</v>
      </c>
      <c r="C79" s="259"/>
      <c r="D79" s="202">
        <f t="shared" si="21"/>
        <v>17842380</v>
      </c>
      <c r="E79" s="172">
        <f t="shared" ref="E79:P79" si="24">SUM(E73:E78)</f>
        <v>6964296</v>
      </c>
      <c r="F79" s="172">
        <f t="shared" si="24"/>
        <v>4564678</v>
      </c>
      <c r="G79" s="172">
        <f t="shared" si="24"/>
        <v>6313406</v>
      </c>
      <c r="H79" s="172">
        <f t="shared" si="24"/>
        <v>0</v>
      </c>
      <c r="I79" s="172">
        <f t="shared" si="24"/>
        <v>0</v>
      </c>
      <c r="J79" s="172">
        <f t="shared" si="24"/>
        <v>0</v>
      </c>
      <c r="K79" s="172">
        <f t="shared" si="24"/>
        <v>0</v>
      </c>
      <c r="L79" s="172">
        <f t="shared" si="24"/>
        <v>0</v>
      </c>
      <c r="M79" s="172">
        <f t="shared" si="24"/>
        <v>0</v>
      </c>
      <c r="N79" s="172">
        <f t="shared" si="24"/>
        <v>0</v>
      </c>
      <c r="O79" s="172">
        <f t="shared" si="24"/>
        <v>0</v>
      </c>
      <c r="P79" s="172">
        <f t="shared" si="24"/>
        <v>0</v>
      </c>
      <c r="Q79" s="413"/>
      <c r="R79" s="414">
        <f>SUM(R73:R78)</f>
        <v>17842380</v>
      </c>
    </row>
    <row r="80" spans="1:18" ht="15.75" customHeight="1">
      <c r="A80" s="274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410"/>
      <c r="R80" s="415"/>
    </row>
    <row r="81" spans="1:18" ht="21" customHeight="1">
      <c r="A81" s="387">
        <f>A79+1</f>
        <v>40</v>
      </c>
      <c r="B81" s="262" t="s">
        <v>56</v>
      </c>
      <c r="C81" s="262"/>
      <c r="D81" s="416">
        <f>SUM(E81:P81)</f>
        <v>34563991</v>
      </c>
      <c r="E81" s="172">
        <f t="shared" ref="E81:P81" si="25">E23+E45+E62+E79</f>
        <v>12579922</v>
      </c>
      <c r="F81" s="172">
        <f t="shared" si="25"/>
        <v>11757943</v>
      </c>
      <c r="G81" s="172">
        <f t="shared" si="25"/>
        <v>10226126</v>
      </c>
      <c r="H81" s="172">
        <f t="shared" si="25"/>
        <v>0</v>
      </c>
      <c r="I81" s="172">
        <f t="shared" si="25"/>
        <v>0</v>
      </c>
      <c r="J81" s="172">
        <f t="shared" si="25"/>
        <v>0</v>
      </c>
      <c r="K81" s="172">
        <f t="shared" si="25"/>
        <v>0</v>
      </c>
      <c r="L81" s="172">
        <f t="shared" si="25"/>
        <v>0</v>
      </c>
      <c r="M81" s="172">
        <f t="shared" si="25"/>
        <v>0</v>
      </c>
      <c r="N81" s="172">
        <f t="shared" si="25"/>
        <v>0</v>
      </c>
      <c r="O81" s="172">
        <f t="shared" si="25"/>
        <v>0</v>
      </c>
      <c r="P81" s="172">
        <f t="shared" si="25"/>
        <v>0</v>
      </c>
      <c r="Q81" s="417"/>
      <c r="R81" s="418">
        <f>R23-R45+R62+R79</f>
        <v>104370283</v>
      </c>
    </row>
    <row r="82" spans="1:18" ht="12" customHeight="1"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398"/>
    </row>
    <row r="83" spans="1:18" outlineLevel="1">
      <c r="B83" s="263" t="s">
        <v>30</v>
      </c>
      <c r="C83" s="263"/>
      <c r="E83" s="419">
        <v>201801</v>
      </c>
      <c r="F83" s="419">
        <v>201802</v>
      </c>
      <c r="G83" s="419">
        <v>201803</v>
      </c>
      <c r="H83" s="419">
        <v>201804</v>
      </c>
      <c r="I83" s="419">
        <v>201805</v>
      </c>
      <c r="J83" s="419">
        <v>201806</v>
      </c>
      <c r="K83" s="419">
        <v>201807</v>
      </c>
      <c r="L83" s="419">
        <v>201808</v>
      </c>
      <c r="M83" s="419">
        <v>201809</v>
      </c>
      <c r="N83" s="419">
        <v>201810</v>
      </c>
      <c r="O83" s="419">
        <v>201811</v>
      </c>
      <c r="P83" s="419">
        <v>201812</v>
      </c>
      <c r="Q83" s="398"/>
    </row>
    <row r="84" spans="1:18">
      <c r="B84" s="264" t="s">
        <v>238</v>
      </c>
      <c r="C84" s="264"/>
      <c r="D84" s="420"/>
      <c r="E84" s="395"/>
      <c r="F84" s="177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398"/>
    </row>
    <row r="85" spans="1:18">
      <c r="A85" s="274">
        <f>A81+1</f>
        <v>41</v>
      </c>
      <c r="B85" s="263" t="s">
        <v>160</v>
      </c>
      <c r="C85" s="263"/>
      <c r="D85" s="239">
        <f t="shared" ref="D85:D92" si="26">SUM(E85:P85)</f>
        <v>-2485122</v>
      </c>
      <c r="E85" s="158">
        <f>_xll.Get_Balance(E$83,"PTD","USD","Total","A","","001","456100","ED","AN","DL")</f>
        <v>-903780</v>
      </c>
      <c r="F85" s="158">
        <f>_xll.Get_Balance(F$83,"PTD","USD","Total","A","","001","456100","ED","AN","DL")</f>
        <v>-922637</v>
      </c>
      <c r="G85" s="158">
        <f>_xll.Get_Balance(G$83,"PTD","USD","Total","A","","001","456100","ED","AN","DL")</f>
        <v>-658705</v>
      </c>
      <c r="H85" s="158">
        <f>_xll.Get_Balance(H$83,"PTD","USD","Total","A","","001","456100","ED","AN","DL")</f>
        <v>0</v>
      </c>
      <c r="I85" s="158">
        <f>_xll.Get_Balance(I$83,"PTD","USD","Total","A","","001","456100","ED","AN","DL")</f>
        <v>0</v>
      </c>
      <c r="J85" s="158">
        <f>_xll.Get_Balance(J$83,"PTD","USD","Total","A","","001","456100","ED","AN","DL")</f>
        <v>0</v>
      </c>
      <c r="K85" s="158">
        <f>_xll.Get_Balance(K$83,"PTD","USD","Total","A","","001","456100","ED","AN","DL")</f>
        <v>0</v>
      </c>
      <c r="L85" s="158">
        <f>_xll.Get_Balance(L$83,"PTD","USD","Total","A","","001","456100","ED","AN","DL")</f>
        <v>0</v>
      </c>
      <c r="M85" s="158">
        <f>_xll.Get_Balance(M$83,"PTD","USD","Total","A","","001","456100","ED","AN","DL")</f>
        <v>0</v>
      </c>
      <c r="N85" s="158">
        <f>_xll.Get_Balance(N$83,"PTD","USD","Total","A","","001","456100","ED","AN","DL")</f>
        <v>0</v>
      </c>
      <c r="O85" s="158">
        <f>_xll.Get_Balance(O$83,"PTD","USD","Total","A","","001","456100","ED","AN","DL")</f>
        <v>0</v>
      </c>
      <c r="P85" s="158">
        <f>_xll.Get_Balance(P$83,"PTD","USD","Total","A","","001","456100","ED","AN","DL")</f>
        <v>0</v>
      </c>
      <c r="Q85" s="410"/>
      <c r="R85" s="411">
        <f t="shared" ref="R85:R92" si="27">SUM(E85:P85)</f>
        <v>-2485122</v>
      </c>
    </row>
    <row r="86" spans="1:18">
      <c r="A86" s="274">
        <v>45</v>
      </c>
      <c r="B86" s="263" t="s">
        <v>362</v>
      </c>
      <c r="C86" s="263"/>
      <c r="D86" s="239">
        <f t="shared" si="26"/>
        <v>-231000</v>
      </c>
      <c r="E86" s="250">
        <f>_xll.Get_Balance(E$83,"PTD","USD","Total","A","","001","456120","ED","AN","DL")</f>
        <v>-77000</v>
      </c>
      <c r="F86" s="250">
        <f>_xll.Get_Balance(F$83,"PTD","USD","Total","A","","001","456120","ED","AN","DL")</f>
        <v>-77000</v>
      </c>
      <c r="G86" s="250">
        <f>_xll.Get_Balance(G$83,"PTD","USD","Total","A","","001","456120","ED","AN","DL")</f>
        <v>-77000</v>
      </c>
      <c r="H86" s="250">
        <f>_xll.Get_Balance(H$83,"PTD","USD","Total","A","","001","456120","ED","AN","DL")</f>
        <v>0</v>
      </c>
      <c r="I86" s="250">
        <f>_xll.Get_Balance(I$83,"PTD","USD","Total","A","","001","456120","ED","AN","DL")</f>
        <v>0</v>
      </c>
      <c r="J86" s="250">
        <f>_xll.Get_Balance(J$83,"PTD","USD","Total","A","","001","456120","ED","AN","DL")</f>
        <v>0</v>
      </c>
      <c r="K86" s="250">
        <f>_xll.Get_Balance(K$83,"PTD","USD","Total","A","","001","456120","ED","AN","DL")</f>
        <v>0</v>
      </c>
      <c r="L86" s="250">
        <f>_xll.Get_Balance(L$83,"PTD","USD","Total","A","","001","456120","ED","AN","DL")</f>
        <v>0</v>
      </c>
      <c r="M86" s="250">
        <f>_xll.Get_Balance(M$83,"PTD","USD","Total","A","","001","456120","ED","AN","DL")</f>
        <v>0</v>
      </c>
      <c r="N86" s="250">
        <f>_xll.Get_Balance(N$83,"PTD","USD","Total","A","","001","456120","ED","AN","DL")</f>
        <v>0</v>
      </c>
      <c r="O86" s="250">
        <f>_xll.Get_Balance(O$83,"PTD","USD","Total","A","","001","456120","ED","AN","DL")</f>
        <v>0</v>
      </c>
      <c r="P86" s="250">
        <f>_xll.Get_Balance(P$83,"PTD","USD","Total","A","","001","456120","ED","AN","DL")</f>
        <v>0</v>
      </c>
      <c r="Q86" s="410"/>
      <c r="R86" s="411">
        <f t="shared" si="27"/>
        <v>-231000</v>
      </c>
    </row>
    <row r="87" spans="1:18">
      <c r="A87" s="274">
        <f>A86+1</f>
        <v>46</v>
      </c>
      <c r="B87" s="263" t="s">
        <v>446</v>
      </c>
      <c r="C87" s="263"/>
      <c r="D87" s="239">
        <f t="shared" si="26"/>
        <v>-31903</v>
      </c>
      <c r="E87" s="158">
        <f>_xll.Get_Balance(E$83,"PTD","USD","Total","A","","001","456020","ED","AN","DL")</f>
        <v>0</v>
      </c>
      <c r="F87" s="158">
        <f>_xll.Get_Balance(F$83,"PTD","USD","Total","A","","001","456020","ED","AN","DL")</f>
        <v>-31909</v>
      </c>
      <c r="G87" s="158">
        <f>_xll.Get_Balance(G$83,"PTD","USD","Total","A","","001","456020","ED","AN","DL")</f>
        <v>6</v>
      </c>
      <c r="H87" s="158">
        <f>_xll.Get_Balance(H$83,"PTD","USD","Total","A","","001","456020","ED","AN","DL")</f>
        <v>0</v>
      </c>
      <c r="I87" s="158">
        <f>_xll.Get_Balance(I$83,"PTD","USD","Total","A","","001","456020","ED","AN","DL")</f>
        <v>0</v>
      </c>
      <c r="J87" s="158">
        <f>_xll.Get_Balance(J$83,"PTD","USD","Total","A","","001","456020","ED","AN","DL")</f>
        <v>0</v>
      </c>
      <c r="K87" s="158">
        <f>_xll.Get_Balance(K$83,"PTD","USD","Total","A","","001","456020","ED","AN","DL")</f>
        <v>0</v>
      </c>
      <c r="L87" s="158">
        <f>_xll.Get_Balance(L$83,"PTD","USD","Total","A","","001","456020","ED","AN","DL")</f>
        <v>0</v>
      </c>
      <c r="M87" s="158">
        <f>_xll.Get_Balance(M$83,"PTD","USD","Total","A","","001","456020","ED","AN","DL")</f>
        <v>0</v>
      </c>
      <c r="N87" s="158">
        <f>_xll.Get_Balance(N$83,"PTD","USD","Total","A","","001","456020","ED","AN","DL")</f>
        <v>0</v>
      </c>
      <c r="O87" s="158">
        <f>_xll.Get_Balance(O$83,"PTD","USD","Total","A","","001","456020","ED","AN","DL")</f>
        <v>0</v>
      </c>
      <c r="P87" s="158">
        <f>_xll.Get_Balance(P$83,"PTD","USD","Total","A","","001","456020","ED","AN","DL")</f>
        <v>0</v>
      </c>
      <c r="Q87" s="158"/>
      <c r="R87" s="411">
        <f t="shared" si="27"/>
        <v>-31903</v>
      </c>
    </row>
    <row r="88" spans="1:18">
      <c r="A88" s="274">
        <f>+A87+1</f>
        <v>47</v>
      </c>
      <c r="B88" s="263" t="s">
        <v>445</v>
      </c>
      <c r="C88" s="263"/>
      <c r="D88" s="239">
        <f t="shared" si="26"/>
        <v>-659247</v>
      </c>
      <c r="E88" s="158">
        <f>_xll.Get_Balance(E$83,"PTD","USD","Total","A","","001","456130","ED","AN","DL")</f>
        <v>-213305</v>
      </c>
      <c r="F88" s="158">
        <f>_xll.Get_Balance(F$83,"PTD","USD","Total","A","","001","456130","ED","AN","DL")</f>
        <v>-248240</v>
      </c>
      <c r="G88" s="158">
        <f>_xll.Get_Balance(G$83,"PTD","USD","Total","A","","001","456130","ED","AN","DL")</f>
        <v>-197702</v>
      </c>
      <c r="H88" s="158">
        <f>_xll.Get_Balance(H$83,"PTD","USD","Total","A","","001","456130","ED","AN","DL")</f>
        <v>0</v>
      </c>
      <c r="I88" s="158">
        <f>_xll.Get_Balance(I$83,"PTD","USD","Total","A","","001","456130","ED","AN","DL")</f>
        <v>0</v>
      </c>
      <c r="J88" s="158">
        <f>_xll.Get_Balance(J$83,"PTD","USD","Total","A","","001","456130","ED","AN","DL")</f>
        <v>0</v>
      </c>
      <c r="K88" s="158">
        <f>_xll.Get_Balance(K$83,"PTD","USD","Total","A","","001","456130","ED","AN","DL")</f>
        <v>0</v>
      </c>
      <c r="L88" s="158">
        <f>_xll.Get_Balance(L$83,"PTD","USD","Total","A","","001","456130","ED","AN","DL")</f>
        <v>0</v>
      </c>
      <c r="M88" s="158">
        <f>_xll.Get_Balance(M$83,"PTD","USD","Total","A","","001","456130","ED","AN","DL")</f>
        <v>0</v>
      </c>
      <c r="N88" s="158">
        <f>_xll.Get_Balance(N$83,"PTD","USD","Total","A","","001","456130","ED","AN","DL")</f>
        <v>0</v>
      </c>
      <c r="O88" s="158">
        <f>_xll.Get_Balance(O$83,"PTD","USD","Total","A","","001","456130","ED","AN","DL")</f>
        <v>0</v>
      </c>
      <c r="P88" s="158">
        <f>_xll.Get_Balance(P$83,"PTD","USD","Total","A","","001","456130","ED","AN","DL")</f>
        <v>0</v>
      </c>
      <c r="Q88" s="410"/>
      <c r="R88" s="411">
        <f t="shared" si="27"/>
        <v>-659247</v>
      </c>
    </row>
    <row r="89" spans="1:18">
      <c r="A89" s="274">
        <f>+A88+1</f>
        <v>48</v>
      </c>
      <c r="B89" s="52" t="s">
        <v>366</v>
      </c>
      <c r="C89" s="52"/>
      <c r="D89" s="204">
        <f>SUM(E89:P89)</f>
        <v>-15060</v>
      </c>
      <c r="E89" s="205">
        <f>_xll.Get_Balance(E$83,"PTD","USD","Total","A","","001","456017","ED","AN","DL")</f>
        <v>-5020</v>
      </c>
      <c r="F89" s="205">
        <f>_xll.Get_Balance(F$83,"PTD","USD","Total","A","","001","456017","ED","AN","DL")</f>
        <v>-5020</v>
      </c>
      <c r="G89" s="205">
        <f>_xll.Get_Balance(G$83,"PTD","USD","Total","A","","001","456017","ED","AN","DL")</f>
        <v>-5020</v>
      </c>
      <c r="H89" s="205">
        <f>_xll.Get_Balance(H$83,"PTD","USD","Total","A","","001","456017","ED","AN","DL")</f>
        <v>0</v>
      </c>
      <c r="I89" s="205">
        <f>_xll.Get_Balance(I$83,"PTD","USD","Total","A","","001","456017","ED","AN","DL")</f>
        <v>0</v>
      </c>
      <c r="J89" s="205">
        <f>_xll.Get_Balance(J$83,"PTD","USD","Total","A","","001","456017","ED","AN","DL")</f>
        <v>0</v>
      </c>
      <c r="K89" s="205">
        <f>_xll.Get_Balance(K$83,"PTD","USD","Total","A","","001","456017","ED","AN","DL")</f>
        <v>0</v>
      </c>
      <c r="L89" s="205">
        <f>_xll.Get_Balance(L$83,"PTD","USD","Total","A","","001","456017","ED","AN","DL")</f>
        <v>0</v>
      </c>
      <c r="M89" s="205">
        <f>_xll.Get_Balance(M$83,"PTD","USD","Total","A","","001","456017","ED","AN","DL")</f>
        <v>0</v>
      </c>
      <c r="N89" s="205">
        <f>_xll.Get_Balance(N$83,"PTD","USD","Total","A","","001","456017","ED","AN","DL")</f>
        <v>0</v>
      </c>
      <c r="O89" s="205">
        <f>_xll.Get_Balance(O$83,"PTD","USD","Total","A","","001","456017","ED","AN","DL")</f>
        <v>0</v>
      </c>
      <c r="P89" s="205">
        <f>_xll.Get_Balance(P$83,"PTD","USD","Total","A","","001","456017","ED","AN","DL")</f>
        <v>0</v>
      </c>
      <c r="Q89" s="410"/>
      <c r="R89" s="411">
        <f t="shared" si="27"/>
        <v>-15060</v>
      </c>
    </row>
    <row r="90" spans="1:18">
      <c r="A90" s="274">
        <f>+A89+1</f>
        <v>49</v>
      </c>
      <c r="B90" s="284" t="s">
        <v>462</v>
      </c>
      <c r="C90" s="263"/>
      <c r="D90" s="239">
        <f t="shared" si="26"/>
        <v>-26343</v>
      </c>
      <c r="E90" s="158">
        <f>_xll.Get_Balance(E$83,"PTD","USD","Total","A","","001","456700","ED","WA","DL")</f>
        <v>-8781</v>
      </c>
      <c r="F90" s="158">
        <f>_xll.Get_Balance(F$83,"PTD","USD","Total","A","","001","456700","ED","WA","DL")</f>
        <v>-8781</v>
      </c>
      <c r="G90" s="158">
        <f>_xll.Get_Balance(G$83,"PTD","USD","Total","A","","001","456700","ED","WA","DL")</f>
        <v>-8781</v>
      </c>
      <c r="H90" s="158">
        <f>_xll.Get_Balance(H$83,"PTD","USD","Total","A","","001","456700","ED","WA","DL")</f>
        <v>0</v>
      </c>
      <c r="I90" s="158">
        <f>_xll.Get_Balance(I$83,"PTD","USD","Total","A","","001","456700","ED","WA","DL")</f>
        <v>0</v>
      </c>
      <c r="J90" s="158">
        <f>_xll.Get_Balance(J$83,"PTD","USD","Total","A","","001","456700","ED","WA","DL")</f>
        <v>0</v>
      </c>
      <c r="K90" s="158">
        <f>_xll.Get_Balance(K$83,"PTD","USD","Total","A","","001","456700","ED","WA","DL")</f>
        <v>0</v>
      </c>
      <c r="L90" s="158">
        <f>_xll.Get_Balance(L$83,"PTD","USD","Total","A","","001","456700","ED","WA","DL")</f>
        <v>0</v>
      </c>
      <c r="M90" s="158">
        <f>_xll.Get_Balance(M$83,"PTD","USD","Total","A","","001","456700","ED","WA","DL")</f>
        <v>0</v>
      </c>
      <c r="N90" s="158">
        <f>_xll.Get_Balance(N$83,"PTD","USD","Total","A","","001","456700","ED","WA","DL")</f>
        <v>0</v>
      </c>
      <c r="O90" s="158">
        <f>_xll.Get_Balance(O$83,"PTD","USD","Total","A","","001","456700","ED","WA","DL")</f>
        <v>0</v>
      </c>
      <c r="P90" s="158">
        <f>_xll.Get_Balance(P$83,"PTD","USD","Total","A","","001","456700","ED","WA","DL")</f>
        <v>0</v>
      </c>
      <c r="Q90" s="422"/>
      <c r="R90" s="411">
        <f t="shared" si="27"/>
        <v>-26343</v>
      </c>
    </row>
    <row r="91" spans="1:18">
      <c r="A91" s="274">
        <f>+A90+1</f>
        <v>50</v>
      </c>
      <c r="B91" s="265" t="s">
        <v>368</v>
      </c>
      <c r="C91" s="265" t="s">
        <v>259</v>
      </c>
      <c r="D91" s="239">
        <f t="shared" si="26"/>
        <v>-415734</v>
      </c>
      <c r="E91" s="181">
        <f>_xll.Get_Balance(E$83,"PTD","USD","Total","A","","001","456705","ED","AN","DL")</f>
        <v>-138578</v>
      </c>
      <c r="F91" s="181">
        <f>_xll.Get_Balance(F$83,"PTD","USD","Total","A","","001","456705","ED","AN","DL")</f>
        <v>-138578</v>
      </c>
      <c r="G91" s="181">
        <f>_xll.Get_Balance(G$83,"PTD","USD","Total","A","","001","456705","ED","AN","DL")</f>
        <v>-138578</v>
      </c>
      <c r="H91" s="181">
        <f>_xll.Get_Balance(H$83,"PTD","USD","Total","A","","001","456705","ED","AN","DL")</f>
        <v>0</v>
      </c>
      <c r="I91" s="181">
        <f>_xll.Get_Balance(I$83,"PTD","USD","Total","A","","001","456705","ED","AN","DL")</f>
        <v>0</v>
      </c>
      <c r="J91" s="181">
        <f>_xll.Get_Balance(J$83,"PTD","USD","Total","A","","001","456705","ED","AN","DL")</f>
        <v>0</v>
      </c>
      <c r="K91" s="181">
        <f>_xll.Get_Balance(K$83,"PTD","USD","Total","A","","001","456705","ED","AN","DL")</f>
        <v>0</v>
      </c>
      <c r="L91" s="181">
        <f>_xll.Get_Balance(L$83,"PTD","USD","Total","A","","001","456705","ED","AN","DL")</f>
        <v>0</v>
      </c>
      <c r="M91" s="181">
        <f>_xll.Get_Balance(M$83,"PTD","USD","Total","A","","001","456705","ED","AN","DL")</f>
        <v>0</v>
      </c>
      <c r="N91" s="181">
        <f>_xll.Get_Balance(N$83,"PTD","USD","Total","A","","001","456705","ED","AN","DL")</f>
        <v>0</v>
      </c>
      <c r="O91" s="181">
        <f>_xll.Get_Balance(O$83,"PTD","USD","Total","A","","001","456705","ED","AN","DL")</f>
        <v>0</v>
      </c>
      <c r="P91" s="181">
        <f>_xll.Get_Balance(P$83,"PTD","USD","Total","A","","001","456705","ED","AN","DL")</f>
        <v>0</v>
      </c>
      <c r="Q91" s="410"/>
      <c r="R91" s="412">
        <f t="shared" si="27"/>
        <v>-415734</v>
      </c>
    </row>
    <row r="92" spans="1:18" s="185" customFormat="1" ht="20.25" customHeight="1">
      <c r="A92" s="387">
        <f>A91+1</f>
        <v>51</v>
      </c>
      <c r="B92" s="266" t="s">
        <v>237</v>
      </c>
      <c r="C92" s="266"/>
      <c r="D92" s="202">
        <f t="shared" si="26"/>
        <v>-3864409</v>
      </c>
      <c r="E92" s="202">
        <f>SUM(E85:E91)</f>
        <v>-1346464</v>
      </c>
      <c r="F92" s="202">
        <f t="shared" ref="F92:P92" si="28">SUM(F85:F91)</f>
        <v>-1432165</v>
      </c>
      <c r="G92" s="202">
        <f t="shared" si="28"/>
        <v>-1085780</v>
      </c>
      <c r="H92" s="202">
        <f t="shared" si="28"/>
        <v>0</v>
      </c>
      <c r="I92" s="202">
        <f t="shared" si="28"/>
        <v>0</v>
      </c>
      <c r="J92" s="202">
        <f t="shared" si="28"/>
        <v>0</v>
      </c>
      <c r="K92" s="202">
        <f t="shared" si="28"/>
        <v>0</v>
      </c>
      <c r="L92" s="202">
        <f t="shared" si="28"/>
        <v>0</v>
      </c>
      <c r="M92" s="202">
        <f t="shared" si="28"/>
        <v>0</v>
      </c>
      <c r="N92" s="202">
        <f t="shared" si="28"/>
        <v>0</v>
      </c>
      <c r="O92" s="202">
        <f t="shared" si="28"/>
        <v>0</v>
      </c>
      <c r="P92" s="202">
        <f t="shared" si="28"/>
        <v>0</v>
      </c>
      <c r="Q92" s="413"/>
      <c r="R92" s="414">
        <f t="shared" si="27"/>
        <v>-3864409</v>
      </c>
    </row>
    <row r="93" spans="1:18">
      <c r="A93" s="274"/>
      <c r="D93" s="73"/>
      <c r="E93" s="239"/>
      <c r="F93" s="390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410"/>
      <c r="R93" s="411"/>
    </row>
    <row r="94" spans="1:18">
      <c r="A94" s="274"/>
      <c r="B94" s="258" t="s">
        <v>239</v>
      </c>
      <c r="C94" s="258"/>
      <c r="D94" s="73"/>
      <c r="E94" s="239"/>
      <c r="F94" s="390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410"/>
      <c r="R94" s="411"/>
    </row>
    <row r="95" spans="1:18">
      <c r="A95" s="274">
        <f>A92+1</f>
        <v>52</v>
      </c>
      <c r="B95" s="52" t="s">
        <v>161</v>
      </c>
      <c r="C95" s="52"/>
      <c r="D95" s="239">
        <f>SUM(E95:P95)</f>
        <v>4520773</v>
      </c>
      <c r="E95" s="158">
        <f>_xll.Get_Balance(E$83,"PTD","USD","Total","A","","001","565000","ED","AN","DL")</f>
        <v>1532604</v>
      </c>
      <c r="F95" s="200">
        <f>_xll.Get_Balance(F$83,"PTD","USD","Total","A","","001","565000","ED","AN","DL")</f>
        <v>1475846</v>
      </c>
      <c r="G95" s="200">
        <f>_xll.Get_Balance(G$83,"PTD","USD","Total","A","","001","565000","ED","AN","DL")</f>
        <v>1512323</v>
      </c>
      <c r="H95" s="200">
        <f>_xll.Get_Balance(H$83,"PTD","USD","Total","A","","001","565000","ED","AN","DL")</f>
        <v>0</v>
      </c>
      <c r="I95" s="200">
        <f>_xll.Get_Balance(I$83,"PTD","USD","Total","A","","001","565000","ED","AN","DL")</f>
        <v>0</v>
      </c>
      <c r="J95" s="200">
        <f>_xll.Get_Balance(J$83,"PTD","USD","Total","A","","001","565000","ED","AN","DL")</f>
        <v>0</v>
      </c>
      <c r="K95" s="200">
        <f>_xll.Get_Balance(K$83,"PTD","USD","Total","A","","001","565000","ED","AN","DL")</f>
        <v>0</v>
      </c>
      <c r="L95" s="200">
        <f>_xll.Get_Balance(L$83,"PTD","USD","Total","A","","001","565000","ED","AN","DL")</f>
        <v>0</v>
      </c>
      <c r="M95" s="200">
        <f>_xll.Get_Balance(M$83,"PTD","USD","Total","A","","001","565000","ED","AN","DL")</f>
        <v>0</v>
      </c>
      <c r="N95" s="200">
        <f>_xll.Get_Balance(N$83,"PTD","USD","Total","A","","001","565000","ED","AN","DL")</f>
        <v>0</v>
      </c>
      <c r="O95" s="200">
        <f>_xll.Get_Balance(O$83,"PTD","USD","Total","A","","001","565000","ED","AN","DL")</f>
        <v>0</v>
      </c>
      <c r="P95" s="200">
        <f>_xll.Get_Balance(P$83,"PTD","USD","Total","A","","001","565000","ED","AN","DL")</f>
        <v>0</v>
      </c>
      <c r="Q95" s="410"/>
      <c r="R95" s="411">
        <f>SUM(E95:P95)</f>
        <v>4520773</v>
      </c>
    </row>
    <row r="96" spans="1:18">
      <c r="A96" s="274">
        <f>A95+1</f>
        <v>53</v>
      </c>
      <c r="B96" s="52" t="s">
        <v>196</v>
      </c>
      <c r="C96" s="52" t="s">
        <v>197</v>
      </c>
      <c r="D96" s="239">
        <f>SUM(E96:P96)</f>
        <v>0</v>
      </c>
      <c r="E96" s="200">
        <f>_xll.Get_Balance(E$83,"PTD","USD","Total","A","","001","565312","ED","AN","DL")</f>
        <v>0</v>
      </c>
      <c r="F96" s="200">
        <f>_xll.Get_Balance(F$83,"PTD","USD","Total","A","","001","565312","ED","AN","DL")</f>
        <v>0</v>
      </c>
      <c r="G96" s="200">
        <f>_xll.Get_Balance(G$83,"PTD","USD","Total","A","","001","565312","ED","AN","DL")</f>
        <v>0</v>
      </c>
      <c r="H96" s="200">
        <f>_xll.Get_Balance(H$83,"PTD","USD","Total","A","","001","565312","ED","AN","DL")</f>
        <v>0</v>
      </c>
      <c r="I96" s="200">
        <f>_xll.Get_Balance(I$83,"PTD","USD","Total","A","","001","565312","ED","AN","DL")</f>
        <v>0</v>
      </c>
      <c r="J96" s="200">
        <f>_xll.Get_Balance(J$83,"PTD","USD","Total","A","","001","565312","ED","AN","DL")</f>
        <v>0</v>
      </c>
      <c r="K96" s="200">
        <f>_xll.Get_Balance(K$83,"PTD","USD","Total","A","","001","565312","ED","AN","DL")</f>
        <v>0</v>
      </c>
      <c r="L96" s="200">
        <f>_xll.Get_Balance(L$83,"PTD","USD","Total","A","","001","565312","ED","AN","DL")</f>
        <v>0</v>
      </c>
      <c r="M96" s="200">
        <f>_xll.Get_Balance(M$83,"PTD","USD","Total","A","","001","565312","ED","AN","DL")</f>
        <v>0</v>
      </c>
      <c r="N96" s="200">
        <f>_xll.Get_Balance(N$83,"PTD","USD","Total","A","","001","565312","ED","AN","DL")</f>
        <v>0</v>
      </c>
      <c r="O96" s="200">
        <f>_xll.Get_Balance(O$83,"PTD","USD","Total","A","","001","565312","ED","AN","DL")</f>
        <v>0</v>
      </c>
      <c r="P96" s="200">
        <f>_xll.Get_Balance(P$83,"PTD","USD","Total","A","","001","565312","ED","AN","DL")</f>
        <v>0</v>
      </c>
      <c r="Q96" s="410"/>
      <c r="R96" s="411">
        <f>SUM(E96:P96)</f>
        <v>0</v>
      </c>
    </row>
    <row r="97" spans="1:18">
      <c r="A97" s="275">
        <f>A96+1</f>
        <v>54</v>
      </c>
      <c r="B97" s="267" t="s">
        <v>162</v>
      </c>
      <c r="C97" s="267"/>
      <c r="D97" s="239">
        <f>SUM(E97:P97)</f>
        <v>13608</v>
      </c>
      <c r="E97" s="181">
        <f>_xll.Get_Balance(E$83,"PTD","USD","Total","A","","001","565710","ED","AN","DL")</f>
        <v>4536</v>
      </c>
      <c r="F97" s="181">
        <f>_xll.Get_Balance(F$83,"PTD","USD","Total","A","","001","565710","ED","AN","DL")</f>
        <v>4536</v>
      </c>
      <c r="G97" s="181">
        <f>_xll.Get_Balance(G$83,"PTD","USD","Total","A","","001","565710","ED","AN","DL")</f>
        <v>4536</v>
      </c>
      <c r="H97" s="181">
        <f>_xll.Get_Balance(H$83,"PTD","USD","Total","A","","001","565710","ED","AN","DL")</f>
        <v>0</v>
      </c>
      <c r="I97" s="181">
        <f>_xll.Get_Balance(I$83,"PTD","USD","Total","A","","001","565710","ED","AN","DL")</f>
        <v>0</v>
      </c>
      <c r="J97" s="181">
        <f>_xll.Get_Balance(J$83,"PTD","USD","Total","A","","001","565710","ED","AN","DL")</f>
        <v>0</v>
      </c>
      <c r="K97" s="181">
        <f>_xll.Get_Balance(K$83,"PTD","USD","Total","A","","001","565710","ED","AN","DL")</f>
        <v>0</v>
      </c>
      <c r="L97" s="181">
        <f>_xll.Get_Balance(L$83,"PTD","USD","Total","A","","001","565710","ED","AN","DL")</f>
        <v>0</v>
      </c>
      <c r="M97" s="181">
        <f>_xll.Get_Balance(M$83,"PTD","USD","Total","A","","001","565710","ED","AN","DL")</f>
        <v>0</v>
      </c>
      <c r="N97" s="181">
        <f>_xll.Get_Balance(N$83,"PTD","USD","Total","A","","001","565710","ED","AN","DL")</f>
        <v>0</v>
      </c>
      <c r="O97" s="181">
        <f>_xll.Get_Balance(O$83,"PTD","USD","Total","A","","001","565710","ED","AN","DL")</f>
        <v>0</v>
      </c>
      <c r="P97" s="181">
        <f>_xll.Get_Balance(P$83,"PTD","USD","Total","A","","001","565710","ED","AN","DL")</f>
        <v>0</v>
      </c>
      <c r="Q97" s="410"/>
      <c r="R97" s="412">
        <f>SUM(E97:P97)</f>
        <v>13608</v>
      </c>
    </row>
    <row r="98" spans="1:18" s="185" customFormat="1" ht="20.25" customHeight="1">
      <c r="A98" s="387">
        <f>A97+1</f>
        <v>55</v>
      </c>
      <c r="B98" s="266" t="s">
        <v>236</v>
      </c>
      <c r="C98" s="266"/>
      <c r="D98" s="202">
        <f>SUM(E98:P98)</f>
        <v>4534381</v>
      </c>
      <c r="E98" s="172">
        <f t="shared" ref="E98:P98" si="29">SUM(E95:E97)</f>
        <v>1537140</v>
      </c>
      <c r="F98" s="172">
        <f t="shared" si="29"/>
        <v>1480382</v>
      </c>
      <c r="G98" s="172">
        <f t="shared" si="29"/>
        <v>1516859</v>
      </c>
      <c r="H98" s="172">
        <f t="shared" si="29"/>
        <v>0</v>
      </c>
      <c r="I98" s="172">
        <f t="shared" si="29"/>
        <v>0</v>
      </c>
      <c r="J98" s="172">
        <f t="shared" si="29"/>
        <v>0</v>
      </c>
      <c r="K98" s="172">
        <f t="shared" si="29"/>
        <v>0</v>
      </c>
      <c r="L98" s="172">
        <f t="shared" si="29"/>
        <v>0</v>
      </c>
      <c r="M98" s="172">
        <f t="shared" si="29"/>
        <v>0</v>
      </c>
      <c r="N98" s="172">
        <f t="shared" si="29"/>
        <v>0</v>
      </c>
      <c r="O98" s="172">
        <f t="shared" si="29"/>
        <v>0</v>
      </c>
      <c r="P98" s="172">
        <f t="shared" si="29"/>
        <v>0</v>
      </c>
      <c r="Q98" s="413"/>
      <c r="R98" s="414">
        <f>SUM(E98:P98)</f>
        <v>4534381</v>
      </c>
    </row>
    <row r="99" spans="1:18">
      <c r="A99" s="274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410"/>
      <c r="R99" s="411"/>
    </row>
    <row r="100" spans="1:18">
      <c r="A100" s="274"/>
      <c r="B100" s="258" t="s">
        <v>437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410"/>
      <c r="R100" s="411"/>
    </row>
    <row r="101" spans="1:18">
      <c r="A101" s="274">
        <f>A98+1</f>
        <v>56</v>
      </c>
      <c r="B101" s="52" t="s">
        <v>440</v>
      </c>
      <c r="D101" s="390">
        <f>SUM(E101:P101)</f>
        <v>122671</v>
      </c>
      <c r="E101" s="177">
        <f>_xll.Get_Balance(E$83,"PTD","USD","Total","A","","001","557170","ED","AN","DL")</f>
        <v>47346</v>
      </c>
      <c r="F101" s="177">
        <f>_xll.Get_Balance(F$83,"PTD","USD","Total","A","","001","557170","ED","AN","DL")</f>
        <v>29412</v>
      </c>
      <c r="G101" s="177">
        <f>_xll.Get_Balance(G$83,"PTD","USD","Total","A","","001","557170","ED","AN","DL")</f>
        <v>45913</v>
      </c>
      <c r="H101" s="177">
        <f>_xll.Get_Balance(H$83,"PTD","USD","Total","A","","001","557170","ED","AN","DL")</f>
        <v>0</v>
      </c>
      <c r="I101" s="177">
        <f>_xll.Get_Balance(I$83,"PTD","USD","Total","A","","001","557170","ED","AN","DL")</f>
        <v>0</v>
      </c>
      <c r="J101" s="177">
        <f>_xll.Get_Balance(J$83,"PTD","USD","Total","A","","001","557170","ED","AN","DL")</f>
        <v>0</v>
      </c>
      <c r="K101" s="177">
        <f>_xll.Get_Balance(K$83,"PTD","USD","Total","A","","001","557170","ED","AN","DL")</f>
        <v>0</v>
      </c>
      <c r="L101" s="177">
        <f>_xll.Get_Balance(L$83,"PTD","USD","Total","A","","001","557170","ED","AN","DL")</f>
        <v>0</v>
      </c>
      <c r="M101" s="177">
        <f>_xll.Get_Balance(M$83,"PTD","USD","Total","A","","001","557170","ED","AN","DL")</f>
        <v>0</v>
      </c>
      <c r="N101" s="177">
        <f>_xll.Get_Balance(N$83,"PTD","USD","Total","A","","001","557170","ED","AN","DL")</f>
        <v>0</v>
      </c>
      <c r="O101" s="177">
        <f>_xll.Get_Balance(O$83,"PTD","USD","Total","A","","001","557170","ED","AN","DL")</f>
        <v>0</v>
      </c>
      <c r="P101" s="177">
        <f>_xll.Get_Balance(P$83,"PTD","USD","Total","A","","001","557170","ED","AN","DL")</f>
        <v>0</v>
      </c>
      <c r="Q101" s="410"/>
      <c r="R101" s="411"/>
    </row>
    <row r="102" spans="1:18">
      <c r="A102" s="274">
        <f>A101+1</f>
        <v>57</v>
      </c>
      <c r="B102" s="273" t="s">
        <v>439</v>
      </c>
      <c r="D102" s="390">
        <f>SUM(E102:P102)</f>
        <v>0</v>
      </c>
      <c r="E102" s="177">
        <f>_xll.Get_Balance(E$83,"PTD","USD","Total","A","","001","557172","ED","AN","DL")</f>
        <v>0</v>
      </c>
      <c r="F102" s="177">
        <f>_xll.Get_Balance(F$83,"PTD","USD","Total","A","","001","557172","ED","AN","DL")</f>
        <v>0</v>
      </c>
      <c r="G102" s="177">
        <f>_xll.Get_Balance(G$83,"PTD","USD","Total","A","","001","557172","ED","AN","DL")</f>
        <v>0</v>
      </c>
      <c r="H102" s="177">
        <f>_xll.Get_Balance(H$83,"PTD","USD","Total","A","","001","557172","ED","AN","DL")</f>
        <v>0</v>
      </c>
      <c r="I102" s="177">
        <f>_xll.Get_Balance(I$83,"PTD","USD","Total","A","","001","557172","ED","AN","DL")</f>
        <v>0</v>
      </c>
      <c r="J102" s="177">
        <f>_xll.Get_Balance(J$83,"PTD","USD","Total","A","","001","557172","ED","AN","DL")</f>
        <v>0</v>
      </c>
      <c r="K102" s="177">
        <f>_xll.Get_Balance(K$83,"PTD","USD","Total","A","","001","557172","ED","AN","DL")</f>
        <v>0</v>
      </c>
      <c r="L102" s="177">
        <f>_xll.Get_Balance(L$83,"PTD","USD","Total","A","","001","557172","ED","AN","DL")</f>
        <v>0</v>
      </c>
      <c r="M102" s="177">
        <f>_xll.Get_Balance(M$83,"PTD","USD","Total","A","","001","557172","ED","AN","DL")</f>
        <v>0</v>
      </c>
      <c r="N102" s="177">
        <f>_xll.Get_Balance(N$83,"PTD","USD","Total","A","","001","557172","ED","AN","DL")</f>
        <v>0</v>
      </c>
      <c r="O102" s="177">
        <f>_xll.Get_Balance(O$83,"PTD","USD","Total","A","","001","557172","ED","AN","DL")</f>
        <v>0</v>
      </c>
      <c r="P102" s="177">
        <f>_xll.Get_Balance(P$83,"PTD","USD","Total","A","","001","557172","ED","AN","DL")</f>
        <v>0</v>
      </c>
      <c r="Q102" s="410"/>
      <c r="R102" s="411"/>
    </row>
    <row r="103" spans="1:18">
      <c r="A103" s="274">
        <f>A102+1</f>
        <v>58</v>
      </c>
      <c r="B103" s="273" t="s">
        <v>469</v>
      </c>
      <c r="C103" s="71" t="s">
        <v>470</v>
      </c>
      <c r="D103" s="390">
        <f>SUM(E103:P103)</f>
        <v>25659</v>
      </c>
      <c r="E103" s="177">
        <f>_xll.Get_Balance(E$83,"PTD","USD","Total","A","","001","557165","ED","AN","DL")</f>
        <v>13283</v>
      </c>
      <c r="F103" s="177">
        <f>_xll.Get_Balance(F$83,"PTD","USD","Total","A","","001","557165","ED","AN","DL")</f>
        <v>5453</v>
      </c>
      <c r="G103" s="177">
        <f>_xll.Get_Balance(G$83,"PTD","USD","Total","A","","001","557165","ED","AN","DL")</f>
        <v>6923</v>
      </c>
      <c r="H103" s="177">
        <f>_xll.Get_Balance(H$83,"PTD","USD","Total","A","","001","557165","ED","AN","DL")</f>
        <v>0</v>
      </c>
      <c r="I103" s="177">
        <f>_xll.Get_Balance(I$83,"PTD","USD","Total","A","","001","557165","ED","AN","DL")</f>
        <v>0</v>
      </c>
      <c r="J103" s="177">
        <f>_xll.Get_Balance(J$83,"PTD","USD","Total","A","","001","557165","ED","AN","DL")</f>
        <v>0</v>
      </c>
      <c r="K103" s="177">
        <f>_xll.Get_Balance(K$83,"PTD","USD","Total","A","","001","557165","ED","AN","DL")</f>
        <v>0</v>
      </c>
      <c r="L103" s="177">
        <f>_xll.Get_Balance(L$83,"PTD","USD","Total","A","","001","557165","ED","AN","DL")</f>
        <v>0</v>
      </c>
      <c r="M103" s="177">
        <f>_xll.Get_Balance(M$83,"PTD","USD","Total","A","","001","557165","ED","AN","DL")</f>
        <v>0</v>
      </c>
      <c r="N103" s="177">
        <f>_xll.Get_Balance(N$83,"PTD","USD","Total","A","","001","557165","ED","AN","DL")</f>
        <v>0</v>
      </c>
      <c r="O103" s="177">
        <f>_xll.Get_Balance(O$83,"PTD","USD","Total","A","","001","557165","ED","AN","DL")</f>
        <v>0</v>
      </c>
      <c r="P103" s="177">
        <f>_xll.Get_Balance(P$83,"PTD","USD","Total","A","","001","557165","ED","AN","DL")</f>
        <v>0</v>
      </c>
      <c r="Q103" s="410"/>
      <c r="R103" s="411"/>
    </row>
    <row r="104" spans="1:18">
      <c r="A104" s="274">
        <f>A103+1</f>
        <v>59</v>
      </c>
      <c r="B104" s="273" t="s">
        <v>473</v>
      </c>
      <c r="C104" s="71" t="s">
        <v>474</v>
      </c>
      <c r="D104" s="390">
        <f>SUM(E104:P104)</f>
        <v>10514</v>
      </c>
      <c r="E104" s="177">
        <f>_xll.Get_Balance(E$83,"PTD","USD","Total","A","","001","557018","ED","AN","DL")</f>
        <v>3619</v>
      </c>
      <c r="F104" s="177">
        <f>_xll.Get_Balance(F$83,"PTD","USD","Total","A","","001","557018","ED","AN","DL")</f>
        <v>3280</v>
      </c>
      <c r="G104" s="177">
        <f>_xll.Get_Balance(G$83,"PTD","USD","Total","A","","001","557018","ED","AN","DL")</f>
        <v>3615</v>
      </c>
      <c r="H104" s="177">
        <f>_xll.Get_Balance(H$83,"PTD","USD","Total","A","","001","557018","ED","AN","DL")</f>
        <v>0</v>
      </c>
      <c r="I104" s="177">
        <f>_xll.Get_Balance(I$83,"PTD","USD","Total","A","","001","557018","ED","AN","DL")</f>
        <v>0</v>
      </c>
      <c r="J104" s="177">
        <f>_xll.Get_Balance(J$83,"PTD","USD","Total","A","","001","557018","ED","AN","DL")</f>
        <v>0</v>
      </c>
      <c r="K104" s="177">
        <f>_xll.Get_Balance(K$83,"PTD","USD","Total","A","","001","557018","ED","AN","DL")</f>
        <v>0</v>
      </c>
      <c r="L104" s="177">
        <f>_xll.Get_Balance(L$83,"PTD","USD","Total","A","","001","557018","ED","AN","DL")</f>
        <v>0</v>
      </c>
      <c r="M104" s="177">
        <f>_xll.Get_Balance(M$83,"PTD","USD","Total","A","","001","557018","ED","AN","DL")</f>
        <v>0</v>
      </c>
      <c r="N104" s="177">
        <f>_xll.Get_Balance(N$83,"PTD","USD","Total","A","","001","557018","ED","AN","DL")</f>
        <v>0</v>
      </c>
      <c r="O104" s="177">
        <f>_xll.Get_Balance(O$83,"PTD","USD","Total","A","","001","557018","ED","AN","DL")</f>
        <v>0</v>
      </c>
      <c r="P104" s="177">
        <f>_xll.Get_Balance(P$83,"PTD","USD","Total","A","","001","557018","ED","AN","DL")</f>
        <v>0</v>
      </c>
      <c r="Q104" s="410"/>
      <c r="R104" s="411"/>
    </row>
    <row r="105" spans="1:18" s="185" customFormat="1" ht="20.25" customHeight="1">
      <c r="A105" s="274">
        <f>A104+1</f>
        <v>60</v>
      </c>
      <c r="B105" s="266" t="s">
        <v>438</v>
      </c>
      <c r="C105" s="266"/>
      <c r="D105" s="202">
        <f>D101+D102+D103+D104</f>
        <v>158844</v>
      </c>
      <c r="E105" s="202">
        <f>E101+E102+E103+E104</f>
        <v>64248</v>
      </c>
      <c r="F105" s="202">
        <f t="shared" ref="F105:P105" si="30">F101+F102+F103+F104</f>
        <v>38145</v>
      </c>
      <c r="G105" s="202">
        <f t="shared" si="30"/>
        <v>56451</v>
      </c>
      <c r="H105" s="202">
        <f t="shared" si="30"/>
        <v>0</v>
      </c>
      <c r="I105" s="202">
        <f t="shared" si="30"/>
        <v>0</v>
      </c>
      <c r="J105" s="202">
        <f t="shared" si="30"/>
        <v>0</v>
      </c>
      <c r="K105" s="202">
        <f t="shared" si="30"/>
        <v>0</v>
      </c>
      <c r="L105" s="202">
        <f t="shared" si="30"/>
        <v>0</v>
      </c>
      <c r="M105" s="202">
        <f t="shared" si="30"/>
        <v>0</v>
      </c>
      <c r="N105" s="202">
        <f t="shared" si="30"/>
        <v>0</v>
      </c>
      <c r="O105" s="202">
        <f t="shared" si="30"/>
        <v>0</v>
      </c>
      <c r="P105" s="202">
        <f t="shared" si="30"/>
        <v>0</v>
      </c>
      <c r="Q105" s="413"/>
      <c r="R105" s="414"/>
    </row>
    <row r="106" spans="1:18" ht="9" customHeight="1">
      <c r="A106" s="274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410"/>
      <c r="R106" s="411"/>
    </row>
    <row r="107" spans="1:18">
      <c r="A107" s="274"/>
      <c r="B107" s="141" t="s">
        <v>190</v>
      </c>
      <c r="C107" s="141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410"/>
      <c r="R107" s="411"/>
    </row>
    <row r="108" spans="1:18">
      <c r="A108" s="274">
        <f>A105+1</f>
        <v>61</v>
      </c>
      <c r="B108" s="71" t="s">
        <v>214</v>
      </c>
      <c r="D108" s="390">
        <f>SUM(E108:P108)</f>
        <v>4106778</v>
      </c>
      <c r="E108" s="175">
        <f>_xll.Get_Balance(E$83,"PTD","USD","Total","A","","001","557010","ED","AN","DL")</f>
        <v>1083619</v>
      </c>
      <c r="F108" s="175">
        <f>_xll.Get_Balance(F$83,"PTD","USD","Total","A","","001","557010","ED","AN","DL")</f>
        <v>1645941</v>
      </c>
      <c r="G108" s="175">
        <f>_xll.Get_Balance(G$83,"PTD","USD","Total","A","","001","557010","ED","AN","DL")</f>
        <v>1377218</v>
      </c>
      <c r="H108" s="175">
        <f>_xll.Get_Balance(H$83,"PTD","USD","Total","A","","001","557010","ED","AN","DL")</f>
        <v>0</v>
      </c>
      <c r="I108" s="175">
        <f>_xll.Get_Balance(I$83,"PTD","USD","Total","A","","001","557010","ED","AN","DL")</f>
        <v>0</v>
      </c>
      <c r="J108" s="175">
        <f>_xll.Get_Balance(J$83,"PTD","USD","Total","A","","001","557010","ED","AN","DL")</f>
        <v>0</v>
      </c>
      <c r="K108" s="175">
        <f>_xll.Get_Balance(K$83,"PTD","USD","Total","A","","001","557010","ED","AN","DL")</f>
        <v>0</v>
      </c>
      <c r="L108" s="175">
        <f>_xll.Get_Balance(L$83,"PTD","USD","Total","A","","001","557010","ED","AN","DL")</f>
        <v>0</v>
      </c>
      <c r="M108" s="175">
        <f>_xll.Get_Balance(M$83,"PTD","USD","Total","A","","001","557010","ED","AN","DL")</f>
        <v>0</v>
      </c>
      <c r="N108" s="175">
        <f>_xll.Get_Balance(N$83,"PTD","USD","Total","A","","001","557010","ED","AN","DL")</f>
        <v>0</v>
      </c>
      <c r="O108" s="175">
        <f>_xll.Get_Balance(O$83,"PTD","USD","Total","A","","001","557010","ED","AN","DL")</f>
        <v>0</v>
      </c>
      <c r="P108" s="175">
        <f>_xll.Get_Balance(P$83,"PTD","USD","Total","A","","001","557010","ED","AN","DL")</f>
        <v>0</v>
      </c>
      <c r="Q108" s="410"/>
      <c r="R108" s="411">
        <f t="shared" ref="R108:R118" si="31">SUM(E108:P108)</f>
        <v>4106778</v>
      </c>
    </row>
    <row r="109" spans="1:18">
      <c r="A109" s="274">
        <f>A108+1</f>
        <v>62</v>
      </c>
      <c r="B109" s="71" t="s">
        <v>183</v>
      </c>
      <c r="D109" s="390">
        <f t="shared" ref="D109:D118" si="32">SUM(E109:P109)</f>
        <v>-2463231</v>
      </c>
      <c r="E109" s="175">
        <f>_xll.Get_Balance(E$83,"PTD","USD","Total","A","","001","557150","ED","AN","DL")</f>
        <v>-2490169</v>
      </c>
      <c r="F109" s="175">
        <f>_xll.Get_Balance(F$83,"PTD","USD","Total","A","","001","557150","ED","AN","DL")</f>
        <v>-336824</v>
      </c>
      <c r="G109" s="175">
        <f>_xll.Get_Balance(G$83,"PTD","USD","Total","A","","001","557150","ED","AN","DL")</f>
        <v>363762</v>
      </c>
      <c r="H109" s="175">
        <f>_xll.Get_Balance(H$83,"PTD","USD","Total","A","","001","557150","ED","AN","DL")</f>
        <v>0</v>
      </c>
      <c r="I109" s="175">
        <f>_xll.Get_Balance(I$83,"PTD","USD","Total","A","","001","557150","ED","AN","DL")</f>
        <v>0</v>
      </c>
      <c r="J109" s="175">
        <f>_xll.Get_Balance(J$83,"PTD","USD","Total","A","","001","557150","ED","AN","DL")</f>
        <v>0</v>
      </c>
      <c r="K109" s="175">
        <f>_xll.Get_Balance(K$83,"PTD","USD","Total","A","","001","557150","ED","AN","DL")</f>
        <v>0</v>
      </c>
      <c r="L109" s="175">
        <f>_xll.Get_Balance(L$83,"PTD","USD","Total","A","","001","557150","ED","AN","DL")</f>
        <v>0</v>
      </c>
      <c r="M109" s="175">
        <f>_xll.Get_Balance(M$83,"PTD","USD","Total","A","","001","557150","ED","AN","DL")</f>
        <v>0</v>
      </c>
      <c r="N109" s="175">
        <f>_xll.Get_Balance(N$83,"PTD","USD","Total","A","","001","557150","ED","AN","DL")</f>
        <v>0</v>
      </c>
      <c r="O109" s="175">
        <f>_xll.Get_Balance(O$83,"PTD","USD","Total","A","","001","557150","ED","AN","DL")</f>
        <v>0</v>
      </c>
      <c r="P109" s="175">
        <f>_xll.Get_Balance(P$83,"PTD","USD","Total","A","","001","557150","ED","AN","DL")</f>
        <v>0</v>
      </c>
      <c r="Q109" s="410"/>
      <c r="R109" s="411">
        <f t="shared" si="31"/>
        <v>-2463231</v>
      </c>
    </row>
    <row r="110" spans="1:18">
      <c r="A110" s="274">
        <f t="shared" ref="A110:A118" si="33">A109+1</f>
        <v>63</v>
      </c>
      <c r="B110" s="71" t="s">
        <v>184</v>
      </c>
      <c r="D110" s="390">
        <f t="shared" si="32"/>
        <v>668193</v>
      </c>
      <c r="E110" s="175">
        <f>_xll.Get_Balance(E$83,"PTD","USD","Total","A","","001","557700","ED","AN","DL")</f>
        <v>414178</v>
      </c>
      <c r="F110" s="175">
        <f>_xll.Get_Balance(F$83,"PTD","USD","Total","A","","001","557700","ED","AN","DL")</f>
        <v>204400</v>
      </c>
      <c r="G110" s="175">
        <f>_xll.Get_Balance(G$83,"PTD","USD","Total","A","","001","557700","ED","AN","DL")</f>
        <v>49615</v>
      </c>
      <c r="H110" s="175">
        <f>_xll.Get_Balance(H$83,"PTD","USD","Total","A","","001","557700","ED","AN","DL")</f>
        <v>0</v>
      </c>
      <c r="I110" s="175">
        <f>_xll.Get_Balance(I$83,"PTD","USD","Total","A","","001","557700","ED","AN","DL")</f>
        <v>0</v>
      </c>
      <c r="J110" s="175">
        <f>_xll.Get_Balance(J$83,"PTD","USD","Total","A","","001","557700","ED","AN","DL")</f>
        <v>0</v>
      </c>
      <c r="K110" s="175">
        <f>_xll.Get_Balance(K$83,"PTD","USD","Total","A","","001","557700","ED","AN","DL")</f>
        <v>0</v>
      </c>
      <c r="L110" s="175">
        <f>_xll.Get_Balance(L$83,"PTD","USD","Total","A","","001","557700","ED","AN","DL")</f>
        <v>0</v>
      </c>
      <c r="M110" s="175">
        <f>_xll.Get_Balance(M$83,"PTD","USD","Total","A","","001","557700","ED","AN","DL")</f>
        <v>0</v>
      </c>
      <c r="N110" s="175">
        <f>_xll.Get_Balance(N$83,"PTD","USD","Total","A","","001","557700","ED","AN","DL")</f>
        <v>0</v>
      </c>
      <c r="O110" s="175">
        <f>_xll.Get_Balance(O$83,"PTD","USD","Total","A","","001","557700","ED","AN","DL")</f>
        <v>0</v>
      </c>
      <c r="P110" s="175">
        <f>_xll.Get_Balance(P$83,"PTD","USD","Total","A","","001","557700","ED","AN","DL")</f>
        <v>0</v>
      </c>
      <c r="Q110" s="410"/>
      <c r="R110" s="411">
        <f t="shared" si="31"/>
        <v>668193</v>
      </c>
    </row>
    <row r="111" spans="1:18">
      <c r="A111" s="274">
        <f t="shared" si="33"/>
        <v>64</v>
      </c>
      <c r="B111" s="52" t="s">
        <v>224</v>
      </c>
      <c r="C111" s="52"/>
      <c r="D111" s="390">
        <f t="shared" si="32"/>
        <v>-668193</v>
      </c>
      <c r="E111" s="175">
        <f>_xll.Get_Balance(E$83,"PTD","USD","Total","A","","001","557711","ED","AN","DL")</f>
        <v>-414178</v>
      </c>
      <c r="F111" s="175">
        <f>_xll.Get_Balance(F$83,"PTD","USD","Total","A","","001","557711","ED","AN","DL")</f>
        <v>-204400</v>
      </c>
      <c r="G111" s="175">
        <f>_xll.Get_Balance(G$83,"PTD","USD","Total","A","","001","557711","ED","AN","DL")</f>
        <v>-49615</v>
      </c>
      <c r="H111" s="175">
        <f>_xll.Get_Balance(H$83,"PTD","USD","Total","A","","001","557711","ED","AN","DL")</f>
        <v>0</v>
      </c>
      <c r="I111" s="175">
        <f>_xll.Get_Balance(I$83,"PTD","USD","Total","A","","001","557711","ED","AN","DL")</f>
        <v>0</v>
      </c>
      <c r="J111" s="175">
        <f>_xll.Get_Balance(J$83,"PTD","USD","Total","A","","001","557711","ED","AN","DL")</f>
        <v>0</v>
      </c>
      <c r="K111" s="175">
        <f>_xll.Get_Balance(K$83,"PTD","USD","Total","A","","001","557711","ED","AN","DL")</f>
        <v>0</v>
      </c>
      <c r="L111" s="175">
        <f>_xll.Get_Balance(L$83,"PTD","USD","Total","A","","001","557711","ED","AN","DL")</f>
        <v>0</v>
      </c>
      <c r="M111" s="175">
        <f>_xll.Get_Balance(M$83,"PTD","USD","Total","A","","001","557711","ED","AN","DL")</f>
        <v>0</v>
      </c>
      <c r="N111" s="175">
        <f>_xll.Get_Balance(N$83,"PTD","USD","Total","A","","001","557711","ED","AN","DL")</f>
        <v>0</v>
      </c>
      <c r="O111" s="175">
        <f>_xll.Get_Balance(O$83,"PTD","USD","Total","A","","001","557711","ED","AN","DL")</f>
        <v>0</v>
      </c>
      <c r="P111" s="175">
        <f>_xll.Get_Balance(P$83,"PTD","USD","Total","A","","001","557711","ED","AN","DL")</f>
        <v>0</v>
      </c>
      <c r="Q111" s="410"/>
      <c r="R111" s="411">
        <f>SUM(E111:P111)</f>
        <v>-668193</v>
      </c>
    </row>
    <row r="112" spans="1:18">
      <c r="A112" s="274">
        <f t="shared" si="33"/>
        <v>65</v>
      </c>
      <c r="B112" s="71" t="s">
        <v>219</v>
      </c>
      <c r="D112" s="390">
        <f t="shared" si="32"/>
        <v>10314423</v>
      </c>
      <c r="E112" s="175">
        <f>_xll.Get_Balance(E$83,"PTD","USD","Total","A","","001","557730","ED","AN","DL")</f>
        <v>5812837</v>
      </c>
      <c r="F112" s="175">
        <f>_xll.Get_Balance(F$83,"PTD","USD","Total","A","","001","557730","ED","AN","DL")</f>
        <v>2658645</v>
      </c>
      <c r="G112" s="175">
        <f>_xll.Get_Balance(G$83,"PTD","USD","Total","A","","001","557730","ED","AN","DL")</f>
        <v>1842941</v>
      </c>
      <c r="H112" s="175">
        <f>_xll.Get_Balance(H$83,"PTD","USD","Total","A","","001","557730","ED","AN","DL")</f>
        <v>0</v>
      </c>
      <c r="I112" s="175">
        <f>_xll.Get_Balance(I$83,"PTD","USD","Total","A","","001","557730","ED","AN","DL")</f>
        <v>0</v>
      </c>
      <c r="J112" s="175">
        <f>_xll.Get_Balance(J$83,"PTD","USD","Total","A","","001","557730","ED","AN","DL")</f>
        <v>0</v>
      </c>
      <c r="K112" s="175">
        <f>_xll.Get_Balance(K$83,"PTD","USD","Total","A","","001","557730","ED","AN","DL")</f>
        <v>0</v>
      </c>
      <c r="L112" s="175">
        <f>_xll.Get_Balance(L$83,"PTD","USD","Total","A","","001","557730","ED","AN","DL")</f>
        <v>0</v>
      </c>
      <c r="M112" s="175">
        <f>_xll.Get_Balance(M$83,"PTD","USD","Total","A","","001","557730","ED","AN","DL")</f>
        <v>0</v>
      </c>
      <c r="N112" s="175">
        <f>_xll.Get_Balance(N$83,"PTD","USD","Total","A","","001","557730","ED","AN","DL")</f>
        <v>0</v>
      </c>
      <c r="O112" s="175">
        <f>_xll.Get_Balance(O$83,"PTD","USD","Total","A","","001","557730","ED","AN","DL")</f>
        <v>0</v>
      </c>
      <c r="P112" s="175">
        <f>_xll.Get_Balance(P$83,"PTD","USD","Total","A","","001","557730","ED","AN","DL")</f>
        <v>0</v>
      </c>
      <c r="Q112" s="410"/>
      <c r="R112" s="411">
        <f t="shared" si="31"/>
        <v>10314423</v>
      </c>
    </row>
    <row r="113" spans="1:19">
      <c r="A113" s="274">
        <f t="shared" si="33"/>
        <v>66</v>
      </c>
      <c r="B113" s="52" t="s">
        <v>222</v>
      </c>
      <c r="C113" s="52"/>
      <c r="D113" s="390">
        <f t="shared" si="32"/>
        <v>-2161948</v>
      </c>
      <c r="E113" s="175">
        <f>_xll.Get_Balance(E$83,"PTD","USD","Total","A","","001","456010","ED","AN","DL")</f>
        <v>-168836</v>
      </c>
      <c r="F113" s="175">
        <f>_xll.Get_Balance(F$83,"PTD","USD","Total","A","","001","456010","ED","AN","DL")</f>
        <v>-1280368</v>
      </c>
      <c r="G113" s="175">
        <f>_xll.Get_Balance(G$83,"PTD","USD","Total","A","","001","456010","ED","AN","DL")</f>
        <v>-712744</v>
      </c>
      <c r="H113" s="175">
        <f>_xll.Get_Balance(H$83,"PTD","USD","Total","A","","001","456010","ED","AN","DL")</f>
        <v>0</v>
      </c>
      <c r="I113" s="175">
        <f>_xll.Get_Balance(I$83,"PTD","USD","Total","A","","001","456010","ED","AN","DL")</f>
        <v>0</v>
      </c>
      <c r="J113" s="175">
        <f>_xll.Get_Balance(J$83,"PTD","USD","Total","A","","001","456010","ED","AN","DL")</f>
        <v>0</v>
      </c>
      <c r="K113" s="175">
        <f>_xll.Get_Balance(K$83,"PTD","USD","Total","A","","001","456010","ED","AN","DL")</f>
        <v>0</v>
      </c>
      <c r="L113" s="175">
        <f>_xll.Get_Balance(L$83,"PTD","USD","Total","A","","001","456010","ED","AN","DL")</f>
        <v>0</v>
      </c>
      <c r="M113" s="175">
        <f>_xll.Get_Balance(M$83,"PTD","USD","Total","A","","001","456010","ED","AN","DL")</f>
        <v>0</v>
      </c>
      <c r="N113" s="175">
        <f>_xll.Get_Balance(N$83,"PTD","USD","Total","A","","001","456010","ED","AN","DL")</f>
        <v>0</v>
      </c>
      <c r="O113" s="175">
        <f>_xll.Get_Balance(O$83,"PTD","USD","Total","A","","001","456010","ED","AN","DL")</f>
        <v>0</v>
      </c>
      <c r="P113" s="175">
        <f>_xll.Get_Balance(P$83,"PTD","USD","Total","A","","001","456010","ED","AN","DL")</f>
        <v>0</v>
      </c>
      <c r="Q113" s="410"/>
      <c r="R113" s="411">
        <f t="shared" si="31"/>
        <v>-2161948</v>
      </c>
    </row>
    <row r="114" spans="1:19">
      <c r="A114" s="274">
        <f t="shared" si="33"/>
        <v>67</v>
      </c>
      <c r="B114" s="71" t="s">
        <v>185</v>
      </c>
      <c r="D114" s="390">
        <f t="shared" si="32"/>
        <v>-5312213</v>
      </c>
      <c r="E114" s="175">
        <f>_xll.Get_Balance(E$83,"PTD","USD","Total","A","","001","456015","ED","AN","DL")</f>
        <v>-364889</v>
      </c>
      <c r="F114" s="175">
        <f>_xll.Get_Balance(F$83,"PTD","USD","Total","A","","001","456015","ED","AN","DL")</f>
        <v>-2477540</v>
      </c>
      <c r="G114" s="175">
        <f>_xll.Get_Balance(G$83,"PTD","USD","Total","A","","001","456015","ED","AN","DL")</f>
        <v>-2469784</v>
      </c>
      <c r="H114" s="175">
        <f>_xll.Get_Balance(H$83,"PTD","USD","Total","A","","001","456015","ED","AN","DL")</f>
        <v>0</v>
      </c>
      <c r="I114" s="175">
        <f>_xll.Get_Balance(I$83,"PTD","USD","Total","A","","001","456015","ED","AN","DL")</f>
        <v>0</v>
      </c>
      <c r="J114" s="175">
        <f>_xll.Get_Balance(J$83,"PTD","USD","Total","A","","001","456015","ED","AN","DL")</f>
        <v>0</v>
      </c>
      <c r="K114" s="175">
        <f>_xll.Get_Balance(K$83,"PTD","USD","Total","A","","001","456015","ED","AN","DL")</f>
        <v>0</v>
      </c>
      <c r="L114" s="175">
        <f>_xll.Get_Balance(L$83,"PTD","USD","Total","A","","001","456015","ED","AN","DL")</f>
        <v>0</v>
      </c>
      <c r="M114" s="175">
        <f>_xll.Get_Balance(M$83,"PTD","USD","Total","A","","001","456015","ED","AN","DL")</f>
        <v>0</v>
      </c>
      <c r="N114" s="175">
        <f>_xll.Get_Balance(N$83,"PTD","USD","Total","A","","001","456015","ED","AN","DL")</f>
        <v>0</v>
      </c>
      <c r="O114" s="175">
        <f>_xll.Get_Balance(O$83,"PTD","USD","Total","A","","001","456015","ED","AN","DL")</f>
        <v>0</v>
      </c>
      <c r="P114" s="175">
        <f>_xll.Get_Balance(P$83,"PTD","USD","Total","A","","001","456015","ED","AN","DL")</f>
        <v>0</v>
      </c>
      <c r="Q114" s="410"/>
      <c r="R114" s="411">
        <f t="shared" si="31"/>
        <v>-5312213</v>
      </c>
    </row>
    <row r="115" spans="1:19">
      <c r="A115" s="274">
        <f t="shared" si="33"/>
        <v>68</v>
      </c>
      <c r="B115" s="71" t="s">
        <v>491</v>
      </c>
      <c r="D115" s="390">
        <f t="shared" si="32"/>
        <v>-182104</v>
      </c>
      <c r="E115" s="175">
        <f>_xll.Get_Balance(E$83,"PTD","USD","Total","A","","001","456018","ED","AN","DL")</f>
        <v>0</v>
      </c>
      <c r="F115" s="175">
        <f>_xll.Get_Balance(F$83,"PTD","USD","Total","A","","001","456018","ED","AN","DL")</f>
        <v>0</v>
      </c>
      <c r="G115" s="175">
        <f>_xll.Get_Balance(G$83,"PTD","USD","Total","A","","001","456018","ED","AN","DL")</f>
        <v>-182104</v>
      </c>
      <c r="H115" s="175">
        <f>_xll.Get_Balance(H$83,"PTD","USD","Total","A","","001","456018","ED","AN","DL")</f>
        <v>0</v>
      </c>
      <c r="I115" s="175">
        <f>_xll.Get_Balance(I$83,"PTD","USD","Total","A","","001","456018","ED","AN","DL")</f>
        <v>0</v>
      </c>
      <c r="J115" s="175">
        <f>_xll.Get_Balance(J$83,"PTD","USD","Total","A","","001","456018","ED","AN","DL")</f>
        <v>0</v>
      </c>
      <c r="K115" s="175">
        <f>_xll.Get_Balance(K$83,"PTD","USD","Total","A","","001","456018","ED","AN","DL")</f>
        <v>0</v>
      </c>
      <c r="L115" s="175">
        <f>_xll.Get_Balance(L$83,"PTD","USD","Total","A","","001","456018","ED","AN","DL")</f>
        <v>0</v>
      </c>
      <c r="M115" s="175">
        <f>_xll.Get_Balance(M$83,"PTD","USD","Total","A","","001","456018","ED","AN","DL")</f>
        <v>0</v>
      </c>
      <c r="N115" s="175">
        <f>_xll.Get_Balance(N$83,"PTD","USD","Total","A","","001","456018","ED","AN","DL")</f>
        <v>0</v>
      </c>
      <c r="O115" s="175">
        <f>_xll.Get_Balance(O$83,"PTD","USD","Total","A","","001","456018","ED","AN","DL")</f>
        <v>0</v>
      </c>
      <c r="P115" s="175">
        <f>_xll.Get_Balance(P$83,"PTD","USD","Total","A","","001","456018","ED","AN","DL")</f>
        <v>0</v>
      </c>
      <c r="Q115" s="410"/>
      <c r="R115" s="411"/>
    </row>
    <row r="116" spans="1:19">
      <c r="A116" s="274">
        <f t="shared" si="33"/>
        <v>69</v>
      </c>
      <c r="B116" s="71" t="s">
        <v>220</v>
      </c>
      <c r="D116" s="390">
        <f t="shared" si="32"/>
        <v>-6856424</v>
      </c>
      <c r="E116" s="175">
        <f>_xll.Get_Balance(E$83,"PTD","USD","Total","A","","001","456730","ED","AN","DL")</f>
        <v>-4514484</v>
      </c>
      <c r="F116" s="175">
        <f>_xll.Get_Balance(F$83,"PTD","USD","Total","A","","001","456730","ED","AN","DL")</f>
        <v>-1324718</v>
      </c>
      <c r="G116" s="175">
        <f>_xll.Get_Balance(G$83,"PTD","USD","Total","A","","001","456730","ED","AN","DL")</f>
        <v>-1017222</v>
      </c>
      <c r="H116" s="175">
        <f>_xll.Get_Balance(H$83,"PTD","USD","Total","A","","001","456730","ED","AN","DL")</f>
        <v>0</v>
      </c>
      <c r="I116" s="175">
        <f>_xll.Get_Balance(I$83,"PTD","USD","Total","A","","001","456730","ED","AN","DL")</f>
        <v>0</v>
      </c>
      <c r="J116" s="175">
        <f>_xll.Get_Balance(J$83,"PTD","USD","Total","A","","001","456730","ED","AN","DL")</f>
        <v>0</v>
      </c>
      <c r="K116" s="175">
        <f>_xll.Get_Balance(K$83,"PTD","USD","Total","A","","001","456730","ED","AN","DL")</f>
        <v>0</v>
      </c>
      <c r="L116" s="175">
        <f>_xll.Get_Balance(L$83,"PTD","USD","Total","A","","001","456730","ED","AN","DL")</f>
        <v>0</v>
      </c>
      <c r="M116" s="175">
        <f>_xll.Get_Balance(M$83,"PTD","USD","Total","A","","001","456730","ED","AN","DL")</f>
        <v>0</v>
      </c>
      <c r="N116" s="175">
        <f>_xll.Get_Balance(N$83,"PTD","USD","Total","A","","001","456730","ED","AN","DL")</f>
        <v>0</v>
      </c>
      <c r="O116" s="175">
        <f>_xll.Get_Balance(O$83,"PTD","USD","Total","A","","001","456730","ED","AN","DL")</f>
        <v>0</v>
      </c>
      <c r="P116" s="175">
        <f>_xll.Get_Balance(P$83,"PTD","USD","Total","A","","001","456730","ED","AN","DL")</f>
        <v>0</v>
      </c>
      <c r="Q116" s="410"/>
      <c r="R116" s="411">
        <f t="shared" si="31"/>
        <v>-6856424</v>
      </c>
    </row>
    <row r="117" spans="1:19">
      <c r="A117" s="274">
        <f t="shared" si="33"/>
        <v>70</v>
      </c>
      <c r="B117" s="52" t="s">
        <v>223</v>
      </c>
      <c r="C117" s="52"/>
      <c r="D117" s="390">
        <f t="shared" si="32"/>
        <v>453009</v>
      </c>
      <c r="E117" s="161">
        <f>_xll.Get_Balance(E$83,"PTD","USD","Total","A","","001","456711","ED","AN","DL")</f>
        <v>187589</v>
      </c>
      <c r="F117" s="161">
        <f>_xll.Get_Balance(F$83,"PTD","USD","Total","A","","001","456711","ED","AN","DL")</f>
        <v>238295</v>
      </c>
      <c r="G117" s="161">
        <f>_xll.Get_Balance(G$83,"PTD","USD","Total","A","","001","456711","ED","AN","DL")</f>
        <v>27125</v>
      </c>
      <c r="H117" s="161">
        <f>_xll.Get_Balance(H$83,"PTD","USD","Total","A","","001","456711","ED","AN","DL")</f>
        <v>0</v>
      </c>
      <c r="I117" s="161">
        <f>_xll.Get_Balance(I$83,"PTD","USD","Total","A","","001","456711","ED","AN","DL")</f>
        <v>0</v>
      </c>
      <c r="J117" s="161">
        <f>_xll.Get_Balance(J$83,"PTD","USD","Total","A","","001","456711","ED","AN","DL")</f>
        <v>0</v>
      </c>
      <c r="K117" s="161">
        <f>_xll.Get_Balance(K$83,"PTD","USD","Total","A","","001","456711","ED","AN","DL")</f>
        <v>0</v>
      </c>
      <c r="L117" s="161">
        <f>_xll.Get_Balance(L$83,"PTD","USD","Total","A","","001","456711","ED","AN","DL")</f>
        <v>0</v>
      </c>
      <c r="M117" s="161">
        <f>_xll.Get_Balance(M$83,"PTD","USD","Total","A","","001","456711","ED","AN","DL")</f>
        <v>0</v>
      </c>
      <c r="N117" s="161">
        <f>_xll.Get_Balance(N$83,"PTD","USD","Total","A","","001","456711","ED","AN","DL")</f>
        <v>0</v>
      </c>
      <c r="O117" s="161">
        <f>_xll.Get_Balance(O$83,"PTD","USD","Total","A","","001","456711","ED","AN","DL")</f>
        <v>0</v>
      </c>
      <c r="P117" s="161">
        <f>_xll.Get_Balance(P$83,"PTD","USD","Total","A","","001","456711","ED","AN","DL")</f>
        <v>0</v>
      </c>
      <c r="Q117" s="410"/>
      <c r="R117" s="415">
        <f>SUM(E117:P117)</f>
        <v>453009</v>
      </c>
    </row>
    <row r="118" spans="1:19">
      <c r="A118" s="274">
        <f t="shared" si="33"/>
        <v>71</v>
      </c>
      <c r="B118" s="261" t="s">
        <v>186</v>
      </c>
      <c r="C118" s="261"/>
      <c r="D118" s="390">
        <f t="shared" si="32"/>
        <v>-453009</v>
      </c>
      <c r="E118" s="199">
        <f>_xll.Get_Balance(E$83,"PTD","USD","Total","A","","001","456720","ED","AN","DL")</f>
        <v>-187589</v>
      </c>
      <c r="F118" s="199">
        <f>_xll.Get_Balance(F$83,"PTD","USD","Total","A","","001","456720","ED","AN","DL")</f>
        <v>-238295</v>
      </c>
      <c r="G118" s="199">
        <f>_xll.Get_Balance(G$83,"PTD","USD","Total","A","","001","456720","ED","AN","DL")</f>
        <v>-27125</v>
      </c>
      <c r="H118" s="199">
        <f>_xll.Get_Balance(H$83,"PTD","USD","Total","A","","001","456720","ED","AN","DL")</f>
        <v>0</v>
      </c>
      <c r="I118" s="199">
        <f>_xll.Get_Balance(I$83,"PTD","USD","Total","A","","001","456720","ED","AN","DL")</f>
        <v>0</v>
      </c>
      <c r="J118" s="199">
        <f>_xll.Get_Balance(J$83,"PTD","USD","Total","A","","001","456720","ED","AN","DL")</f>
        <v>0</v>
      </c>
      <c r="K118" s="199">
        <f>_xll.Get_Balance(K$83,"PTD","USD","Total","A","","001","456720","ED","AN","DL")</f>
        <v>0</v>
      </c>
      <c r="L118" s="199">
        <f>_xll.Get_Balance(L$83,"PTD","USD","Total","A","","001","456720","ED","AN","DL")</f>
        <v>0</v>
      </c>
      <c r="M118" s="199">
        <f>_xll.Get_Balance(M$83,"PTD","USD","Total","A","","001","456720","ED","AN","DL")</f>
        <v>0</v>
      </c>
      <c r="N118" s="199">
        <f>_xll.Get_Balance(N$83,"PTD","USD","Total","A","","001","456720","ED","AN","DL")</f>
        <v>0</v>
      </c>
      <c r="O118" s="199">
        <f>_xll.Get_Balance(O$83,"PTD","USD","Total","A","","001","456720","ED","AN","DL")</f>
        <v>0</v>
      </c>
      <c r="P118" s="199">
        <f>_xll.Get_Balance(P$83,"PTD","USD","Total","A","","001","456720","ED","AN","DL")</f>
        <v>0</v>
      </c>
      <c r="Q118" s="410"/>
      <c r="R118" s="412">
        <f t="shared" si="31"/>
        <v>-453009</v>
      </c>
    </row>
    <row r="119" spans="1:19" ht="22.5" customHeight="1">
      <c r="A119" s="423">
        <f>+A118+1</f>
        <v>72</v>
      </c>
      <c r="B119" s="266" t="s">
        <v>260</v>
      </c>
      <c r="C119" s="266"/>
      <c r="D119" s="202">
        <f>SUM(E119:P119)</f>
        <v>-2554719</v>
      </c>
      <c r="E119" s="173">
        <f>SUM(E108:E118)</f>
        <v>-641922</v>
      </c>
      <c r="F119" s="173">
        <f t="shared" ref="F119:P119" si="34">SUM(F108:F118)</f>
        <v>-1114864</v>
      </c>
      <c r="G119" s="173">
        <f t="shared" si="34"/>
        <v>-797933</v>
      </c>
      <c r="H119" s="173">
        <f t="shared" si="34"/>
        <v>0</v>
      </c>
      <c r="I119" s="173">
        <f t="shared" si="34"/>
        <v>0</v>
      </c>
      <c r="J119" s="173">
        <f t="shared" si="34"/>
        <v>0</v>
      </c>
      <c r="K119" s="173">
        <f t="shared" si="34"/>
        <v>0</v>
      </c>
      <c r="L119" s="173">
        <f t="shared" si="34"/>
        <v>0</v>
      </c>
      <c r="M119" s="173">
        <f t="shared" si="34"/>
        <v>0</v>
      </c>
      <c r="N119" s="173">
        <f t="shared" si="34"/>
        <v>0</v>
      </c>
      <c r="O119" s="173">
        <f t="shared" si="34"/>
        <v>0</v>
      </c>
      <c r="P119" s="173">
        <f t="shared" si="34"/>
        <v>0</v>
      </c>
      <c r="Q119" s="410"/>
      <c r="R119" s="424">
        <f>SUM(R108:R118)</f>
        <v>-2372615</v>
      </c>
    </row>
    <row r="120" spans="1:19" ht="9" customHeight="1">
      <c r="A120" s="274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410"/>
      <c r="R120" s="411"/>
    </row>
    <row r="121" spans="1:19" ht="9" customHeight="1">
      <c r="A121" s="274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410"/>
      <c r="R121" s="411"/>
    </row>
    <row r="122" spans="1:19">
      <c r="A122" s="274">
        <f>A119+1</f>
        <v>73</v>
      </c>
      <c r="B122" s="268" t="s">
        <v>352</v>
      </c>
      <c r="C122" s="268"/>
      <c r="D122" s="303">
        <f>SUM(E122:P122)</f>
        <v>176</v>
      </c>
      <c r="E122" s="217">
        <f>_xll.Get_Balance(E$83,"PTD","USD","Total","A","","001","557160","ED","AN","DL")</f>
        <v>0</v>
      </c>
      <c r="F122" s="217">
        <f>_xll.Get_Balance(F$83,"PTD","USD","Total","A","","001","557160","ED","AN","DL")</f>
        <v>0</v>
      </c>
      <c r="G122" s="217">
        <f>_xll.Get_Balance(G$83,"PTD","USD","Total","A","","001","557160","ED","AN","DL")</f>
        <v>176</v>
      </c>
      <c r="H122" s="217">
        <f>_xll.Get_Balance(H$83,"PTD","USD","Total","A","","001","557160","ED","AN","DL")</f>
        <v>0</v>
      </c>
      <c r="I122" s="217">
        <f>_xll.Get_Balance(I$83,"PTD","USD","Total","A","","001","557160","ED","AN","DL")</f>
        <v>0</v>
      </c>
      <c r="J122" s="217">
        <f>_xll.Get_Balance(J$83,"PTD","USD","Total","A","","001","557160","ED","AN","DL")</f>
        <v>0</v>
      </c>
      <c r="K122" s="217">
        <f>_xll.Get_Balance(K$83,"PTD","USD","Total","A","","001","557160","ED","AN","DL")</f>
        <v>0</v>
      </c>
      <c r="L122" s="217">
        <f>_xll.Get_Balance(L$83,"PTD","USD","Total","A","","001","557160","ED","AN","DL")</f>
        <v>0</v>
      </c>
      <c r="M122" s="217">
        <f>_xll.Get_Balance(M$83,"PTD","USD","Total","A","","001","557160","ED","AN","DL")</f>
        <v>0</v>
      </c>
      <c r="N122" s="217">
        <f>_xll.Get_Balance(N$83,"PTD","USD","Total","A","","001","557160","ED","AN","DL")</f>
        <v>0</v>
      </c>
      <c r="O122" s="217">
        <f>_xll.Get_Balance(O$83,"PTD","USD","Total","A","","001","557160","ED","AN","DL")</f>
        <v>0</v>
      </c>
      <c r="P122" s="217">
        <f>_xll.Get_Balance(P$83,"PTD","USD","Total","A","","001","557160","ED","AN","DL")</f>
        <v>0</v>
      </c>
      <c r="Q122" s="410"/>
      <c r="R122" s="415">
        <f>SUM(E122:P122)</f>
        <v>176</v>
      </c>
    </row>
    <row r="123" spans="1:19" ht="18.75" customHeight="1">
      <c r="A123" s="423">
        <f>A122+1</f>
        <v>74</v>
      </c>
      <c r="B123" s="266" t="s">
        <v>363</v>
      </c>
      <c r="C123" s="266"/>
      <c r="D123" s="251">
        <f>SUM(E123:P123)</f>
        <v>176</v>
      </c>
      <c r="E123" s="172">
        <f>IF(E23=0," ",E122)</f>
        <v>0</v>
      </c>
      <c r="F123" s="172">
        <f t="shared" ref="F123:P123" si="35">IF(F23=0," ",F122)</f>
        <v>0</v>
      </c>
      <c r="G123" s="172">
        <f t="shared" si="35"/>
        <v>176</v>
      </c>
      <c r="H123" s="172" t="str">
        <f t="shared" si="35"/>
        <v xml:space="preserve"> </v>
      </c>
      <c r="I123" s="172" t="str">
        <f t="shared" si="35"/>
        <v xml:space="preserve"> </v>
      </c>
      <c r="J123" s="172" t="str">
        <f t="shared" si="35"/>
        <v xml:space="preserve"> </v>
      </c>
      <c r="K123" s="172" t="str">
        <f t="shared" si="35"/>
        <v xml:space="preserve"> </v>
      </c>
      <c r="L123" s="172" t="str">
        <f t="shared" si="35"/>
        <v xml:space="preserve"> </v>
      </c>
      <c r="M123" s="172" t="str">
        <f t="shared" si="35"/>
        <v xml:space="preserve"> </v>
      </c>
      <c r="N123" s="172" t="str">
        <f t="shared" si="35"/>
        <v xml:space="preserve"> </v>
      </c>
      <c r="O123" s="172" t="str">
        <f t="shared" si="35"/>
        <v xml:space="preserve"> </v>
      </c>
      <c r="P123" s="172" t="str">
        <f t="shared" si="35"/>
        <v xml:space="preserve"> </v>
      </c>
      <c r="Q123" s="410"/>
      <c r="R123" s="411">
        <f>SUM(E123:P123)</f>
        <v>176</v>
      </c>
    </row>
    <row r="124" spans="1:19" ht="9" customHeight="1">
      <c r="A124" s="274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410"/>
      <c r="R124" s="411"/>
    </row>
    <row r="125" spans="1:19" ht="9" customHeight="1">
      <c r="A125" s="274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410"/>
      <c r="R125" s="411"/>
    </row>
    <row r="126" spans="1:19">
      <c r="A126" s="274">
        <f>A123+1</f>
        <v>75</v>
      </c>
      <c r="B126" s="263" t="s">
        <v>218</v>
      </c>
      <c r="C126" s="263"/>
      <c r="D126" s="217">
        <f>SUM(E126:P126)</f>
        <v>0</v>
      </c>
      <c r="E126" s="425">
        <v>0</v>
      </c>
      <c r="F126" s="425">
        <v>0</v>
      </c>
      <c r="G126" s="425">
        <v>0</v>
      </c>
      <c r="H126" s="425">
        <v>0</v>
      </c>
      <c r="I126" s="425">
        <v>0</v>
      </c>
      <c r="J126" s="425">
        <v>0</v>
      </c>
      <c r="K126" s="425">
        <v>0</v>
      </c>
      <c r="L126" s="425">
        <v>0</v>
      </c>
      <c r="M126" s="425">
        <v>0</v>
      </c>
      <c r="N126" s="425">
        <v>0</v>
      </c>
      <c r="O126" s="425">
        <v>0</v>
      </c>
      <c r="P126" s="425">
        <v>0</v>
      </c>
      <c r="Q126" s="410"/>
      <c r="R126" s="411">
        <f>SUM(E126:P126)</f>
        <v>0</v>
      </c>
      <c r="S126" s="208" t="s">
        <v>30</v>
      </c>
    </row>
    <row r="127" spans="1:19">
      <c r="A127" s="275">
        <f>A126+1</f>
        <v>76</v>
      </c>
      <c r="B127" s="269" t="s">
        <v>229</v>
      </c>
      <c r="C127" s="269"/>
      <c r="D127" s="251">
        <f>SUM(E127:P127)</f>
        <v>59</v>
      </c>
      <c r="E127" s="181">
        <f>_xll.Get_Balance(E$83,"PTD","USD","Total","A","","001","557395","ED","AN","DL")</f>
        <v>10</v>
      </c>
      <c r="F127" s="181">
        <f>_xll.Get_Balance(F$83,"PTD","USD","Total","A","","001","557395","ED","AN","DL")</f>
        <v>15</v>
      </c>
      <c r="G127" s="181">
        <f>_xll.Get_Balance(G$83,"PTD","USD","Total","A","","001","557395","ED","AN","DL")</f>
        <v>34</v>
      </c>
      <c r="H127" s="181">
        <f>_xll.Get_Balance(H$83,"PTD","USD","Total","A","","001","557395","ED","AN","DL")</f>
        <v>0</v>
      </c>
      <c r="I127" s="181">
        <f>_xll.Get_Balance(I$83,"PTD","USD","Total","A","","001","557395","ED","AN","DL")</f>
        <v>0</v>
      </c>
      <c r="J127" s="181">
        <f>_xll.Get_Balance(J$83,"PTD","USD","Total","A","","001","557395","ED","AN","DL")</f>
        <v>0</v>
      </c>
      <c r="K127" s="181">
        <f>_xll.Get_Balance(K$83,"PTD","USD","Total","A","","001","557395","ED","AN","DL")</f>
        <v>0</v>
      </c>
      <c r="L127" s="181">
        <f>_xll.Get_Balance(L$83,"PTD","USD","Total","A","","001","557395","ED","AN","DL")</f>
        <v>0</v>
      </c>
      <c r="M127" s="181">
        <f>_xll.Get_Balance(M$83,"PTD","USD","Total","A","","001","557395","ED","AN","DL")</f>
        <v>0</v>
      </c>
      <c r="N127" s="181">
        <f>_xll.Get_Balance(N$83,"PTD","USD","Total","A","","001","557395","ED","AN","DL")</f>
        <v>0</v>
      </c>
      <c r="O127" s="181">
        <f>_xll.Get_Balance(O$83,"PTD","USD","Total","A","","001","557395","ED","AN","DL")</f>
        <v>0</v>
      </c>
      <c r="P127" s="181">
        <f>_xll.Get_Balance(P$83,"PTD","USD","Total","A","","001","557395","ED","AN","DL")</f>
        <v>0</v>
      </c>
      <c r="Q127" s="410"/>
      <c r="R127" s="412">
        <f>SUM(E127:P127)</f>
        <v>59</v>
      </c>
    </row>
    <row r="128" spans="1:19" ht="17.25" customHeight="1">
      <c r="A128" s="274">
        <f>A127+1</f>
        <v>77</v>
      </c>
      <c r="B128" s="270" t="s">
        <v>230</v>
      </c>
      <c r="C128" s="270"/>
      <c r="D128" s="182">
        <f>SUM(E128:P128)</f>
        <v>59</v>
      </c>
      <c r="E128" s="182">
        <f>E127-E126</f>
        <v>10</v>
      </c>
      <c r="F128" s="182">
        <f t="shared" ref="F128:P128" si="36">F127-F126</f>
        <v>15</v>
      </c>
      <c r="G128" s="182">
        <f t="shared" si="36"/>
        <v>34</v>
      </c>
      <c r="H128" s="182">
        <f t="shared" si="36"/>
        <v>0</v>
      </c>
      <c r="I128" s="182">
        <f t="shared" si="36"/>
        <v>0</v>
      </c>
      <c r="J128" s="182">
        <f t="shared" si="36"/>
        <v>0</v>
      </c>
      <c r="K128" s="182">
        <f t="shared" si="36"/>
        <v>0</v>
      </c>
      <c r="L128" s="182">
        <f t="shared" si="36"/>
        <v>0</v>
      </c>
      <c r="M128" s="182">
        <f t="shared" si="36"/>
        <v>0</v>
      </c>
      <c r="N128" s="182">
        <f t="shared" si="36"/>
        <v>0</v>
      </c>
      <c r="O128" s="182">
        <f t="shared" si="36"/>
        <v>0</v>
      </c>
      <c r="P128" s="182">
        <f t="shared" si="36"/>
        <v>0</v>
      </c>
      <c r="Q128" s="410"/>
      <c r="R128" s="411">
        <f>SUM(E128:P128)</f>
        <v>59</v>
      </c>
    </row>
    <row r="129" spans="1:19" ht="17.25" customHeight="1">
      <c r="A129" s="274"/>
      <c r="B129" s="270"/>
      <c r="C129" s="270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410"/>
      <c r="R129" s="411"/>
    </row>
    <row r="130" spans="1:19">
      <c r="A130" s="274">
        <f>A128+1</f>
        <v>78</v>
      </c>
      <c r="B130" s="263" t="s">
        <v>434</v>
      </c>
      <c r="C130" s="263"/>
      <c r="D130" s="217">
        <f>SUM(E130:P130)</f>
        <v>0</v>
      </c>
      <c r="E130" s="200">
        <f>_xll.Get_Balance(E$83,"PTD","USD","Total","A","","001","557160","ED","WA","DL")</f>
        <v>0</v>
      </c>
      <c r="F130" s="200">
        <f>_xll.Get_Balance(F$83,"PTD","USD","Total","A","","001","557160","ED","WA","DL")</f>
        <v>0</v>
      </c>
      <c r="G130" s="200">
        <f>_xll.Get_Balance(G$83,"PTD","USD","Total","A","","001","557160","ED","WA","DL")*0</f>
        <v>0</v>
      </c>
      <c r="H130" s="200">
        <f>_xll.Get_Balance(H$83,"PTD","USD","Total","A","","001","557160","ED","WA","DL")</f>
        <v>0</v>
      </c>
      <c r="I130" s="200">
        <f>_xll.Get_Balance(I$83,"PTD","USD","Total","A","","001","557160","ED","WA","DL")</f>
        <v>0</v>
      </c>
      <c r="J130" s="200">
        <f>_xll.Get_Balance(J$83,"PTD","USD","Total","A","","001","557160","ED","WA","DL")*0</f>
        <v>0</v>
      </c>
      <c r="K130" s="200">
        <f>_xll.Get_Balance(K$83,"PTD","USD","Total","A","","001","557160","ED","WA","DL")</f>
        <v>0</v>
      </c>
      <c r="L130" s="200">
        <f>_xll.Get_Balance(L$83,"PTD","USD","Total","A","","001","557160","ED","WA","DL")</f>
        <v>0</v>
      </c>
      <c r="M130" s="200">
        <f>_xll.Get_Balance(M$83,"PTD","USD","Total","A","","001","557160","ED","WA","DL")</f>
        <v>0</v>
      </c>
      <c r="N130" s="200">
        <f>_xll.Get_Balance(N$83,"PTD","USD","Total","A","","001","557160","ED","WA","DL")</f>
        <v>0</v>
      </c>
      <c r="O130" s="200">
        <f>_xll.Get_Balance(O$83,"PTD","USD","Total","A","","001","557160","ED","WA","DL")</f>
        <v>0</v>
      </c>
      <c r="P130" s="200">
        <f>_xll.Get_Balance(P$83,"PTD","USD","Total","A","","001","557160","ED","WA","DL")</f>
        <v>0</v>
      </c>
      <c r="Q130" s="410"/>
      <c r="R130" s="411">
        <f>SUM(E130:P130)</f>
        <v>0</v>
      </c>
      <c r="S130" s="208" t="s">
        <v>30</v>
      </c>
    </row>
    <row r="131" spans="1:19">
      <c r="A131" s="274">
        <f>A130+1</f>
        <v>79</v>
      </c>
      <c r="B131" s="263" t="s">
        <v>435</v>
      </c>
      <c r="C131" s="263"/>
      <c r="D131" s="217">
        <f>SUM(E131:P131)</f>
        <v>0</v>
      </c>
      <c r="E131" s="200">
        <f>_xll.Get_Balance(E$83,"PTD","USD","Total","A","","001","557170","ED","WA","DL")</f>
        <v>0</v>
      </c>
      <c r="F131" s="200">
        <f>_xll.Get_Balance(F$83,"PTD","USD","Total","A","","001","557170","ED","WA","DL")</f>
        <v>0</v>
      </c>
      <c r="G131" s="200">
        <f>_xll.Get_Balance(G$83,"PTD","USD","Total","A","","001","557170","ED","WA","DL")</f>
        <v>0</v>
      </c>
      <c r="H131" s="200">
        <f>_xll.Get_Balance(H$83,"PTD","USD","Total","A","","001","557170","ED","WA","DL")</f>
        <v>0</v>
      </c>
      <c r="I131" s="200">
        <f>_xll.Get_Balance(I$83,"PTD","USD","Total","A","","001","557170","ED","WA","DL")</f>
        <v>0</v>
      </c>
      <c r="J131" s="200">
        <f>_xll.Get_Balance(J$83,"PTD","USD","Total","A","","001","557170","ED","WA","DL")</f>
        <v>0</v>
      </c>
      <c r="K131" s="200">
        <f>_xll.Get_Balance(K$83,"PTD","USD","Total","A","","001","557170","ED","WA","DL")</f>
        <v>0</v>
      </c>
      <c r="L131" s="200">
        <f>_xll.Get_Balance(L$83,"PTD","USD","Total","A","","001","557170","ED","WA","DL")</f>
        <v>0</v>
      </c>
      <c r="M131" s="200">
        <f>_xll.Get_Balance(M$83,"PTD","USD","Total","A","","001","557170","ED","WA","DL")</f>
        <v>0</v>
      </c>
      <c r="N131" s="200">
        <f>_xll.Get_Balance(N$83,"PTD","USD","Total","A","","001","557170","ED","WA","DL")</f>
        <v>0</v>
      </c>
      <c r="O131" s="200">
        <f>_xll.Get_Balance(O$83,"PTD","USD","Total","A","","001","557170","ED","WA","DL")</f>
        <v>0</v>
      </c>
      <c r="P131" s="200">
        <f>_xll.Get_Balance(P$83,"PTD","USD","Total","A","","001","557170","ED","WA","DL")</f>
        <v>0</v>
      </c>
      <c r="Q131" s="410"/>
      <c r="R131" s="411"/>
      <c r="S131" s="208"/>
    </row>
    <row r="132" spans="1:19">
      <c r="A132" s="275">
        <f>A131+1</f>
        <v>80</v>
      </c>
      <c r="B132" s="265" t="s">
        <v>436</v>
      </c>
      <c r="C132" s="269"/>
      <c r="D132" s="251">
        <f>SUM(E132:P132)</f>
        <v>0</v>
      </c>
      <c r="E132" s="181">
        <f>_xll.Get_Balance(E$83,"PTD","USD","Total","A","","001","557171","ED","WA","DL")</f>
        <v>0</v>
      </c>
      <c r="F132" s="181">
        <f>_xll.Get_Balance(F$83,"PTD","USD","Total","A","","001","557171","ED","WA","DL")</f>
        <v>0</v>
      </c>
      <c r="G132" s="181">
        <f>_xll.Get_Balance(G$83,"PTD","USD","Total","A","","001","557171","ED","WA","DL")</f>
        <v>0</v>
      </c>
      <c r="H132" s="181">
        <f>_xll.Get_Balance(H$83,"PTD","USD","Total","A","","001","557171","ED","WA","DL")</f>
        <v>0</v>
      </c>
      <c r="I132" s="181">
        <f>_xll.Get_Balance(I$83,"PTD","USD","Total","A","","001","557171","ED","WA","DL")</f>
        <v>0</v>
      </c>
      <c r="J132" s="181">
        <f>_xll.Get_Balance(J$83,"PTD","USD","Total","A","","001","557171","ED","WA","DL")</f>
        <v>0</v>
      </c>
      <c r="K132" s="181">
        <f>_xll.Get_Balance(K$83,"PTD","USD","Total","A","","001","557171","ED","WA","DL")</f>
        <v>0</v>
      </c>
      <c r="L132" s="181">
        <f>_xll.Get_Balance(L$83,"PTD","USD","Total","A","","001","557171","ED","WA","DL")</f>
        <v>0</v>
      </c>
      <c r="M132" s="181">
        <f>_xll.Get_Balance(M$83,"PTD","USD","Total","A","","001","557171","ED","WA","DL")</f>
        <v>0</v>
      </c>
      <c r="N132" s="181">
        <f>_xll.Get_Balance(N$83,"PTD","USD","Total","A","","001","557171","ED","WA","DL")</f>
        <v>0</v>
      </c>
      <c r="O132" s="181">
        <f>_xll.Get_Balance(O$83,"PTD","USD","Total","A","","001","557171","ED","WA","DL")</f>
        <v>0</v>
      </c>
      <c r="P132" s="181">
        <f>_xll.Get_Balance(P$83,"PTD","USD","Total","A","","001","557171","ED","WA","DL")</f>
        <v>0</v>
      </c>
      <c r="Q132" s="410"/>
      <c r="R132" s="412">
        <f>SUM(E132:P132)</f>
        <v>0</v>
      </c>
    </row>
    <row r="133" spans="1:19" ht="17.25" customHeight="1">
      <c r="A133" s="274">
        <f>A132+1</f>
        <v>81</v>
      </c>
      <c r="B133" s="270" t="s">
        <v>433</v>
      </c>
      <c r="C133" s="270"/>
      <c r="D133" s="182">
        <f>E133+F133+G133+H133+I133+J133+K133</f>
        <v>0</v>
      </c>
      <c r="E133" s="182">
        <f>E130+E131+E132</f>
        <v>0</v>
      </c>
      <c r="F133" s="182">
        <f t="shared" ref="F133:P133" si="37">F130+F131+F132</f>
        <v>0</v>
      </c>
      <c r="G133" s="182">
        <f t="shared" si="37"/>
        <v>0</v>
      </c>
      <c r="H133" s="182">
        <f t="shared" si="37"/>
        <v>0</v>
      </c>
      <c r="I133" s="182">
        <f t="shared" si="37"/>
        <v>0</v>
      </c>
      <c r="J133" s="182">
        <f t="shared" si="37"/>
        <v>0</v>
      </c>
      <c r="K133" s="182">
        <f t="shared" si="37"/>
        <v>0</v>
      </c>
      <c r="L133" s="182">
        <f t="shared" si="37"/>
        <v>0</v>
      </c>
      <c r="M133" s="182">
        <f t="shared" si="37"/>
        <v>0</v>
      </c>
      <c r="N133" s="182">
        <f t="shared" si="37"/>
        <v>0</v>
      </c>
      <c r="O133" s="182">
        <f t="shared" si="37"/>
        <v>0</v>
      </c>
      <c r="P133" s="182">
        <f t="shared" si="37"/>
        <v>0</v>
      </c>
      <c r="Q133" s="182">
        <f>Q130+Q131+Q132</f>
        <v>0</v>
      </c>
      <c r="R133" s="182">
        <f>R130+R131+R132</f>
        <v>0</v>
      </c>
    </row>
    <row r="134" spans="1:19" ht="7.5" customHeight="1">
      <c r="A134" s="274"/>
      <c r="B134" s="271"/>
      <c r="C134" s="271"/>
      <c r="D134" s="426"/>
      <c r="E134" s="217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410"/>
      <c r="R134" s="411"/>
    </row>
    <row r="135" spans="1:19" ht="23.25" customHeight="1">
      <c r="A135" s="387">
        <f>A133+1</f>
        <v>82</v>
      </c>
      <c r="B135" s="259" t="s">
        <v>198</v>
      </c>
      <c r="C135" s="259"/>
      <c r="D135" s="202">
        <f>SUM(E135:P135)</f>
        <v>-2554484</v>
      </c>
      <c r="E135" s="172">
        <f t="shared" ref="E135:P135" si="38">IF(E23=0," ",E119+E123+E128)</f>
        <v>-641912</v>
      </c>
      <c r="F135" s="172">
        <f t="shared" si="38"/>
        <v>-1114849</v>
      </c>
      <c r="G135" s="172">
        <f t="shared" si="38"/>
        <v>-797723</v>
      </c>
      <c r="H135" s="172" t="str">
        <f t="shared" si="38"/>
        <v xml:space="preserve"> </v>
      </c>
      <c r="I135" s="172" t="str">
        <f t="shared" si="38"/>
        <v xml:space="preserve"> </v>
      </c>
      <c r="J135" s="172" t="str">
        <f t="shared" si="38"/>
        <v xml:space="preserve"> </v>
      </c>
      <c r="K135" s="172" t="str">
        <f t="shared" si="38"/>
        <v xml:space="preserve"> </v>
      </c>
      <c r="L135" s="172" t="str">
        <f t="shared" si="38"/>
        <v xml:space="preserve"> </v>
      </c>
      <c r="M135" s="172" t="str">
        <f t="shared" si="38"/>
        <v xml:space="preserve"> </v>
      </c>
      <c r="N135" s="172" t="str">
        <f t="shared" si="38"/>
        <v xml:space="preserve"> </v>
      </c>
      <c r="O135" s="172" t="str">
        <f t="shared" si="38"/>
        <v xml:space="preserve"> </v>
      </c>
      <c r="P135" s="172" t="str">
        <f t="shared" si="38"/>
        <v xml:space="preserve"> </v>
      </c>
      <c r="Q135" s="410"/>
      <c r="R135" s="411">
        <f>SUM(F135:Q135)</f>
        <v>-1912572</v>
      </c>
    </row>
    <row r="136" spans="1:19" ht="9.75" customHeight="1">
      <c r="B136" s="52"/>
      <c r="C136" s="52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410"/>
      <c r="R136" s="411"/>
    </row>
    <row r="137" spans="1:19" s="185" customFormat="1" ht="25.5" customHeight="1" thickBot="1">
      <c r="A137" s="427">
        <f>A135+1</f>
        <v>83</v>
      </c>
      <c r="B137" s="272" t="s">
        <v>11</v>
      </c>
      <c r="C137" s="272"/>
      <c r="D137" s="428">
        <f>SUM(E137:P137)</f>
        <v>32838323</v>
      </c>
      <c r="E137" s="207">
        <f t="shared" ref="E137:P137" si="39">IF(E23=0," ",E81+E92+E98+E105+E135+E133)</f>
        <v>12192934</v>
      </c>
      <c r="F137" s="207">
        <f t="shared" si="39"/>
        <v>10729456</v>
      </c>
      <c r="G137" s="207">
        <f t="shared" si="39"/>
        <v>9915933</v>
      </c>
      <c r="H137" s="207" t="str">
        <f t="shared" si="39"/>
        <v xml:space="preserve"> </v>
      </c>
      <c r="I137" s="207" t="str">
        <f t="shared" si="39"/>
        <v xml:space="preserve"> </v>
      </c>
      <c r="J137" s="207" t="str">
        <f t="shared" si="39"/>
        <v xml:space="preserve"> </v>
      </c>
      <c r="K137" s="207" t="str">
        <f t="shared" si="39"/>
        <v xml:space="preserve"> </v>
      </c>
      <c r="L137" s="207" t="str">
        <f t="shared" si="39"/>
        <v xml:space="preserve"> </v>
      </c>
      <c r="M137" s="207" t="str">
        <f t="shared" si="39"/>
        <v xml:space="preserve"> </v>
      </c>
      <c r="N137" s="207" t="str">
        <f t="shared" si="39"/>
        <v xml:space="preserve"> </v>
      </c>
      <c r="O137" s="207" t="str">
        <f t="shared" si="39"/>
        <v xml:space="preserve"> </v>
      </c>
      <c r="P137" s="207" t="str">
        <f t="shared" si="39"/>
        <v xml:space="preserve"> </v>
      </c>
      <c r="Q137" s="413"/>
      <c r="R137" s="429"/>
    </row>
    <row r="138" spans="1:19" ht="13.5" thickTop="1"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8"/>
    </row>
    <row r="139" spans="1:19">
      <c r="Q139" s="398"/>
    </row>
    <row r="140" spans="1:19">
      <c r="E140" s="391"/>
      <c r="F140" s="391"/>
      <c r="G140" s="391"/>
      <c r="H140" s="391"/>
      <c r="I140" s="391"/>
      <c r="J140" s="113"/>
      <c r="K140" s="391"/>
      <c r="L140" s="391"/>
      <c r="M140" s="391"/>
      <c r="N140" s="391"/>
      <c r="O140" s="391"/>
      <c r="P140" s="391"/>
      <c r="Q140" s="398"/>
    </row>
    <row r="141" spans="1:19">
      <c r="E141" s="391"/>
      <c r="F141" s="391"/>
      <c r="G141" s="391"/>
      <c r="H141" s="391"/>
      <c r="I141" s="391"/>
      <c r="J141" s="113"/>
      <c r="K141" s="391"/>
      <c r="L141" s="391"/>
      <c r="M141" s="391"/>
      <c r="N141" s="391"/>
      <c r="O141" s="391"/>
      <c r="P141" s="391"/>
      <c r="Q141" s="398"/>
    </row>
    <row r="142" spans="1:19">
      <c r="E142" s="391"/>
      <c r="F142" s="391"/>
      <c r="G142" s="391"/>
      <c r="H142" s="391"/>
      <c r="I142" s="391"/>
      <c r="J142" s="113"/>
      <c r="K142" s="391"/>
      <c r="L142" s="391"/>
      <c r="M142" s="391"/>
      <c r="N142" s="391"/>
      <c r="O142" s="391"/>
      <c r="P142" s="391"/>
      <c r="Q142" s="398"/>
    </row>
    <row r="143" spans="1:19">
      <c r="E143" s="391"/>
      <c r="F143" s="391"/>
      <c r="G143" s="391"/>
      <c r="H143" s="391"/>
      <c r="I143" s="391"/>
      <c r="J143" s="113"/>
      <c r="K143" s="391"/>
      <c r="L143" s="391"/>
      <c r="M143" s="391"/>
      <c r="N143" s="391"/>
      <c r="O143" s="391"/>
      <c r="P143" s="391"/>
      <c r="Q143" s="398"/>
    </row>
    <row r="144" spans="1:19">
      <c r="E144" s="391"/>
      <c r="F144" s="391"/>
      <c r="G144" s="391"/>
      <c r="H144" s="391"/>
      <c r="I144" s="391"/>
      <c r="J144" s="113"/>
      <c r="K144" s="391"/>
      <c r="L144" s="391"/>
      <c r="M144" s="391"/>
      <c r="N144" s="391"/>
      <c r="O144" s="391"/>
      <c r="P144" s="391"/>
      <c r="Q144" s="398"/>
    </row>
    <row r="145" spans="5:17">
      <c r="E145" s="391"/>
      <c r="F145" s="391"/>
      <c r="G145" s="391"/>
      <c r="H145" s="391"/>
      <c r="I145" s="391"/>
      <c r="J145" s="113"/>
      <c r="K145" s="391"/>
      <c r="L145" s="391"/>
      <c r="M145" s="391"/>
      <c r="N145" s="391"/>
      <c r="O145" s="391"/>
      <c r="P145" s="391"/>
      <c r="Q145" s="398"/>
    </row>
    <row r="146" spans="5:17">
      <c r="E146" s="391"/>
      <c r="F146" s="391"/>
      <c r="G146" s="391"/>
      <c r="H146" s="391"/>
      <c r="I146" s="391"/>
      <c r="J146" s="113"/>
      <c r="K146" s="391"/>
      <c r="L146" s="391"/>
      <c r="M146" s="391"/>
      <c r="N146" s="391"/>
      <c r="O146" s="391"/>
      <c r="P146" s="391"/>
      <c r="Q146" s="398"/>
    </row>
    <row r="147" spans="5:17">
      <c r="E147" s="391"/>
      <c r="F147" s="391"/>
      <c r="G147" s="391"/>
      <c r="H147" s="391"/>
      <c r="I147" s="391"/>
      <c r="J147" s="113"/>
      <c r="K147" s="391"/>
      <c r="L147" s="391"/>
      <c r="M147" s="391"/>
      <c r="N147" s="391"/>
      <c r="O147" s="391"/>
      <c r="P147" s="391"/>
      <c r="Q147" s="398"/>
    </row>
    <row r="148" spans="5:17">
      <c r="E148" s="391"/>
      <c r="F148" s="391"/>
      <c r="G148" s="391"/>
      <c r="H148" s="391"/>
      <c r="I148" s="391"/>
      <c r="J148" s="113"/>
      <c r="K148" s="391"/>
      <c r="L148" s="391"/>
      <c r="M148" s="391"/>
      <c r="N148" s="391"/>
      <c r="O148" s="391"/>
      <c r="P148" s="391"/>
      <c r="Q148" s="398"/>
    </row>
    <row r="149" spans="5:17">
      <c r="E149" s="391"/>
      <c r="F149" s="391"/>
      <c r="G149" s="391"/>
      <c r="H149" s="391"/>
      <c r="I149" s="391"/>
      <c r="J149" s="113"/>
      <c r="K149" s="391"/>
      <c r="L149" s="391"/>
      <c r="M149" s="391"/>
      <c r="N149" s="391"/>
      <c r="O149" s="391"/>
      <c r="P149" s="391"/>
      <c r="Q149" s="398"/>
    </row>
    <row r="150" spans="5:17"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8"/>
    </row>
    <row r="151" spans="5:17"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8"/>
    </row>
    <row r="152" spans="5:17"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8"/>
    </row>
    <row r="153" spans="5:17"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8"/>
    </row>
    <row r="154" spans="5:17"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8"/>
    </row>
    <row r="155" spans="5:17"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398"/>
    </row>
    <row r="156" spans="5:17"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398"/>
    </row>
    <row r="157" spans="5:17"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398"/>
    </row>
    <row r="158" spans="5:17">
      <c r="E158" s="391"/>
      <c r="F158" s="391"/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398"/>
    </row>
    <row r="159" spans="5:17"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8"/>
    </row>
    <row r="160" spans="5:17"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8"/>
    </row>
    <row r="161" spans="5:17"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391"/>
      <c r="Q161" s="398"/>
    </row>
    <row r="162" spans="5:17"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8"/>
    </row>
    <row r="163" spans="5:17"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8"/>
    </row>
    <row r="164" spans="5:17"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8"/>
    </row>
    <row r="165" spans="5:17"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8"/>
    </row>
    <row r="166" spans="5:17"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8"/>
    </row>
    <row r="167" spans="5:17"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8"/>
    </row>
    <row r="168" spans="5:17"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8"/>
    </row>
    <row r="169" spans="5:17"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8"/>
    </row>
    <row r="170" spans="5:17"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8"/>
    </row>
    <row r="171" spans="5:17"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8"/>
    </row>
    <row r="172" spans="5:17"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8"/>
    </row>
    <row r="173" spans="5:17"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8"/>
    </row>
    <row r="174" spans="5:17"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8"/>
    </row>
    <row r="175" spans="5:17"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8"/>
    </row>
    <row r="176" spans="5:17"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8"/>
    </row>
    <row r="177" spans="5:17"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8"/>
    </row>
    <row r="178" spans="5:17">
      <c r="E178" s="391"/>
      <c r="F178" s="391"/>
      <c r="G178" s="391"/>
      <c r="H178" s="391"/>
      <c r="I178" s="391"/>
      <c r="J178" s="391"/>
      <c r="K178" s="391"/>
      <c r="L178" s="391"/>
      <c r="M178" s="391"/>
      <c r="N178" s="391"/>
      <c r="O178" s="391"/>
      <c r="P178" s="391"/>
      <c r="Q178" s="398"/>
    </row>
    <row r="179" spans="5:17"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8"/>
    </row>
    <row r="180" spans="5:17"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8"/>
    </row>
    <row r="181" spans="5:17">
      <c r="E181" s="391"/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8"/>
    </row>
    <row r="182" spans="5:17"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8"/>
    </row>
    <row r="183" spans="5:17">
      <c r="E183" s="391"/>
      <c r="F183" s="391"/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8"/>
    </row>
    <row r="184" spans="5:17"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8"/>
    </row>
    <row r="185" spans="5:17"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8"/>
    </row>
    <row r="186" spans="5:17"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8"/>
    </row>
    <row r="187" spans="5:17"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8"/>
    </row>
    <row r="188" spans="5:17">
      <c r="E188" s="39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8"/>
    </row>
    <row r="189" spans="5:17"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8"/>
    </row>
    <row r="190" spans="5:17">
      <c r="E190" s="391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8"/>
    </row>
    <row r="191" spans="5:17"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8"/>
    </row>
    <row r="192" spans="5:17">
      <c r="E192" s="391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8"/>
    </row>
    <row r="193" spans="5:17">
      <c r="E193" s="391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8"/>
    </row>
    <row r="194" spans="5:17">
      <c r="E194" s="391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8"/>
    </row>
    <row r="195" spans="5:17"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8"/>
    </row>
    <row r="196" spans="5:17">
      <c r="E196" s="391"/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8"/>
    </row>
    <row r="197" spans="5:17">
      <c r="E197" s="391"/>
      <c r="F197" s="391"/>
      <c r="G197" s="391"/>
      <c r="H197" s="391"/>
      <c r="I197" s="391"/>
      <c r="J197" s="391"/>
      <c r="K197" s="391"/>
      <c r="L197" s="391"/>
      <c r="M197" s="391"/>
      <c r="N197" s="391"/>
      <c r="O197" s="391"/>
      <c r="P197" s="391"/>
      <c r="Q197" s="398"/>
    </row>
    <row r="198" spans="5:17"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8"/>
    </row>
    <row r="199" spans="5:17">
      <c r="E199" s="391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8"/>
    </row>
    <row r="200" spans="5:17"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8"/>
    </row>
    <row r="201" spans="5:17"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8"/>
    </row>
    <row r="202" spans="5:17"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8"/>
    </row>
    <row r="203" spans="5:17"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8"/>
    </row>
    <row r="204" spans="5:17"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98"/>
    </row>
    <row r="205" spans="5:17">
      <c r="E205" s="391"/>
      <c r="F205" s="391"/>
      <c r="G205" s="391"/>
      <c r="H205" s="391"/>
      <c r="I205" s="391"/>
      <c r="J205" s="391"/>
      <c r="K205" s="391"/>
      <c r="L205" s="391"/>
      <c r="M205" s="391"/>
      <c r="N205" s="391"/>
      <c r="O205" s="391"/>
      <c r="P205" s="391"/>
      <c r="Q205" s="398"/>
    </row>
    <row r="206" spans="5:17"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8"/>
    </row>
    <row r="207" spans="5:17"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8"/>
    </row>
    <row r="208" spans="5:17"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1"/>
      <c r="Q208" s="398"/>
    </row>
    <row r="209" spans="5:17"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8"/>
    </row>
    <row r="210" spans="5:17"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1"/>
      <c r="Q210" s="398"/>
    </row>
    <row r="211" spans="5:17">
      <c r="E211" s="391"/>
      <c r="F211" s="391"/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8"/>
    </row>
    <row r="212" spans="5:17">
      <c r="E212" s="391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8"/>
    </row>
    <row r="213" spans="5:17"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8"/>
    </row>
    <row r="214" spans="5:17"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8"/>
    </row>
    <row r="215" spans="5:17"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8"/>
    </row>
    <row r="216" spans="5:17"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8"/>
    </row>
    <row r="217" spans="5:17"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8"/>
    </row>
    <row r="218" spans="5:17"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8"/>
    </row>
    <row r="219" spans="5:17"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8"/>
    </row>
    <row r="220" spans="5:17"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8"/>
    </row>
    <row r="221" spans="5:17"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8"/>
    </row>
    <row r="222" spans="5:17">
      <c r="E222" s="391"/>
      <c r="F222" s="391"/>
      <c r="G222" s="391"/>
      <c r="H222" s="391"/>
      <c r="I222" s="391"/>
      <c r="J222" s="391"/>
      <c r="K222" s="391"/>
      <c r="L222" s="391"/>
      <c r="M222" s="391"/>
      <c r="N222" s="391"/>
      <c r="O222" s="391"/>
      <c r="P222" s="391"/>
      <c r="Q222" s="398"/>
    </row>
    <row r="223" spans="5:17"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8"/>
    </row>
    <row r="224" spans="5:17"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8"/>
    </row>
    <row r="225" spans="5:17"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8"/>
    </row>
    <row r="226" spans="5:17"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8"/>
    </row>
    <row r="227" spans="5:17"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8"/>
    </row>
    <row r="228" spans="5:17"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8"/>
    </row>
    <row r="229" spans="5:17"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8"/>
    </row>
    <row r="230" spans="5:17"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8"/>
    </row>
    <row r="231" spans="5:17"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8"/>
    </row>
    <row r="232" spans="5:17"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8"/>
    </row>
    <row r="233" spans="5:17"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8"/>
    </row>
    <row r="234" spans="5:17"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1"/>
      <c r="P234" s="391"/>
      <c r="Q234" s="398"/>
    </row>
    <row r="235" spans="5:17"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8"/>
    </row>
    <row r="236" spans="5:17"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8"/>
    </row>
    <row r="237" spans="5:17"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8"/>
    </row>
    <row r="238" spans="5:17">
      <c r="F238" s="391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8"/>
    </row>
    <row r="239" spans="5:17">
      <c r="F239" s="391"/>
      <c r="G239" s="391"/>
      <c r="H239" s="391"/>
      <c r="I239" s="391"/>
      <c r="J239" s="391"/>
      <c r="K239" s="391"/>
      <c r="L239" s="391"/>
      <c r="M239" s="391"/>
      <c r="N239" s="391"/>
      <c r="O239" s="391"/>
      <c r="P239" s="391"/>
      <c r="Q239" s="398"/>
    </row>
    <row r="240" spans="5:17"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8"/>
    </row>
    <row r="241" spans="6:17"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8"/>
    </row>
    <row r="242" spans="6:17"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8"/>
    </row>
    <row r="243" spans="6:17">
      <c r="F243" s="391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8"/>
    </row>
    <row r="244" spans="6:17">
      <c r="F244" s="391"/>
      <c r="G244" s="391"/>
      <c r="H244" s="391"/>
      <c r="I244" s="391"/>
      <c r="J244" s="391"/>
      <c r="K244" s="391"/>
      <c r="L244" s="391"/>
      <c r="M244" s="391"/>
      <c r="N244" s="391"/>
      <c r="O244" s="391"/>
      <c r="P244" s="391"/>
      <c r="Q244" s="398"/>
    </row>
    <row r="245" spans="6:17"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8"/>
    </row>
    <row r="246" spans="6:17">
      <c r="F246" s="391"/>
      <c r="G246" s="391"/>
      <c r="H246" s="391"/>
      <c r="I246" s="391"/>
      <c r="J246" s="391"/>
      <c r="K246" s="391"/>
      <c r="L246" s="391"/>
      <c r="M246" s="391"/>
      <c r="N246" s="391"/>
      <c r="O246" s="391"/>
      <c r="P246" s="391"/>
      <c r="Q246" s="398"/>
    </row>
    <row r="247" spans="6:17">
      <c r="F247" s="391"/>
      <c r="G247" s="391"/>
      <c r="H247" s="391"/>
      <c r="I247" s="391"/>
      <c r="J247" s="391"/>
      <c r="K247" s="391"/>
      <c r="L247" s="391"/>
      <c r="M247" s="391"/>
      <c r="N247" s="391"/>
      <c r="O247" s="391"/>
      <c r="P247" s="391"/>
      <c r="Q247" s="398"/>
    </row>
    <row r="248" spans="6:17">
      <c r="F248" s="391"/>
      <c r="G248" s="391"/>
      <c r="H248" s="391"/>
      <c r="I248" s="391"/>
      <c r="J248" s="391"/>
      <c r="K248" s="391"/>
      <c r="L248" s="391"/>
      <c r="M248" s="391"/>
      <c r="N248" s="391"/>
      <c r="O248" s="391"/>
      <c r="P248" s="391"/>
      <c r="Q248" s="398"/>
    </row>
    <row r="249" spans="6:17">
      <c r="F249" s="391"/>
      <c r="G249" s="391"/>
      <c r="H249" s="391"/>
      <c r="I249" s="391"/>
      <c r="J249" s="391"/>
      <c r="K249" s="391"/>
      <c r="L249" s="391"/>
      <c r="M249" s="391"/>
      <c r="N249" s="391"/>
      <c r="O249" s="391"/>
      <c r="P249" s="391"/>
      <c r="Q249" s="398"/>
    </row>
    <row r="250" spans="6:17">
      <c r="F250" s="391"/>
      <c r="G250" s="391"/>
      <c r="H250" s="391"/>
      <c r="I250" s="391"/>
      <c r="J250" s="391"/>
      <c r="K250" s="391"/>
      <c r="L250" s="391"/>
      <c r="M250" s="391"/>
      <c r="N250" s="391"/>
      <c r="O250" s="391"/>
      <c r="P250" s="391"/>
      <c r="Q250" s="398"/>
    </row>
    <row r="251" spans="6:17">
      <c r="F251" s="391"/>
      <c r="G251" s="391"/>
      <c r="H251" s="391"/>
      <c r="I251" s="391"/>
      <c r="J251" s="391"/>
      <c r="K251" s="391"/>
      <c r="L251" s="391"/>
      <c r="M251" s="391"/>
      <c r="N251" s="391"/>
      <c r="O251" s="391"/>
      <c r="P251" s="391"/>
      <c r="Q251" s="398"/>
    </row>
    <row r="252" spans="6:17">
      <c r="F252" s="391"/>
      <c r="G252" s="391"/>
      <c r="H252" s="391"/>
      <c r="I252" s="391"/>
      <c r="J252" s="391"/>
      <c r="K252" s="391"/>
      <c r="L252" s="391"/>
      <c r="M252" s="391"/>
      <c r="N252" s="391"/>
      <c r="O252" s="391"/>
      <c r="P252" s="391"/>
      <c r="Q252" s="398"/>
    </row>
    <row r="253" spans="6:17"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8"/>
    </row>
    <row r="254" spans="6:17">
      <c r="F254" s="391"/>
      <c r="G254" s="391"/>
      <c r="H254" s="391"/>
      <c r="I254" s="391"/>
      <c r="J254" s="391"/>
      <c r="K254" s="391"/>
      <c r="L254" s="391"/>
      <c r="M254" s="391"/>
      <c r="N254" s="391"/>
      <c r="O254" s="391"/>
      <c r="P254" s="391"/>
      <c r="Q254" s="398"/>
    </row>
    <row r="255" spans="6:17"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8"/>
    </row>
    <row r="256" spans="6:17">
      <c r="F256" s="391"/>
      <c r="G256" s="391"/>
      <c r="H256" s="391"/>
      <c r="I256" s="391"/>
      <c r="J256" s="391"/>
      <c r="K256" s="391"/>
      <c r="L256" s="391"/>
      <c r="M256" s="391"/>
      <c r="N256" s="391"/>
      <c r="O256" s="391"/>
      <c r="P256" s="391"/>
      <c r="Q256" s="398"/>
    </row>
    <row r="257" spans="6:17">
      <c r="F257" s="391"/>
      <c r="G257" s="391"/>
      <c r="H257" s="391"/>
      <c r="I257" s="391"/>
      <c r="J257" s="391"/>
      <c r="K257" s="391"/>
      <c r="L257" s="391"/>
      <c r="M257" s="391"/>
      <c r="N257" s="391"/>
      <c r="O257" s="391"/>
      <c r="P257" s="391"/>
      <c r="Q257" s="398"/>
    </row>
    <row r="258" spans="6:17">
      <c r="F258" s="391"/>
      <c r="G258" s="391"/>
      <c r="H258" s="391"/>
      <c r="I258" s="391"/>
      <c r="J258" s="391"/>
      <c r="K258" s="391"/>
      <c r="L258" s="391"/>
      <c r="M258" s="391"/>
      <c r="N258" s="391"/>
      <c r="O258" s="391"/>
      <c r="P258" s="391"/>
      <c r="Q258" s="398"/>
    </row>
    <row r="259" spans="6:17"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8"/>
    </row>
    <row r="260" spans="6:17">
      <c r="F260" s="391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8"/>
    </row>
    <row r="261" spans="6:17"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98"/>
    </row>
    <row r="262" spans="6:17">
      <c r="F262" s="391"/>
      <c r="G262" s="391"/>
      <c r="H262" s="391"/>
      <c r="I262" s="391"/>
      <c r="J262" s="391"/>
      <c r="K262" s="391"/>
      <c r="L262" s="391"/>
      <c r="M262" s="391"/>
      <c r="N262" s="391"/>
      <c r="O262" s="391"/>
      <c r="P262" s="391"/>
      <c r="Q262" s="398"/>
    </row>
    <row r="263" spans="6:17">
      <c r="F263" s="391"/>
      <c r="G263" s="391"/>
      <c r="H263" s="391"/>
      <c r="I263" s="391"/>
      <c r="J263" s="391"/>
      <c r="K263" s="391"/>
      <c r="L263" s="391"/>
      <c r="M263" s="391"/>
      <c r="N263" s="391"/>
      <c r="O263" s="391"/>
      <c r="P263" s="391"/>
      <c r="Q263" s="398"/>
    </row>
    <row r="264" spans="6:17"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8"/>
    </row>
    <row r="265" spans="6:17"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391"/>
      <c r="Q265" s="398"/>
    </row>
    <row r="266" spans="6:17">
      <c r="F266" s="391"/>
      <c r="G266" s="391"/>
      <c r="H266" s="391"/>
      <c r="I266" s="391"/>
      <c r="J266" s="391"/>
      <c r="K266" s="391"/>
      <c r="L266" s="391"/>
      <c r="M266" s="391"/>
      <c r="N266" s="391"/>
      <c r="O266" s="391"/>
      <c r="P266" s="391"/>
      <c r="Q266" s="398"/>
    </row>
    <row r="267" spans="6:17">
      <c r="F267" s="391"/>
      <c r="G267" s="391"/>
      <c r="H267" s="391"/>
      <c r="I267" s="391"/>
      <c r="J267" s="391"/>
      <c r="K267" s="391"/>
      <c r="L267" s="391"/>
      <c r="M267" s="391"/>
      <c r="N267" s="391"/>
      <c r="O267" s="391"/>
      <c r="P267" s="391"/>
      <c r="Q267" s="398"/>
    </row>
    <row r="268" spans="6:17">
      <c r="F268" s="391"/>
      <c r="G268" s="391"/>
      <c r="H268" s="391"/>
      <c r="I268" s="391"/>
      <c r="J268" s="391"/>
      <c r="K268" s="391"/>
      <c r="L268" s="391"/>
      <c r="M268" s="391"/>
      <c r="N268" s="391"/>
      <c r="O268" s="391"/>
      <c r="P268" s="391"/>
      <c r="Q268" s="398"/>
    </row>
    <row r="269" spans="6:17">
      <c r="F269" s="391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8"/>
    </row>
    <row r="270" spans="6:17">
      <c r="F270" s="391"/>
      <c r="G270" s="391"/>
      <c r="H270" s="391"/>
      <c r="I270" s="391"/>
      <c r="J270" s="391"/>
      <c r="K270" s="391"/>
      <c r="L270" s="391"/>
      <c r="M270" s="391"/>
      <c r="N270" s="391"/>
      <c r="O270" s="391"/>
      <c r="P270" s="391"/>
      <c r="Q270" s="398"/>
    </row>
    <row r="271" spans="6:17">
      <c r="F271" s="391"/>
      <c r="G271" s="391"/>
      <c r="H271" s="391"/>
      <c r="I271" s="391"/>
      <c r="J271" s="391"/>
      <c r="K271" s="391"/>
      <c r="L271" s="391"/>
      <c r="M271" s="391"/>
      <c r="N271" s="391"/>
      <c r="O271" s="391"/>
      <c r="P271" s="391"/>
      <c r="Q271" s="398"/>
    </row>
    <row r="272" spans="6:17"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8"/>
    </row>
    <row r="273" spans="6:17">
      <c r="F273" s="391"/>
      <c r="G273" s="391"/>
      <c r="H273" s="391"/>
      <c r="I273" s="391"/>
      <c r="J273" s="391"/>
      <c r="K273" s="391"/>
      <c r="L273" s="391"/>
      <c r="M273" s="391"/>
      <c r="N273" s="391"/>
      <c r="O273" s="391"/>
      <c r="P273" s="391"/>
      <c r="Q273" s="398"/>
    </row>
    <row r="274" spans="6:17"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8"/>
    </row>
    <row r="275" spans="6:17"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8"/>
    </row>
    <row r="276" spans="6:17">
      <c r="F276" s="391"/>
      <c r="G276" s="391"/>
      <c r="H276" s="391"/>
      <c r="I276" s="391"/>
      <c r="J276" s="391"/>
      <c r="K276" s="391"/>
      <c r="L276" s="391"/>
      <c r="M276" s="391"/>
      <c r="N276" s="391"/>
      <c r="O276" s="391"/>
      <c r="P276" s="391"/>
      <c r="Q276" s="398"/>
    </row>
    <row r="277" spans="6:17">
      <c r="F277" s="391"/>
      <c r="G277" s="391"/>
      <c r="H277" s="391"/>
      <c r="I277" s="391"/>
      <c r="J277" s="391"/>
      <c r="K277" s="391"/>
      <c r="L277" s="391"/>
      <c r="M277" s="391"/>
      <c r="N277" s="391"/>
      <c r="O277" s="391"/>
      <c r="P277" s="391"/>
      <c r="Q277" s="398"/>
    </row>
    <row r="278" spans="6:17">
      <c r="F278" s="391"/>
      <c r="G278" s="391"/>
      <c r="H278" s="391"/>
      <c r="I278" s="391"/>
      <c r="J278" s="391"/>
      <c r="K278" s="391"/>
      <c r="L278" s="391"/>
      <c r="M278" s="391"/>
      <c r="N278" s="391"/>
      <c r="O278" s="391"/>
      <c r="P278" s="391"/>
      <c r="Q278" s="398"/>
    </row>
    <row r="279" spans="6:17">
      <c r="F279" s="391"/>
      <c r="G279" s="391"/>
      <c r="H279" s="391"/>
      <c r="I279" s="391"/>
      <c r="J279" s="391"/>
      <c r="K279" s="391"/>
      <c r="L279" s="391"/>
      <c r="M279" s="391"/>
      <c r="N279" s="391"/>
      <c r="O279" s="391"/>
      <c r="P279" s="391"/>
      <c r="Q279" s="398"/>
    </row>
    <row r="280" spans="6:17">
      <c r="F280" s="391"/>
      <c r="G280" s="391"/>
      <c r="H280" s="391"/>
      <c r="I280" s="391"/>
      <c r="J280" s="391"/>
      <c r="K280" s="391"/>
      <c r="L280" s="391"/>
      <c r="M280" s="391"/>
      <c r="N280" s="391"/>
      <c r="O280" s="391"/>
      <c r="P280" s="391"/>
      <c r="Q280" s="398"/>
    </row>
    <row r="281" spans="6:17"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1"/>
      <c r="Q281" s="398"/>
    </row>
    <row r="282" spans="6:17"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1"/>
      <c r="Q282" s="398"/>
    </row>
    <row r="283" spans="6:17"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1"/>
      <c r="Q283" s="398"/>
    </row>
    <row r="284" spans="6:17"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1"/>
      <c r="Q284" s="398"/>
    </row>
    <row r="285" spans="6:17">
      <c r="F285" s="391"/>
      <c r="G285" s="391"/>
      <c r="H285" s="391"/>
      <c r="I285" s="391"/>
      <c r="J285" s="391"/>
      <c r="K285" s="391"/>
      <c r="L285" s="391"/>
      <c r="M285" s="391"/>
      <c r="N285" s="391"/>
      <c r="O285" s="391"/>
      <c r="P285" s="391"/>
      <c r="Q285" s="398"/>
    </row>
    <row r="286" spans="6:17"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8"/>
    </row>
    <row r="287" spans="6:17">
      <c r="F287" s="391"/>
      <c r="G287" s="391"/>
      <c r="H287" s="391"/>
      <c r="I287" s="391"/>
      <c r="J287" s="391"/>
      <c r="K287" s="391"/>
      <c r="L287" s="391"/>
      <c r="M287" s="391"/>
      <c r="N287" s="391"/>
      <c r="O287" s="391"/>
      <c r="P287" s="391"/>
      <c r="Q287" s="398"/>
    </row>
    <row r="288" spans="6:17">
      <c r="F288" s="391"/>
      <c r="G288" s="391"/>
      <c r="H288" s="391"/>
      <c r="I288" s="391"/>
      <c r="J288" s="391"/>
      <c r="K288" s="391"/>
      <c r="L288" s="391"/>
      <c r="M288" s="391"/>
      <c r="N288" s="391"/>
      <c r="O288" s="391"/>
      <c r="P288" s="391"/>
      <c r="Q288" s="398"/>
    </row>
    <row r="289" spans="6:17">
      <c r="F289" s="391"/>
      <c r="G289" s="391"/>
      <c r="H289" s="391"/>
      <c r="I289" s="391"/>
      <c r="J289" s="391"/>
      <c r="K289" s="391"/>
      <c r="L289" s="391"/>
      <c r="M289" s="391"/>
      <c r="N289" s="391"/>
      <c r="O289" s="391"/>
      <c r="P289" s="391"/>
      <c r="Q289" s="398"/>
    </row>
    <row r="290" spans="6:17"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98"/>
    </row>
    <row r="291" spans="6:17">
      <c r="F291" s="391"/>
      <c r="G291" s="391"/>
      <c r="H291" s="391"/>
      <c r="I291" s="391"/>
      <c r="J291" s="391"/>
      <c r="K291" s="391"/>
      <c r="L291" s="391"/>
      <c r="M291" s="391"/>
      <c r="N291" s="391"/>
      <c r="O291" s="391"/>
      <c r="P291" s="391"/>
      <c r="Q291" s="398"/>
    </row>
    <row r="292" spans="6:17">
      <c r="F292" s="391"/>
      <c r="G292" s="391"/>
      <c r="H292" s="391"/>
      <c r="I292" s="391"/>
      <c r="J292" s="391"/>
      <c r="K292" s="391"/>
      <c r="L292" s="391"/>
      <c r="M292" s="391"/>
      <c r="N292" s="391"/>
      <c r="O292" s="391"/>
      <c r="P292" s="391"/>
      <c r="Q292" s="398"/>
    </row>
    <row r="293" spans="6:17">
      <c r="F293" s="391"/>
      <c r="G293" s="391"/>
      <c r="H293" s="391"/>
      <c r="I293" s="391"/>
      <c r="J293" s="391"/>
      <c r="K293" s="391"/>
      <c r="L293" s="391"/>
      <c r="M293" s="391"/>
      <c r="N293" s="391"/>
      <c r="O293" s="391"/>
      <c r="P293" s="391"/>
      <c r="Q293" s="398"/>
    </row>
    <row r="294" spans="6:17"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1"/>
      <c r="Q294" s="398"/>
    </row>
    <row r="295" spans="6:17"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8"/>
    </row>
    <row r="296" spans="6:17">
      <c r="F296" s="391"/>
      <c r="G296" s="391"/>
      <c r="H296" s="391"/>
      <c r="I296" s="391"/>
      <c r="J296" s="391"/>
      <c r="K296" s="391"/>
      <c r="L296" s="391"/>
      <c r="M296" s="391"/>
      <c r="N296" s="391"/>
      <c r="O296" s="391"/>
      <c r="P296" s="391"/>
      <c r="Q296" s="398"/>
    </row>
    <row r="297" spans="6:17">
      <c r="F297" s="391"/>
      <c r="G297" s="391"/>
      <c r="H297" s="391"/>
      <c r="I297" s="391"/>
      <c r="J297" s="391"/>
      <c r="K297" s="391"/>
      <c r="L297" s="391"/>
      <c r="M297" s="391"/>
      <c r="N297" s="391"/>
      <c r="O297" s="391"/>
      <c r="P297" s="391"/>
      <c r="Q297" s="398"/>
    </row>
    <row r="298" spans="6:17"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8"/>
    </row>
    <row r="299" spans="6:17">
      <c r="F299" s="391"/>
      <c r="G299" s="391"/>
      <c r="H299" s="391"/>
      <c r="I299" s="391"/>
      <c r="J299" s="391"/>
      <c r="K299" s="391"/>
      <c r="L299" s="391"/>
      <c r="M299" s="391"/>
      <c r="N299" s="391"/>
      <c r="O299" s="391"/>
      <c r="P299" s="391"/>
      <c r="Q299" s="398"/>
    </row>
    <row r="300" spans="6:17">
      <c r="F300" s="391"/>
      <c r="G300" s="391"/>
      <c r="H300" s="391"/>
      <c r="I300" s="391"/>
      <c r="J300" s="391"/>
      <c r="K300" s="391"/>
      <c r="L300" s="391"/>
      <c r="M300" s="391"/>
      <c r="N300" s="391"/>
      <c r="O300" s="391"/>
      <c r="P300" s="391"/>
      <c r="Q300" s="398"/>
    </row>
    <row r="301" spans="6:17"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8"/>
    </row>
    <row r="302" spans="6:17"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8"/>
    </row>
    <row r="303" spans="6:17">
      <c r="F303" s="391"/>
      <c r="G303" s="391"/>
      <c r="H303" s="391"/>
      <c r="I303" s="391"/>
      <c r="J303" s="391"/>
      <c r="K303" s="391"/>
      <c r="L303" s="391"/>
      <c r="M303" s="391"/>
      <c r="N303" s="391"/>
      <c r="O303" s="391"/>
      <c r="P303" s="391"/>
      <c r="Q303" s="398"/>
    </row>
    <row r="304" spans="6:17">
      <c r="F304" s="391"/>
      <c r="G304" s="391"/>
      <c r="H304" s="391"/>
      <c r="I304" s="391"/>
      <c r="J304" s="391"/>
      <c r="K304" s="391"/>
      <c r="L304" s="391"/>
      <c r="M304" s="391"/>
      <c r="N304" s="391"/>
      <c r="O304" s="391"/>
      <c r="P304" s="391"/>
      <c r="Q304" s="398"/>
    </row>
    <row r="305" spans="6:17">
      <c r="F305" s="391"/>
      <c r="G305" s="391"/>
      <c r="H305" s="391"/>
      <c r="I305" s="391"/>
      <c r="J305" s="391"/>
      <c r="K305" s="391"/>
      <c r="L305" s="391"/>
      <c r="M305" s="391"/>
      <c r="N305" s="391"/>
      <c r="O305" s="391"/>
      <c r="P305" s="391"/>
      <c r="Q305" s="398"/>
    </row>
    <row r="306" spans="6:17">
      <c r="F306" s="391"/>
      <c r="G306" s="391"/>
      <c r="H306" s="391"/>
      <c r="I306" s="391"/>
      <c r="J306" s="391"/>
      <c r="K306" s="391"/>
      <c r="L306" s="391"/>
      <c r="M306" s="391"/>
      <c r="N306" s="391"/>
      <c r="O306" s="391"/>
      <c r="P306" s="391"/>
      <c r="Q306" s="398"/>
    </row>
    <row r="307" spans="6:17">
      <c r="F307" s="391"/>
      <c r="G307" s="391"/>
      <c r="H307" s="391"/>
      <c r="I307" s="391"/>
      <c r="J307" s="391"/>
      <c r="K307" s="391"/>
      <c r="L307" s="391"/>
      <c r="M307" s="391"/>
      <c r="N307" s="391"/>
      <c r="O307" s="391"/>
      <c r="P307" s="391"/>
      <c r="Q307" s="398"/>
    </row>
    <row r="308" spans="6:17">
      <c r="F308" s="391"/>
      <c r="G308" s="391"/>
      <c r="H308" s="391"/>
      <c r="I308" s="391"/>
      <c r="J308" s="391"/>
      <c r="K308" s="391"/>
      <c r="L308" s="391"/>
      <c r="M308" s="391"/>
      <c r="N308" s="391"/>
      <c r="O308" s="391"/>
      <c r="P308" s="391"/>
      <c r="Q308" s="398"/>
    </row>
    <row r="309" spans="6:17"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8"/>
    </row>
    <row r="310" spans="6:17">
      <c r="F310" s="391"/>
      <c r="G310" s="391"/>
      <c r="H310" s="391"/>
      <c r="I310" s="391"/>
      <c r="J310" s="391"/>
      <c r="K310" s="391"/>
      <c r="L310" s="391"/>
      <c r="M310" s="391"/>
      <c r="N310" s="391"/>
      <c r="O310" s="391"/>
      <c r="P310" s="391"/>
      <c r="Q310" s="398"/>
    </row>
    <row r="311" spans="6:17">
      <c r="F311" s="391"/>
      <c r="G311" s="391"/>
      <c r="H311" s="391"/>
      <c r="I311" s="391"/>
      <c r="J311" s="391"/>
      <c r="K311" s="391"/>
      <c r="L311" s="391"/>
      <c r="M311" s="391"/>
      <c r="N311" s="391"/>
      <c r="O311" s="391"/>
      <c r="P311" s="391"/>
      <c r="Q311" s="398"/>
    </row>
    <row r="312" spans="6:17"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8"/>
    </row>
    <row r="313" spans="6:17">
      <c r="F313" s="391"/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8"/>
    </row>
    <row r="314" spans="6:17">
      <c r="F314" s="391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8"/>
    </row>
    <row r="315" spans="6:17">
      <c r="F315" s="391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8"/>
    </row>
    <row r="316" spans="6:17">
      <c r="F316" s="391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8"/>
    </row>
    <row r="317" spans="6:17">
      <c r="F317" s="391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8"/>
    </row>
    <row r="318" spans="6:17"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8"/>
    </row>
    <row r="319" spans="6:17"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8"/>
    </row>
    <row r="320" spans="6:17">
      <c r="F320" s="39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8"/>
    </row>
    <row r="321" spans="6:17">
      <c r="F321" s="391"/>
      <c r="G321" s="391"/>
      <c r="H321" s="391"/>
      <c r="I321" s="391"/>
      <c r="J321" s="391"/>
      <c r="K321" s="391"/>
      <c r="L321" s="391"/>
      <c r="M321" s="391"/>
      <c r="N321" s="391"/>
      <c r="O321" s="391"/>
      <c r="P321" s="391"/>
      <c r="Q321" s="398"/>
    </row>
    <row r="322" spans="6:17">
      <c r="F322" s="391"/>
      <c r="G322" s="391"/>
      <c r="H322" s="391"/>
      <c r="I322" s="391"/>
      <c r="J322" s="391"/>
      <c r="K322" s="391"/>
      <c r="L322" s="391"/>
      <c r="M322" s="391"/>
      <c r="N322" s="391"/>
      <c r="O322" s="391"/>
      <c r="P322" s="391"/>
      <c r="Q322" s="398"/>
    </row>
    <row r="323" spans="6:17">
      <c r="F323" s="391"/>
      <c r="G323" s="391"/>
      <c r="H323" s="391"/>
      <c r="I323" s="391"/>
      <c r="J323" s="391"/>
      <c r="K323" s="391"/>
      <c r="L323" s="391"/>
      <c r="M323" s="391"/>
      <c r="N323" s="391"/>
      <c r="O323" s="391"/>
      <c r="P323" s="391"/>
      <c r="Q323" s="398"/>
    </row>
    <row r="324" spans="6:17"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8"/>
    </row>
    <row r="325" spans="6:17">
      <c r="F325" s="391"/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8"/>
    </row>
    <row r="326" spans="6:17">
      <c r="F326" s="391"/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8"/>
    </row>
    <row r="327" spans="6:17"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8"/>
    </row>
    <row r="328" spans="6:17">
      <c r="F328" s="391"/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8"/>
    </row>
    <row r="329" spans="6:17">
      <c r="F329" s="391"/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8"/>
    </row>
    <row r="330" spans="6:17">
      <c r="F330" s="391"/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8"/>
    </row>
    <row r="331" spans="6:17">
      <c r="F331" s="391"/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8"/>
    </row>
    <row r="332" spans="6:17">
      <c r="F332" s="391"/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8"/>
    </row>
    <row r="333" spans="6:17">
      <c r="F333" s="391"/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8"/>
    </row>
    <row r="334" spans="6:17">
      <c r="F334" s="391"/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8"/>
    </row>
    <row r="335" spans="6:17">
      <c r="F335" s="391"/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8"/>
    </row>
    <row r="336" spans="6:17">
      <c r="F336" s="391"/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8"/>
    </row>
    <row r="337" spans="6:17">
      <c r="F337" s="391"/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8"/>
    </row>
    <row r="338" spans="6:17">
      <c r="F338" s="391"/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8"/>
    </row>
    <row r="339" spans="6:17"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8"/>
    </row>
    <row r="340" spans="6:17">
      <c r="F340" s="391"/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8"/>
    </row>
    <row r="341" spans="6:17">
      <c r="F341" s="391"/>
      <c r="G341" s="391"/>
      <c r="H341" s="391"/>
      <c r="I341" s="391"/>
      <c r="J341" s="391"/>
      <c r="K341" s="391"/>
      <c r="L341" s="391"/>
      <c r="M341" s="391"/>
      <c r="N341" s="391"/>
      <c r="O341" s="391"/>
      <c r="P341" s="391"/>
      <c r="Q341" s="398"/>
    </row>
    <row r="342" spans="6:17">
      <c r="F342" s="391"/>
      <c r="G342" s="391"/>
      <c r="H342" s="391"/>
      <c r="I342" s="391"/>
      <c r="J342" s="391"/>
      <c r="K342" s="391"/>
      <c r="L342" s="391"/>
      <c r="M342" s="391"/>
      <c r="N342" s="391"/>
      <c r="O342" s="391"/>
      <c r="P342" s="391"/>
      <c r="Q342" s="398"/>
    </row>
    <row r="343" spans="6:17">
      <c r="F343" s="391"/>
      <c r="G343" s="391"/>
      <c r="H343" s="391"/>
      <c r="I343" s="391"/>
      <c r="J343" s="391"/>
      <c r="K343" s="391"/>
      <c r="L343" s="391"/>
      <c r="M343" s="391"/>
      <c r="N343" s="391"/>
      <c r="O343" s="391"/>
      <c r="P343" s="391"/>
      <c r="Q343" s="398"/>
    </row>
    <row r="344" spans="6:17"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8"/>
    </row>
    <row r="345" spans="6:17"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8"/>
    </row>
    <row r="346" spans="6:17"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8"/>
    </row>
    <row r="347" spans="6:17"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8"/>
    </row>
    <row r="348" spans="6:17"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8"/>
    </row>
    <row r="349" spans="6:17"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8"/>
    </row>
    <row r="350" spans="6:17">
      <c r="F350" s="391"/>
      <c r="G350" s="391"/>
      <c r="H350" s="391"/>
      <c r="I350" s="391"/>
      <c r="J350" s="391"/>
      <c r="K350" s="391"/>
      <c r="L350" s="391"/>
      <c r="M350" s="391"/>
      <c r="N350" s="391"/>
      <c r="O350" s="391"/>
      <c r="P350" s="391"/>
      <c r="Q350" s="398"/>
    </row>
    <row r="351" spans="6:17">
      <c r="F351" s="391"/>
      <c r="G351" s="391"/>
      <c r="H351" s="391"/>
      <c r="I351" s="391"/>
      <c r="J351" s="391"/>
      <c r="K351" s="391"/>
      <c r="L351" s="391"/>
      <c r="M351" s="391"/>
      <c r="N351" s="391"/>
      <c r="O351" s="391"/>
      <c r="P351" s="391"/>
      <c r="Q351" s="398"/>
    </row>
    <row r="352" spans="6:17"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8"/>
    </row>
    <row r="353" spans="6:17"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8"/>
    </row>
    <row r="354" spans="6:17"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8"/>
    </row>
    <row r="355" spans="6:17"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8"/>
    </row>
    <row r="356" spans="6:17"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8"/>
    </row>
    <row r="357" spans="6:17">
      <c r="F357" s="391"/>
      <c r="G357" s="391"/>
      <c r="H357" s="391"/>
      <c r="I357" s="391"/>
      <c r="J357" s="391"/>
      <c r="K357" s="391"/>
      <c r="L357" s="391"/>
      <c r="M357" s="391"/>
      <c r="N357" s="391"/>
      <c r="O357" s="391"/>
      <c r="P357" s="391"/>
      <c r="Q357" s="398"/>
    </row>
    <row r="358" spans="6:17">
      <c r="F358" s="391"/>
      <c r="G358" s="391"/>
      <c r="H358" s="391"/>
      <c r="I358" s="391"/>
      <c r="J358" s="391"/>
      <c r="K358" s="391"/>
      <c r="L358" s="391"/>
      <c r="M358" s="391"/>
      <c r="N358" s="391"/>
      <c r="O358" s="391"/>
      <c r="P358" s="391"/>
      <c r="Q358" s="398"/>
    </row>
    <row r="359" spans="6:17">
      <c r="F359" s="391"/>
      <c r="G359" s="391"/>
      <c r="H359" s="391"/>
      <c r="I359" s="391"/>
      <c r="J359" s="391"/>
      <c r="K359" s="391"/>
      <c r="L359" s="391"/>
      <c r="M359" s="391"/>
      <c r="N359" s="391"/>
      <c r="O359" s="391"/>
      <c r="P359" s="391"/>
      <c r="Q359" s="398"/>
    </row>
    <row r="360" spans="6:17"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8"/>
    </row>
    <row r="361" spans="6:17"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8"/>
    </row>
    <row r="362" spans="6:17"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8"/>
    </row>
    <row r="363" spans="6:17"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8"/>
    </row>
    <row r="364" spans="6:17"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8"/>
    </row>
    <row r="365" spans="6:17"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8"/>
    </row>
    <row r="366" spans="6:17"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8"/>
    </row>
    <row r="367" spans="6:17">
      <c r="F367" s="391"/>
      <c r="G367" s="391"/>
      <c r="H367" s="391"/>
      <c r="I367" s="391"/>
      <c r="J367" s="391"/>
      <c r="K367" s="391"/>
      <c r="L367" s="391"/>
      <c r="M367" s="391"/>
      <c r="N367" s="391"/>
      <c r="O367" s="391"/>
      <c r="P367" s="391"/>
      <c r="Q367" s="398"/>
    </row>
    <row r="368" spans="6:17"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8"/>
    </row>
    <row r="369" spans="6:17">
      <c r="F369" s="391"/>
      <c r="G369" s="391"/>
      <c r="H369" s="391"/>
      <c r="I369" s="391"/>
      <c r="J369" s="391"/>
      <c r="K369" s="391"/>
      <c r="L369" s="391"/>
      <c r="M369" s="391"/>
      <c r="N369" s="391"/>
      <c r="O369" s="391"/>
      <c r="P369" s="391"/>
      <c r="Q369" s="398"/>
    </row>
    <row r="370" spans="6:17">
      <c r="F370" s="391"/>
      <c r="G370" s="391"/>
      <c r="H370" s="391"/>
      <c r="I370" s="391"/>
      <c r="J370" s="391"/>
      <c r="K370" s="391"/>
      <c r="L370" s="391"/>
      <c r="M370" s="391"/>
      <c r="N370" s="391"/>
      <c r="O370" s="391"/>
      <c r="P370" s="391"/>
      <c r="Q370" s="398"/>
    </row>
    <row r="371" spans="6:17">
      <c r="F371" s="391"/>
      <c r="G371" s="391"/>
      <c r="H371" s="391"/>
      <c r="I371" s="391"/>
      <c r="J371" s="391"/>
      <c r="K371" s="391"/>
      <c r="L371" s="391"/>
      <c r="M371" s="391"/>
      <c r="N371" s="391"/>
      <c r="O371" s="391"/>
      <c r="P371" s="391"/>
      <c r="Q371" s="398"/>
    </row>
    <row r="372" spans="6:17">
      <c r="F372" s="391"/>
      <c r="G372" s="391"/>
      <c r="H372" s="391"/>
      <c r="I372" s="391"/>
      <c r="J372" s="391"/>
      <c r="K372" s="391"/>
      <c r="L372" s="391"/>
      <c r="M372" s="391"/>
      <c r="N372" s="391"/>
      <c r="O372" s="391"/>
      <c r="P372" s="391"/>
      <c r="Q372" s="398"/>
    </row>
    <row r="373" spans="6:17">
      <c r="F373" s="391"/>
      <c r="G373" s="391"/>
      <c r="H373" s="391"/>
      <c r="I373" s="391"/>
      <c r="J373" s="391"/>
      <c r="K373" s="391"/>
      <c r="L373" s="391"/>
      <c r="M373" s="391"/>
      <c r="N373" s="391"/>
      <c r="O373" s="391"/>
      <c r="P373" s="391"/>
      <c r="Q373" s="398"/>
    </row>
    <row r="374" spans="6:17">
      <c r="F374" s="391"/>
      <c r="G374" s="391"/>
      <c r="H374" s="391"/>
      <c r="I374" s="391"/>
      <c r="J374" s="391"/>
      <c r="K374" s="391"/>
      <c r="L374" s="391"/>
      <c r="M374" s="391"/>
      <c r="N374" s="391"/>
      <c r="O374" s="391"/>
      <c r="P374" s="391"/>
      <c r="Q374" s="398"/>
    </row>
    <row r="375" spans="6:17">
      <c r="F375" s="391"/>
      <c r="G375" s="391"/>
      <c r="H375" s="391"/>
      <c r="I375" s="391"/>
      <c r="J375" s="391"/>
      <c r="K375" s="391"/>
      <c r="L375" s="391"/>
      <c r="M375" s="391"/>
      <c r="N375" s="391"/>
      <c r="O375" s="391"/>
      <c r="P375" s="391"/>
      <c r="Q375" s="398"/>
    </row>
    <row r="376" spans="6:17">
      <c r="F376" s="391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8"/>
    </row>
    <row r="377" spans="6:17">
      <c r="F377" s="391"/>
      <c r="G377" s="391"/>
      <c r="H377" s="391"/>
      <c r="I377" s="391"/>
      <c r="J377" s="391"/>
      <c r="K377" s="391"/>
      <c r="L377" s="391"/>
      <c r="M377" s="391"/>
      <c r="N377" s="391"/>
      <c r="O377" s="391"/>
      <c r="P377" s="391"/>
      <c r="Q377" s="398"/>
    </row>
    <row r="378" spans="6:17">
      <c r="F378" s="391"/>
      <c r="G378" s="391"/>
      <c r="H378" s="391"/>
      <c r="I378" s="391"/>
      <c r="J378" s="391"/>
      <c r="K378" s="391"/>
      <c r="L378" s="391"/>
      <c r="M378" s="391"/>
      <c r="N378" s="391"/>
      <c r="O378" s="391"/>
      <c r="P378" s="391"/>
      <c r="Q378" s="398"/>
    </row>
    <row r="379" spans="6:17"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8"/>
    </row>
    <row r="380" spans="6:17">
      <c r="F380" s="391"/>
      <c r="G380" s="391"/>
      <c r="H380" s="391"/>
      <c r="I380" s="391"/>
      <c r="J380" s="391"/>
      <c r="K380" s="391"/>
      <c r="L380" s="391"/>
      <c r="M380" s="391"/>
      <c r="N380" s="391"/>
      <c r="O380" s="391"/>
      <c r="P380" s="391"/>
      <c r="Q380" s="398"/>
    </row>
    <row r="381" spans="6:17">
      <c r="F381" s="391"/>
      <c r="G381" s="391"/>
      <c r="H381" s="391"/>
      <c r="I381" s="391"/>
      <c r="J381" s="391"/>
      <c r="K381" s="391"/>
      <c r="L381" s="391"/>
      <c r="M381" s="391"/>
      <c r="N381" s="391"/>
      <c r="O381" s="391"/>
      <c r="P381" s="391"/>
      <c r="Q381" s="398"/>
    </row>
    <row r="382" spans="6:17">
      <c r="F382" s="391"/>
      <c r="G382" s="391"/>
      <c r="H382" s="391"/>
      <c r="I382" s="391"/>
      <c r="J382" s="391"/>
      <c r="K382" s="391"/>
      <c r="L382" s="391"/>
      <c r="M382" s="391"/>
      <c r="N382" s="391"/>
      <c r="O382" s="391"/>
      <c r="P382" s="391"/>
      <c r="Q382" s="398"/>
    </row>
    <row r="383" spans="6:17">
      <c r="F383" s="391"/>
      <c r="G383" s="391"/>
      <c r="H383" s="391"/>
      <c r="I383" s="391"/>
      <c r="J383" s="391"/>
      <c r="K383" s="391"/>
      <c r="L383" s="391"/>
      <c r="M383" s="391"/>
      <c r="N383" s="391"/>
      <c r="O383" s="391"/>
      <c r="P383" s="391"/>
      <c r="Q383" s="398"/>
    </row>
    <row r="384" spans="6:17">
      <c r="F384" s="391"/>
      <c r="G384" s="391"/>
      <c r="H384" s="391"/>
      <c r="I384" s="391"/>
      <c r="J384" s="391"/>
      <c r="K384" s="391"/>
      <c r="L384" s="391"/>
      <c r="M384" s="391"/>
      <c r="N384" s="391"/>
      <c r="O384" s="391"/>
      <c r="P384" s="391"/>
      <c r="Q384" s="398"/>
    </row>
    <row r="385" spans="6:17">
      <c r="F385" s="391"/>
      <c r="G385" s="391"/>
      <c r="H385" s="391"/>
      <c r="I385" s="391"/>
      <c r="J385" s="391"/>
      <c r="K385" s="391"/>
      <c r="L385" s="391"/>
      <c r="M385" s="391"/>
      <c r="N385" s="391"/>
      <c r="O385" s="391"/>
      <c r="P385" s="391"/>
      <c r="Q385" s="398"/>
    </row>
    <row r="386" spans="6:17">
      <c r="F386" s="391"/>
      <c r="G386" s="391"/>
      <c r="H386" s="391"/>
      <c r="I386" s="391"/>
      <c r="J386" s="391"/>
      <c r="K386" s="391"/>
      <c r="L386" s="391"/>
      <c r="M386" s="391"/>
      <c r="N386" s="391"/>
      <c r="O386" s="391"/>
      <c r="P386" s="391"/>
      <c r="Q386" s="398"/>
    </row>
    <row r="387" spans="6:17">
      <c r="F387" s="391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8"/>
    </row>
    <row r="388" spans="6:17">
      <c r="F388" s="391"/>
      <c r="G388" s="391"/>
      <c r="H388" s="391"/>
      <c r="I388" s="391"/>
      <c r="J388" s="391"/>
      <c r="K388" s="391"/>
      <c r="L388" s="391"/>
      <c r="M388" s="391"/>
      <c r="N388" s="391"/>
      <c r="O388" s="391"/>
      <c r="P388" s="391"/>
      <c r="Q388" s="398"/>
    </row>
    <row r="389" spans="6:17">
      <c r="F389" s="391"/>
      <c r="G389" s="391"/>
      <c r="H389" s="391"/>
      <c r="I389" s="391"/>
      <c r="J389" s="391"/>
      <c r="K389" s="391"/>
      <c r="L389" s="391"/>
      <c r="M389" s="391"/>
      <c r="N389" s="391"/>
      <c r="O389" s="391"/>
      <c r="P389" s="391"/>
      <c r="Q389" s="398"/>
    </row>
    <row r="390" spans="6:17">
      <c r="F390" s="391"/>
      <c r="G390" s="391"/>
      <c r="H390" s="391"/>
      <c r="I390" s="391"/>
      <c r="J390" s="391"/>
      <c r="K390" s="391"/>
      <c r="L390" s="391"/>
      <c r="M390" s="391"/>
      <c r="N390" s="391"/>
      <c r="O390" s="391"/>
      <c r="P390" s="391"/>
      <c r="Q390" s="398"/>
    </row>
    <row r="391" spans="6:17"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8"/>
    </row>
    <row r="392" spans="6:17">
      <c r="F392" s="391"/>
      <c r="G392" s="391"/>
      <c r="H392" s="391"/>
      <c r="I392" s="391"/>
      <c r="J392" s="391"/>
      <c r="K392" s="391"/>
      <c r="L392" s="391"/>
      <c r="M392" s="391"/>
      <c r="N392" s="391"/>
      <c r="O392" s="391"/>
      <c r="P392" s="391"/>
      <c r="Q392" s="398"/>
    </row>
    <row r="393" spans="6:17">
      <c r="F393" s="391"/>
      <c r="G393" s="391"/>
      <c r="H393" s="391"/>
      <c r="I393" s="391"/>
      <c r="J393" s="391"/>
      <c r="K393" s="391"/>
      <c r="L393" s="391"/>
      <c r="M393" s="391"/>
      <c r="N393" s="391"/>
      <c r="O393" s="391"/>
      <c r="P393" s="391"/>
      <c r="Q393" s="398"/>
    </row>
    <row r="394" spans="6:17">
      <c r="F394" s="391"/>
      <c r="G394" s="391"/>
      <c r="H394" s="391"/>
      <c r="I394" s="391"/>
      <c r="J394" s="391"/>
      <c r="K394" s="391"/>
      <c r="L394" s="391"/>
      <c r="M394" s="391"/>
      <c r="N394" s="391"/>
      <c r="O394" s="391"/>
      <c r="P394" s="391"/>
      <c r="Q394" s="398"/>
    </row>
    <row r="395" spans="6:17">
      <c r="F395" s="391"/>
      <c r="G395" s="391"/>
      <c r="H395" s="391"/>
      <c r="I395" s="391"/>
      <c r="J395" s="391"/>
      <c r="K395" s="391"/>
      <c r="L395" s="391"/>
      <c r="M395" s="391"/>
      <c r="N395" s="391"/>
      <c r="O395" s="391"/>
      <c r="P395" s="391"/>
      <c r="Q395" s="398"/>
    </row>
    <row r="396" spans="6:17">
      <c r="F396" s="391"/>
      <c r="G396" s="391"/>
      <c r="H396" s="391"/>
      <c r="I396" s="391"/>
      <c r="J396" s="391"/>
      <c r="K396" s="391"/>
      <c r="L396" s="391"/>
      <c r="M396" s="391"/>
      <c r="N396" s="391"/>
      <c r="O396" s="391"/>
      <c r="P396" s="391"/>
      <c r="Q396" s="398"/>
    </row>
    <row r="397" spans="6:17">
      <c r="F397" s="391"/>
      <c r="G397" s="391"/>
      <c r="H397" s="391"/>
      <c r="I397" s="391"/>
      <c r="J397" s="391"/>
      <c r="K397" s="391"/>
      <c r="L397" s="391"/>
      <c r="M397" s="391"/>
      <c r="N397" s="391"/>
      <c r="O397" s="391"/>
      <c r="P397" s="391"/>
      <c r="Q397" s="398"/>
    </row>
    <row r="398" spans="6:17">
      <c r="F398" s="391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8"/>
    </row>
    <row r="399" spans="6:17">
      <c r="F399" s="391"/>
      <c r="G399" s="391"/>
      <c r="H399" s="391"/>
      <c r="I399" s="391"/>
      <c r="J399" s="391"/>
      <c r="K399" s="391"/>
      <c r="L399" s="391"/>
      <c r="M399" s="391"/>
      <c r="N399" s="391"/>
      <c r="O399" s="391"/>
      <c r="P399" s="391"/>
      <c r="Q399" s="398"/>
    </row>
    <row r="400" spans="6:17">
      <c r="F400" s="391"/>
      <c r="G400" s="391"/>
      <c r="H400" s="391"/>
      <c r="I400" s="391"/>
      <c r="J400" s="391"/>
      <c r="K400" s="391"/>
      <c r="L400" s="391"/>
      <c r="M400" s="391"/>
      <c r="N400" s="391"/>
      <c r="O400" s="391"/>
      <c r="P400" s="391"/>
      <c r="Q400" s="398"/>
    </row>
    <row r="401" spans="6:17">
      <c r="F401" s="391"/>
      <c r="G401" s="391"/>
      <c r="H401" s="391"/>
      <c r="I401" s="391"/>
      <c r="J401" s="391"/>
      <c r="K401" s="391"/>
      <c r="L401" s="391"/>
      <c r="M401" s="391"/>
      <c r="N401" s="391"/>
      <c r="O401" s="391"/>
      <c r="P401" s="391"/>
      <c r="Q401" s="398"/>
    </row>
    <row r="402" spans="6:17"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8"/>
    </row>
    <row r="403" spans="6:17">
      <c r="F403" s="391"/>
      <c r="G403" s="391"/>
      <c r="H403" s="391"/>
      <c r="I403" s="391"/>
      <c r="J403" s="391"/>
      <c r="K403" s="391"/>
      <c r="L403" s="391"/>
      <c r="M403" s="391"/>
      <c r="N403" s="391"/>
      <c r="O403" s="391"/>
      <c r="P403" s="391"/>
      <c r="Q403" s="398"/>
    </row>
    <row r="404" spans="6:17"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8"/>
    </row>
    <row r="405" spans="6:17">
      <c r="F405" s="391"/>
      <c r="G405" s="391"/>
      <c r="H405" s="391"/>
      <c r="I405" s="391"/>
      <c r="J405" s="391"/>
      <c r="K405" s="391"/>
      <c r="L405" s="391"/>
      <c r="M405" s="391"/>
      <c r="N405" s="391"/>
      <c r="O405" s="391"/>
      <c r="P405" s="391"/>
      <c r="Q405" s="398"/>
    </row>
    <row r="406" spans="6:17">
      <c r="F406" s="391"/>
      <c r="G406" s="391"/>
      <c r="H406" s="391"/>
      <c r="I406" s="391"/>
      <c r="J406" s="391"/>
      <c r="K406" s="391"/>
      <c r="L406" s="391"/>
      <c r="M406" s="391"/>
      <c r="N406" s="391"/>
      <c r="O406" s="391"/>
      <c r="P406" s="391"/>
      <c r="Q406" s="398"/>
    </row>
    <row r="407" spans="6:17"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8"/>
    </row>
    <row r="408" spans="6:17">
      <c r="F408" s="391"/>
      <c r="G408" s="391"/>
      <c r="H408" s="391"/>
      <c r="I408" s="391"/>
      <c r="J408" s="391"/>
      <c r="K408" s="391"/>
      <c r="L408" s="391"/>
      <c r="M408" s="391"/>
      <c r="N408" s="391"/>
      <c r="O408" s="391"/>
      <c r="P408" s="391"/>
      <c r="Q408" s="398"/>
    </row>
    <row r="409" spans="6:17">
      <c r="F409" s="391"/>
      <c r="G409" s="391"/>
      <c r="H409" s="391"/>
      <c r="I409" s="391"/>
      <c r="J409" s="391"/>
      <c r="K409" s="391"/>
      <c r="L409" s="391"/>
      <c r="M409" s="391"/>
      <c r="N409" s="391"/>
      <c r="O409" s="391"/>
      <c r="P409" s="391"/>
      <c r="Q409" s="398"/>
    </row>
    <row r="410" spans="6:17"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8"/>
    </row>
    <row r="411" spans="6:17">
      <c r="F411" s="391"/>
      <c r="G411" s="391"/>
      <c r="H411" s="391"/>
      <c r="I411" s="391"/>
      <c r="J411" s="391"/>
      <c r="K411" s="391"/>
      <c r="L411" s="391"/>
      <c r="M411" s="391"/>
      <c r="N411" s="391"/>
      <c r="O411" s="391"/>
      <c r="P411" s="391"/>
      <c r="Q411" s="398"/>
    </row>
    <row r="412" spans="6:17">
      <c r="F412" s="391"/>
      <c r="G412" s="391"/>
      <c r="H412" s="391"/>
      <c r="I412" s="391"/>
      <c r="J412" s="391"/>
      <c r="K412" s="391"/>
      <c r="L412" s="391"/>
      <c r="M412" s="391"/>
      <c r="N412" s="391"/>
      <c r="O412" s="391"/>
      <c r="P412" s="391"/>
      <c r="Q412" s="398"/>
    </row>
    <row r="413" spans="6:17"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8"/>
    </row>
    <row r="414" spans="6:17">
      <c r="F414" s="391"/>
      <c r="G414" s="391"/>
      <c r="H414" s="391"/>
      <c r="I414" s="391"/>
      <c r="J414" s="391"/>
      <c r="K414" s="391"/>
      <c r="L414" s="391"/>
      <c r="M414" s="391"/>
      <c r="N414" s="391"/>
      <c r="O414" s="391"/>
      <c r="P414" s="391"/>
      <c r="Q414" s="398"/>
    </row>
    <row r="415" spans="6:17">
      <c r="F415" s="391"/>
      <c r="G415" s="391"/>
      <c r="H415" s="391"/>
      <c r="I415" s="391"/>
      <c r="J415" s="391"/>
      <c r="K415" s="391"/>
      <c r="L415" s="391"/>
      <c r="M415" s="391"/>
      <c r="N415" s="391"/>
      <c r="O415" s="391"/>
      <c r="P415" s="391"/>
      <c r="Q415" s="398"/>
    </row>
    <row r="416" spans="6:17">
      <c r="F416" s="391"/>
      <c r="G416" s="391"/>
      <c r="H416" s="391"/>
      <c r="I416" s="391"/>
      <c r="J416" s="391"/>
      <c r="K416" s="391"/>
      <c r="L416" s="391"/>
      <c r="M416" s="391"/>
      <c r="N416" s="391"/>
      <c r="O416" s="391"/>
      <c r="P416" s="391"/>
      <c r="Q416" s="398"/>
    </row>
    <row r="417" spans="6:17"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8"/>
    </row>
    <row r="418" spans="6:17">
      <c r="F418" s="391"/>
      <c r="G418" s="391"/>
      <c r="H418" s="391"/>
      <c r="I418" s="391"/>
      <c r="J418" s="391"/>
      <c r="K418" s="391"/>
      <c r="L418" s="391"/>
      <c r="M418" s="391"/>
      <c r="N418" s="391"/>
      <c r="O418" s="391"/>
      <c r="P418" s="391"/>
      <c r="Q418" s="398"/>
    </row>
    <row r="419" spans="6:17">
      <c r="F419" s="391"/>
      <c r="G419" s="391"/>
      <c r="H419" s="391"/>
      <c r="I419" s="391"/>
      <c r="J419" s="391"/>
      <c r="K419" s="391"/>
      <c r="L419" s="391"/>
      <c r="M419" s="391"/>
      <c r="N419" s="391"/>
      <c r="O419" s="391"/>
      <c r="P419" s="391"/>
      <c r="Q419" s="398"/>
    </row>
    <row r="420" spans="6:17">
      <c r="F420" s="391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8"/>
    </row>
    <row r="421" spans="6:17">
      <c r="F421" s="391"/>
      <c r="G421" s="391"/>
      <c r="H421" s="391"/>
      <c r="I421" s="391"/>
      <c r="J421" s="391"/>
      <c r="K421" s="391"/>
      <c r="L421" s="391"/>
      <c r="M421" s="391"/>
      <c r="N421" s="391"/>
      <c r="O421" s="391"/>
      <c r="P421" s="391"/>
      <c r="Q421" s="398"/>
    </row>
    <row r="422" spans="6:17">
      <c r="F422" s="391"/>
      <c r="G422" s="391"/>
      <c r="H422" s="391"/>
      <c r="I422" s="391"/>
      <c r="J422" s="391"/>
      <c r="K422" s="391"/>
      <c r="L422" s="391"/>
      <c r="M422" s="391"/>
      <c r="N422" s="391"/>
      <c r="O422" s="391"/>
      <c r="P422" s="391"/>
      <c r="Q422" s="398"/>
    </row>
    <row r="423" spans="6:17">
      <c r="F423" s="391"/>
      <c r="G423" s="391"/>
      <c r="H423" s="391"/>
      <c r="I423" s="391"/>
      <c r="J423" s="391"/>
      <c r="K423" s="391"/>
      <c r="L423" s="391"/>
      <c r="M423" s="391"/>
      <c r="N423" s="391"/>
      <c r="O423" s="391"/>
      <c r="P423" s="391"/>
      <c r="Q423" s="398"/>
    </row>
    <row r="424" spans="6:17">
      <c r="F424" s="391"/>
      <c r="G424" s="391"/>
      <c r="H424" s="391"/>
      <c r="I424" s="391"/>
      <c r="J424" s="391"/>
      <c r="K424" s="391"/>
      <c r="L424" s="391"/>
      <c r="M424" s="391"/>
      <c r="N424" s="391"/>
      <c r="O424" s="391"/>
      <c r="P424" s="391"/>
      <c r="Q424" s="398"/>
    </row>
    <row r="425" spans="6:17">
      <c r="F425" s="391"/>
      <c r="G425" s="391"/>
      <c r="H425" s="391"/>
      <c r="I425" s="391"/>
      <c r="J425" s="391"/>
      <c r="K425" s="391"/>
      <c r="L425" s="391"/>
      <c r="M425" s="391"/>
      <c r="N425" s="391"/>
      <c r="O425" s="391"/>
      <c r="P425" s="391"/>
      <c r="Q425" s="398"/>
    </row>
    <row r="426" spans="6:17">
      <c r="F426" s="391"/>
      <c r="G426" s="391"/>
      <c r="H426" s="391"/>
      <c r="I426" s="391"/>
      <c r="J426" s="391"/>
      <c r="K426" s="391"/>
      <c r="L426" s="391"/>
      <c r="M426" s="391"/>
      <c r="N426" s="391"/>
      <c r="O426" s="391"/>
      <c r="P426" s="391"/>
      <c r="Q426" s="398"/>
    </row>
    <row r="427" spans="6:17">
      <c r="F427" s="391"/>
      <c r="G427" s="391"/>
      <c r="H427" s="391"/>
      <c r="I427" s="391"/>
      <c r="J427" s="391"/>
      <c r="K427" s="391"/>
      <c r="L427" s="391"/>
      <c r="M427" s="391"/>
      <c r="N427" s="391"/>
      <c r="O427" s="391"/>
      <c r="P427" s="391"/>
      <c r="Q427" s="398"/>
    </row>
    <row r="428" spans="6:17"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8"/>
    </row>
    <row r="429" spans="6:17">
      <c r="F429" s="391"/>
      <c r="G429" s="391"/>
      <c r="H429" s="391"/>
      <c r="I429" s="391"/>
      <c r="J429" s="391"/>
      <c r="K429" s="391"/>
      <c r="L429" s="391"/>
      <c r="M429" s="391"/>
      <c r="N429" s="391"/>
      <c r="O429" s="391"/>
      <c r="P429" s="391"/>
      <c r="Q429" s="398"/>
    </row>
    <row r="430" spans="6:17">
      <c r="F430" s="391"/>
      <c r="G430" s="391"/>
      <c r="H430" s="391"/>
      <c r="I430" s="391"/>
      <c r="J430" s="391"/>
      <c r="K430" s="391"/>
      <c r="L430" s="391"/>
      <c r="M430" s="391"/>
      <c r="N430" s="391"/>
      <c r="O430" s="391"/>
      <c r="P430" s="391"/>
      <c r="Q430" s="398"/>
    </row>
    <row r="431" spans="6:17">
      <c r="F431" s="391"/>
      <c r="G431" s="391"/>
      <c r="H431" s="391"/>
      <c r="I431" s="391"/>
      <c r="J431" s="391"/>
      <c r="K431" s="391"/>
      <c r="L431" s="391"/>
      <c r="M431" s="391"/>
      <c r="N431" s="391"/>
      <c r="O431" s="391"/>
      <c r="P431" s="391"/>
      <c r="Q431" s="398"/>
    </row>
    <row r="432" spans="6:17">
      <c r="F432" s="391"/>
      <c r="G432" s="391"/>
      <c r="H432" s="391"/>
      <c r="I432" s="391"/>
      <c r="J432" s="391"/>
      <c r="K432" s="391"/>
      <c r="L432" s="391"/>
      <c r="M432" s="391"/>
      <c r="N432" s="391"/>
      <c r="O432" s="391"/>
      <c r="P432" s="391"/>
      <c r="Q432" s="398"/>
    </row>
    <row r="433" spans="6:17">
      <c r="F433" s="391"/>
      <c r="G433" s="391"/>
      <c r="H433" s="391"/>
      <c r="I433" s="391"/>
      <c r="J433" s="391"/>
      <c r="K433" s="391"/>
      <c r="L433" s="391"/>
      <c r="M433" s="391"/>
      <c r="N433" s="391"/>
      <c r="O433" s="391"/>
      <c r="P433" s="391"/>
      <c r="Q433" s="398"/>
    </row>
    <row r="434" spans="6:17">
      <c r="F434" s="391"/>
      <c r="G434" s="391"/>
      <c r="H434" s="391"/>
      <c r="I434" s="391"/>
      <c r="J434" s="391"/>
      <c r="K434" s="391"/>
      <c r="L434" s="391"/>
      <c r="M434" s="391"/>
      <c r="N434" s="391"/>
      <c r="O434" s="391"/>
      <c r="P434" s="391"/>
      <c r="Q434" s="398"/>
    </row>
    <row r="435" spans="6:17">
      <c r="F435" s="391"/>
      <c r="G435" s="391"/>
      <c r="H435" s="391"/>
      <c r="I435" s="391"/>
      <c r="J435" s="391"/>
      <c r="K435" s="391"/>
      <c r="L435" s="391"/>
      <c r="M435" s="391"/>
      <c r="N435" s="391"/>
      <c r="O435" s="391"/>
      <c r="P435" s="391"/>
      <c r="Q435" s="398"/>
    </row>
    <row r="436" spans="6:17">
      <c r="F436" s="391"/>
      <c r="G436" s="391"/>
      <c r="H436" s="391"/>
      <c r="I436" s="391"/>
      <c r="J436" s="391"/>
      <c r="K436" s="391"/>
      <c r="L436" s="391"/>
      <c r="M436" s="391"/>
      <c r="N436" s="391"/>
      <c r="O436" s="391"/>
      <c r="P436" s="391"/>
      <c r="Q436" s="398"/>
    </row>
    <row r="437" spans="6:17">
      <c r="F437" s="391"/>
      <c r="G437" s="391"/>
      <c r="H437" s="391"/>
      <c r="I437" s="391"/>
      <c r="J437" s="391"/>
      <c r="K437" s="391"/>
      <c r="L437" s="391"/>
      <c r="M437" s="391"/>
      <c r="N437" s="391"/>
      <c r="O437" s="391"/>
      <c r="P437" s="391"/>
      <c r="Q437" s="398"/>
    </row>
    <row r="438" spans="6:17">
      <c r="F438" s="391"/>
      <c r="G438" s="391"/>
      <c r="H438" s="391"/>
      <c r="I438" s="391"/>
      <c r="J438" s="391"/>
      <c r="K438" s="391"/>
      <c r="L438" s="391"/>
      <c r="M438" s="391"/>
      <c r="N438" s="391"/>
      <c r="O438" s="391"/>
      <c r="P438" s="391"/>
      <c r="Q438" s="398"/>
    </row>
    <row r="439" spans="6:17"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8"/>
    </row>
    <row r="440" spans="6:17">
      <c r="F440" s="391"/>
      <c r="G440" s="391"/>
      <c r="H440" s="391"/>
      <c r="I440" s="391"/>
      <c r="J440" s="391"/>
      <c r="K440" s="391"/>
      <c r="L440" s="391"/>
      <c r="M440" s="391"/>
      <c r="N440" s="391"/>
      <c r="O440" s="391"/>
      <c r="P440" s="391"/>
      <c r="Q440" s="398"/>
    </row>
    <row r="441" spans="6:17">
      <c r="F441" s="391"/>
      <c r="G441" s="391"/>
      <c r="H441" s="391"/>
      <c r="I441" s="391"/>
      <c r="J441" s="391"/>
      <c r="K441" s="391"/>
      <c r="L441" s="391"/>
      <c r="M441" s="391"/>
      <c r="N441" s="391"/>
      <c r="O441" s="391"/>
      <c r="P441" s="391"/>
      <c r="Q441" s="398"/>
    </row>
    <row r="442" spans="6:17">
      <c r="F442" s="391"/>
      <c r="G442" s="391"/>
      <c r="H442" s="391"/>
      <c r="I442" s="391"/>
      <c r="J442" s="391"/>
      <c r="K442" s="391"/>
      <c r="L442" s="391"/>
      <c r="M442" s="391"/>
      <c r="N442" s="391"/>
      <c r="O442" s="391"/>
      <c r="P442" s="391"/>
      <c r="Q442" s="398"/>
    </row>
    <row r="443" spans="6:17">
      <c r="F443" s="391"/>
      <c r="G443" s="391"/>
      <c r="H443" s="391"/>
      <c r="I443" s="391"/>
      <c r="J443" s="391"/>
      <c r="K443" s="391"/>
      <c r="L443" s="391"/>
      <c r="M443" s="391"/>
      <c r="N443" s="391"/>
      <c r="O443" s="391"/>
      <c r="P443" s="391"/>
      <c r="Q443" s="398"/>
    </row>
    <row r="444" spans="6:17">
      <c r="F444" s="391"/>
      <c r="G444" s="391"/>
      <c r="H444" s="391"/>
      <c r="I444" s="391"/>
      <c r="J444" s="391"/>
      <c r="K444" s="391"/>
      <c r="L444" s="391"/>
      <c r="M444" s="391"/>
      <c r="N444" s="391"/>
      <c r="O444" s="391"/>
      <c r="P444" s="391"/>
      <c r="Q444" s="398"/>
    </row>
    <row r="445" spans="6:17">
      <c r="F445" s="391"/>
      <c r="G445" s="391"/>
      <c r="H445" s="391"/>
      <c r="I445" s="391"/>
      <c r="J445" s="391"/>
      <c r="K445" s="391"/>
      <c r="L445" s="391"/>
      <c r="M445" s="391"/>
      <c r="N445" s="391"/>
      <c r="O445" s="391"/>
      <c r="P445" s="391"/>
      <c r="Q445" s="398"/>
    </row>
    <row r="446" spans="6:17">
      <c r="F446" s="391"/>
      <c r="G446" s="391"/>
      <c r="H446" s="391"/>
      <c r="I446" s="391"/>
      <c r="J446" s="391"/>
      <c r="K446" s="391"/>
      <c r="L446" s="391"/>
      <c r="M446" s="391"/>
      <c r="N446" s="391"/>
      <c r="O446" s="391"/>
      <c r="P446" s="391"/>
      <c r="Q446" s="398"/>
    </row>
    <row r="447" spans="6:17">
      <c r="F447" s="391"/>
      <c r="G447" s="391"/>
      <c r="H447" s="391"/>
      <c r="I447" s="391"/>
      <c r="J447" s="391"/>
      <c r="K447" s="391"/>
      <c r="L447" s="391"/>
      <c r="M447" s="391"/>
      <c r="N447" s="391"/>
      <c r="O447" s="391"/>
      <c r="P447" s="391"/>
      <c r="Q447" s="398"/>
    </row>
    <row r="448" spans="6:17">
      <c r="F448" s="391"/>
      <c r="G448" s="391"/>
      <c r="H448" s="391"/>
      <c r="I448" s="391"/>
      <c r="J448" s="391"/>
      <c r="K448" s="391"/>
      <c r="L448" s="391"/>
      <c r="M448" s="391"/>
      <c r="N448" s="391"/>
      <c r="O448" s="391"/>
      <c r="P448" s="391"/>
      <c r="Q448" s="398"/>
    </row>
    <row r="449" spans="6:17">
      <c r="F449" s="391"/>
      <c r="G449" s="391"/>
      <c r="H449" s="391"/>
      <c r="I449" s="391"/>
      <c r="J449" s="391"/>
      <c r="K449" s="391"/>
      <c r="L449" s="391"/>
      <c r="M449" s="391"/>
      <c r="N449" s="391"/>
      <c r="O449" s="391"/>
      <c r="P449" s="391"/>
      <c r="Q449" s="398"/>
    </row>
    <row r="450" spans="6:17"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8"/>
    </row>
    <row r="451" spans="6:17">
      <c r="F451" s="391"/>
      <c r="G451" s="391"/>
      <c r="H451" s="391"/>
      <c r="I451" s="391"/>
      <c r="J451" s="391"/>
      <c r="K451" s="391"/>
      <c r="L451" s="391"/>
      <c r="M451" s="391"/>
      <c r="N451" s="391"/>
      <c r="O451" s="391"/>
      <c r="P451" s="391"/>
      <c r="Q451" s="398"/>
    </row>
    <row r="452" spans="6:17"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8"/>
    </row>
    <row r="453" spans="6:17">
      <c r="F453" s="391"/>
      <c r="G453" s="391"/>
      <c r="H453" s="391"/>
      <c r="I453" s="391"/>
      <c r="J453" s="391"/>
      <c r="K453" s="391"/>
      <c r="L453" s="391"/>
      <c r="M453" s="391"/>
      <c r="N453" s="391"/>
      <c r="O453" s="391"/>
      <c r="P453" s="391"/>
      <c r="Q453" s="398"/>
    </row>
    <row r="454" spans="6:17">
      <c r="F454" s="391"/>
      <c r="G454" s="391"/>
      <c r="H454" s="391"/>
      <c r="I454" s="391"/>
      <c r="J454" s="391"/>
      <c r="K454" s="391"/>
      <c r="L454" s="391"/>
      <c r="M454" s="391"/>
      <c r="N454" s="391"/>
      <c r="O454" s="391"/>
      <c r="P454" s="391"/>
      <c r="Q454" s="398"/>
    </row>
    <row r="455" spans="6:17">
      <c r="F455" s="391"/>
      <c r="G455" s="391"/>
      <c r="H455" s="391"/>
      <c r="I455" s="391"/>
      <c r="J455" s="391"/>
      <c r="K455" s="391"/>
      <c r="L455" s="391"/>
      <c r="M455" s="391"/>
      <c r="N455" s="391"/>
      <c r="O455" s="391"/>
      <c r="P455" s="391"/>
      <c r="Q455" s="398"/>
    </row>
    <row r="456" spans="6:17">
      <c r="F456" s="391"/>
      <c r="G456" s="391"/>
      <c r="H456" s="391"/>
      <c r="I456" s="391"/>
      <c r="J456" s="391"/>
      <c r="K456" s="391"/>
      <c r="L456" s="391"/>
      <c r="M456" s="391"/>
      <c r="N456" s="391"/>
      <c r="O456" s="391"/>
      <c r="P456" s="391"/>
      <c r="Q456" s="398"/>
    </row>
    <row r="457" spans="6:17">
      <c r="F457" s="391"/>
      <c r="G457" s="391"/>
      <c r="H457" s="391"/>
      <c r="I457" s="391"/>
      <c r="J457" s="391"/>
      <c r="K457" s="391"/>
      <c r="L457" s="391"/>
      <c r="M457" s="391"/>
      <c r="N457" s="391"/>
      <c r="O457" s="391"/>
      <c r="P457" s="391"/>
      <c r="Q457" s="398"/>
    </row>
    <row r="458" spans="6:17">
      <c r="F458" s="391"/>
      <c r="G458" s="391"/>
      <c r="H458" s="391"/>
      <c r="I458" s="391"/>
      <c r="J458" s="391"/>
      <c r="K458" s="391"/>
      <c r="L458" s="391"/>
      <c r="M458" s="391"/>
      <c r="N458" s="391"/>
      <c r="O458" s="391"/>
      <c r="P458" s="391"/>
      <c r="Q458" s="398"/>
    </row>
    <row r="459" spans="6:17">
      <c r="F459" s="391"/>
      <c r="G459" s="391"/>
      <c r="H459" s="391"/>
      <c r="I459" s="391"/>
      <c r="J459" s="391"/>
      <c r="K459" s="391"/>
      <c r="L459" s="391"/>
      <c r="M459" s="391"/>
      <c r="N459" s="391"/>
      <c r="O459" s="391"/>
      <c r="P459" s="391"/>
      <c r="Q459" s="398"/>
    </row>
    <row r="460" spans="6:17">
      <c r="F460" s="391"/>
      <c r="G460" s="391"/>
      <c r="H460" s="391"/>
      <c r="I460" s="391"/>
      <c r="J460" s="391"/>
      <c r="K460" s="391"/>
      <c r="L460" s="391"/>
      <c r="M460" s="391"/>
      <c r="N460" s="391"/>
      <c r="O460" s="391"/>
      <c r="P460" s="391"/>
      <c r="Q460" s="398"/>
    </row>
    <row r="461" spans="6:17">
      <c r="F461" s="391"/>
      <c r="G461" s="391"/>
      <c r="H461" s="391"/>
      <c r="I461" s="391"/>
      <c r="J461" s="391"/>
      <c r="K461" s="391"/>
      <c r="L461" s="391"/>
      <c r="M461" s="391"/>
      <c r="N461" s="391"/>
      <c r="O461" s="391"/>
      <c r="P461" s="391"/>
      <c r="Q461" s="398"/>
    </row>
    <row r="462" spans="6:17"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8"/>
    </row>
    <row r="463" spans="6:17">
      <c r="F463" s="391"/>
      <c r="G463" s="391"/>
      <c r="H463" s="391"/>
      <c r="I463" s="391"/>
      <c r="J463" s="391"/>
      <c r="K463" s="391"/>
      <c r="L463" s="391"/>
      <c r="M463" s="391"/>
      <c r="N463" s="391"/>
      <c r="O463" s="391"/>
      <c r="P463" s="391"/>
      <c r="Q463" s="398"/>
    </row>
    <row r="464" spans="6:17">
      <c r="F464" s="391"/>
      <c r="G464" s="391"/>
      <c r="H464" s="391"/>
      <c r="I464" s="391"/>
      <c r="J464" s="391"/>
      <c r="K464" s="391"/>
      <c r="L464" s="391"/>
      <c r="M464" s="391"/>
      <c r="N464" s="391"/>
      <c r="O464" s="391"/>
      <c r="P464" s="391"/>
      <c r="Q464" s="398"/>
    </row>
    <row r="465" spans="6:17">
      <c r="F465" s="391"/>
      <c r="G465" s="391"/>
      <c r="H465" s="391"/>
      <c r="I465" s="391"/>
      <c r="J465" s="391"/>
      <c r="K465" s="391"/>
      <c r="L465" s="391"/>
      <c r="M465" s="391"/>
      <c r="N465" s="391"/>
      <c r="O465" s="391"/>
      <c r="P465" s="391"/>
      <c r="Q465" s="398"/>
    </row>
    <row r="466" spans="6:17">
      <c r="F466" s="391"/>
      <c r="G466" s="391"/>
      <c r="H466" s="391"/>
      <c r="I466" s="391"/>
      <c r="J466" s="391"/>
      <c r="K466" s="391"/>
      <c r="L466" s="391"/>
      <c r="M466" s="391"/>
      <c r="N466" s="391"/>
      <c r="O466" s="391"/>
      <c r="P466" s="391"/>
      <c r="Q466" s="398"/>
    </row>
    <row r="467" spans="6:17">
      <c r="F467" s="391"/>
      <c r="G467" s="391"/>
      <c r="H467" s="391"/>
      <c r="I467" s="391"/>
      <c r="J467" s="391"/>
      <c r="K467" s="391"/>
      <c r="L467" s="391"/>
      <c r="M467" s="391"/>
      <c r="N467" s="391"/>
      <c r="O467" s="391"/>
      <c r="P467" s="391"/>
      <c r="Q467" s="398"/>
    </row>
    <row r="468" spans="6:17">
      <c r="F468" s="391"/>
      <c r="G468" s="391"/>
      <c r="H468" s="391"/>
      <c r="I468" s="391"/>
      <c r="J468" s="391"/>
      <c r="K468" s="391"/>
      <c r="L468" s="391"/>
      <c r="M468" s="391"/>
      <c r="N468" s="391"/>
      <c r="O468" s="391"/>
      <c r="P468" s="391"/>
      <c r="Q468" s="398"/>
    </row>
    <row r="469" spans="6:17">
      <c r="F469" s="391"/>
      <c r="G469" s="391"/>
      <c r="H469" s="391"/>
      <c r="I469" s="391"/>
      <c r="J469" s="391"/>
      <c r="K469" s="391"/>
      <c r="L469" s="391"/>
      <c r="M469" s="391"/>
      <c r="N469" s="391"/>
      <c r="O469" s="391"/>
      <c r="P469" s="391"/>
      <c r="Q469" s="398"/>
    </row>
    <row r="470" spans="6:17"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8"/>
    </row>
    <row r="471" spans="6:17">
      <c r="F471" s="391"/>
      <c r="G471" s="391"/>
      <c r="H471" s="391"/>
      <c r="I471" s="391"/>
      <c r="J471" s="391"/>
      <c r="K471" s="391"/>
      <c r="L471" s="391"/>
      <c r="M471" s="391"/>
      <c r="N471" s="391"/>
      <c r="O471" s="391"/>
      <c r="P471" s="391"/>
      <c r="Q471" s="398"/>
    </row>
    <row r="472" spans="6:17">
      <c r="F472" s="391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8"/>
    </row>
    <row r="473" spans="6:17"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8"/>
    </row>
    <row r="474" spans="6:17">
      <c r="F474" s="391"/>
      <c r="G474" s="391"/>
      <c r="H474" s="391"/>
      <c r="I474" s="391"/>
      <c r="J474" s="391"/>
      <c r="K474" s="391"/>
      <c r="L474" s="391"/>
      <c r="M474" s="391"/>
      <c r="N474" s="391"/>
      <c r="O474" s="391"/>
      <c r="P474" s="391"/>
      <c r="Q474" s="398"/>
    </row>
    <row r="475" spans="6:17">
      <c r="F475" s="391"/>
      <c r="G475" s="391"/>
      <c r="H475" s="391"/>
      <c r="I475" s="391"/>
      <c r="J475" s="391"/>
      <c r="K475" s="391"/>
      <c r="L475" s="391"/>
      <c r="M475" s="391"/>
      <c r="N475" s="391"/>
      <c r="O475" s="391"/>
      <c r="P475" s="391"/>
      <c r="Q475" s="398"/>
    </row>
    <row r="476" spans="6:17">
      <c r="F476" s="391"/>
      <c r="G476" s="391"/>
      <c r="H476" s="391"/>
      <c r="I476" s="391"/>
      <c r="J476" s="391"/>
      <c r="K476" s="391"/>
      <c r="L476" s="391"/>
      <c r="M476" s="391"/>
      <c r="N476" s="391"/>
      <c r="O476" s="391"/>
      <c r="P476" s="391"/>
      <c r="Q476" s="398"/>
    </row>
    <row r="477" spans="6:17">
      <c r="F477" s="391"/>
      <c r="G477" s="391"/>
      <c r="H477" s="391"/>
      <c r="I477" s="391"/>
      <c r="J477" s="391"/>
      <c r="K477" s="391"/>
      <c r="L477" s="391"/>
      <c r="M477" s="391"/>
      <c r="N477" s="391"/>
      <c r="O477" s="391"/>
      <c r="P477" s="391"/>
      <c r="Q477" s="398"/>
    </row>
    <row r="478" spans="6:17">
      <c r="F478" s="391"/>
      <c r="G478" s="391"/>
      <c r="H478" s="391"/>
      <c r="I478" s="391"/>
      <c r="J478" s="391"/>
      <c r="K478" s="391"/>
      <c r="L478" s="391"/>
      <c r="M478" s="391"/>
      <c r="N478" s="391"/>
      <c r="O478" s="391"/>
      <c r="P478" s="391"/>
      <c r="Q478" s="398"/>
    </row>
    <row r="479" spans="6:17">
      <c r="F479" s="391"/>
      <c r="G479" s="391"/>
      <c r="H479" s="391"/>
      <c r="I479" s="391"/>
      <c r="J479" s="391"/>
      <c r="K479" s="391"/>
      <c r="L479" s="391"/>
      <c r="M479" s="391"/>
      <c r="N479" s="391"/>
      <c r="O479" s="391"/>
      <c r="P479" s="391"/>
      <c r="Q479" s="398"/>
    </row>
    <row r="480" spans="6:17">
      <c r="F480" s="391"/>
      <c r="G480" s="391"/>
      <c r="H480" s="391"/>
      <c r="I480" s="391"/>
      <c r="J480" s="391"/>
      <c r="K480" s="391"/>
      <c r="L480" s="391"/>
      <c r="M480" s="391"/>
      <c r="N480" s="391"/>
      <c r="O480" s="391"/>
      <c r="P480" s="391"/>
      <c r="Q480" s="398"/>
    </row>
    <row r="481" spans="6:17">
      <c r="F481" s="391"/>
      <c r="G481" s="391"/>
      <c r="H481" s="391"/>
      <c r="I481" s="391"/>
      <c r="J481" s="391"/>
      <c r="K481" s="391"/>
      <c r="L481" s="391"/>
      <c r="M481" s="391"/>
      <c r="N481" s="391"/>
      <c r="O481" s="391"/>
      <c r="P481" s="391"/>
      <c r="Q481" s="398"/>
    </row>
    <row r="482" spans="6:17">
      <c r="F482" s="391"/>
      <c r="G482" s="391"/>
      <c r="H482" s="391"/>
      <c r="I482" s="391"/>
      <c r="J482" s="391"/>
      <c r="K482" s="391"/>
      <c r="L482" s="391"/>
      <c r="M482" s="391"/>
      <c r="N482" s="391"/>
      <c r="O482" s="391"/>
      <c r="P482" s="391"/>
      <c r="Q482" s="398"/>
    </row>
    <row r="483" spans="6:17">
      <c r="F483" s="391"/>
      <c r="G483" s="391"/>
      <c r="H483" s="391"/>
      <c r="I483" s="391"/>
      <c r="J483" s="391"/>
      <c r="K483" s="391"/>
      <c r="L483" s="391"/>
      <c r="M483" s="391"/>
      <c r="N483" s="391"/>
      <c r="O483" s="391"/>
      <c r="P483" s="391"/>
      <c r="Q483" s="398"/>
    </row>
    <row r="484" spans="6:17">
      <c r="F484" s="391"/>
      <c r="G484" s="391"/>
      <c r="H484" s="391"/>
      <c r="I484" s="391"/>
      <c r="J484" s="391"/>
      <c r="K484" s="391"/>
      <c r="L484" s="391"/>
      <c r="M484" s="391"/>
      <c r="N484" s="391"/>
      <c r="O484" s="391"/>
      <c r="P484" s="391"/>
      <c r="Q484" s="398"/>
    </row>
    <row r="485" spans="6:17">
      <c r="F485" s="391"/>
      <c r="G485" s="391"/>
      <c r="H485" s="391"/>
      <c r="I485" s="391"/>
      <c r="J485" s="391"/>
      <c r="K485" s="391"/>
      <c r="L485" s="391"/>
      <c r="M485" s="391"/>
      <c r="N485" s="391"/>
      <c r="O485" s="391"/>
      <c r="P485" s="391"/>
      <c r="Q485" s="398"/>
    </row>
    <row r="486" spans="6:17">
      <c r="F486" s="391"/>
      <c r="G486" s="391"/>
      <c r="H486" s="391"/>
      <c r="I486" s="391"/>
      <c r="J486" s="391"/>
      <c r="K486" s="391"/>
      <c r="L486" s="391"/>
      <c r="M486" s="391"/>
      <c r="N486" s="391"/>
      <c r="O486" s="391"/>
      <c r="P486" s="391"/>
      <c r="Q486" s="398"/>
    </row>
    <row r="487" spans="6:17">
      <c r="F487" s="391"/>
      <c r="G487" s="391"/>
      <c r="H487" s="391"/>
      <c r="I487" s="391"/>
      <c r="J487" s="391"/>
      <c r="K487" s="391"/>
      <c r="L487" s="391"/>
      <c r="M487" s="391"/>
      <c r="N487" s="391"/>
      <c r="O487" s="391"/>
      <c r="P487" s="391"/>
      <c r="Q487" s="398"/>
    </row>
    <row r="488" spans="6:17">
      <c r="F488" s="391"/>
      <c r="G488" s="391"/>
      <c r="H488" s="391"/>
      <c r="I488" s="391"/>
      <c r="J488" s="391"/>
      <c r="K488" s="391"/>
      <c r="L488" s="391"/>
      <c r="M488" s="391"/>
      <c r="N488" s="391"/>
      <c r="O488" s="391"/>
      <c r="P488" s="391"/>
      <c r="Q488" s="398"/>
    </row>
    <row r="489" spans="6:17">
      <c r="F489" s="391"/>
      <c r="G489" s="391"/>
      <c r="H489" s="391"/>
      <c r="I489" s="391"/>
      <c r="J489" s="391"/>
      <c r="K489" s="391"/>
      <c r="L489" s="391"/>
      <c r="M489" s="391"/>
      <c r="N489" s="391"/>
      <c r="O489" s="391"/>
      <c r="P489" s="391"/>
      <c r="Q489" s="398"/>
    </row>
    <row r="490" spans="6:17">
      <c r="F490" s="391"/>
      <c r="G490" s="391"/>
      <c r="H490" s="391"/>
      <c r="I490" s="391"/>
      <c r="J490" s="391"/>
      <c r="K490" s="391"/>
      <c r="L490" s="391"/>
      <c r="M490" s="391"/>
      <c r="N490" s="391"/>
      <c r="O490" s="391"/>
      <c r="P490" s="391"/>
      <c r="Q490" s="398"/>
    </row>
    <row r="491" spans="6:17">
      <c r="F491" s="391"/>
      <c r="G491" s="391"/>
      <c r="H491" s="391"/>
      <c r="I491" s="391"/>
      <c r="J491" s="391"/>
      <c r="K491" s="391"/>
      <c r="L491" s="391"/>
      <c r="M491" s="391"/>
      <c r="N491" s="391"/>
      <c r="O491" s="391"/>
      <c r="P491" s="391"/>
      <c r="Q491" s="398"/>
    </row>
    <row r="492" spans="6:17"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8"/>
    </row>
    <row r="493" spans="6:17">
      <c r="F493" s="391"/>
      <c r="G493" s="391"/>
      <c r="H493" s="391"/>
      <c r="I493" s="391"/>
      <c r="J493" s="391"/>
      <c r="K493" s="391"/>
      <c r="L493" s="391"/>
      <c r="M493" s="391"/>
      <c r="N493" s="391"/>
      <c r="O493" s="391"/>
      <c r="P493" s="391"/>
      <c r="Q493" s="398"/>
    </row>
    <row r="494" spans="6:17">
      <c r="F494" s="391"/>
      <c r="G494" s="391"/>
      <c r="H494" s="391"/>
      <c r="I494" s="391"/>
      <c r="J494" s="391"/>
      <c r="K494" s="391"/>
      <c r="L494" s="391"/>
      <c r="M494" s="391"/>
      <c r="N494" s="391"/>
      <c r="O494" s="391"/>
      <c r="P494" s="391"/>
      <c r="Q494" s="398"/>
    </row>
    <row r="495" spans="6:17">
      <c r="F495" s="391"/>
      <c r="G495" s="391"/>
      <c r="H495" s="391"/>
      <c r="I495" s="391"/>
      <c r="J495" s="391"/>
      <c r="K495" s="391"/>
      <c r="L495" s="391"/>
      <c r="M495" s="391"/>
      <c r="N495" s="391"/>
      <c r="O495" s="391"/>
      <c r="P495" s="391"/>
      <c r="Q495" s="398"/>
    </row>
    <row r="496" spans="6:17">
      <c r="F496" s="391"/>
      <c r="G496" s="391"/>
      <c r="H496" s="391"/>
      <c r="I496" s="391"/>
      <c r="J496" s="391"/>
      <c r="K496" s="391"/>
      <c r="L496" s="391"/>
      <c r="M496" s="391"/>
      <c r="N496" s="391"/>
      <c r="O496" s="391"/>
      <c r="P496" s="391"/>
      <c r="Q496" s="39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341" customWidth="1"/>
    <col min="2" max="2" width="15.7109375" style="341" bestFit="1" customWidth="1"/>
    <col min="3" max="3" width="15.85546875" style="341" bestFit="1" customWidth="1"/>
    <col min="4" max="4" width="15.140625" style="341" bestFit="1" customWidth="1"/>
    <col min="5" max="5" width="16.42578125" style="341" bestFit="1" customWidth="1"/>
    <col min="6" max="6" width="16.5703125" style="341" bestFit="1" customWidth="1"/>
    <col min="7" max="7" width="15" style="341" bestFit="1" customWidth="1"/>
    <col min="8" max="8" width="15.140625" style="341" bestFit="1" customWidth="1"/>
    <col min="9" max="9" width="16.42578125" style="341" bestFit="1" customWidth="1"/>
    <col min="10" max="10" width="14.28515625" style="341" customWidth="1"/>
    <col min="11" max="11" width="15.140625" style="341" bestFit="1" customWidth="1"/>
    <col min="12" max="12" width="15.5703125" style="341" customWidth="1"/>
    <col min="13" max="13" width="15" style="341" bestFit="1" customWidth="1"/>
    <col min="14" max="14" width="17" style="341" bestFit="1" customWidth="1"/>
    <col min="15" max="15" width="7.7109375" style="341"/>
    <col min="16" max="16" width="23" style="341" bestFit="1" customWidth="1"/>
    <col min="17" max="17" width="10.85546875" style="341" bestFit="1" customWidth="1"/>
    <col min="18" max="16384" width="7.7109375" style="341"/>
  </cols>
  <sheetData>
    <row r="1" spans="1:17" ht="15.75">
      <c r="A1" s="514" t="s">
        <v>227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7" ht="20.25">
      <c r="A2" s="515" t="s">
        <v>409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</row>
    <row r="3" spans="1:17" ht="23.25">
      <c r="A3" s="516" t="s">
        <v>477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7" ht="15.75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</row>
    <row r="7" spans="1:17" ht="27" customHeight="1">
      <c r="A7" s="342" t="s">
        <v>410</v>
      </c>
      <c r="B7" s="343">
        <v>43131</v>
      </c>
      <c r="C7" s="343">
        <f>EOMONTH(B7,1)</f>
        <v>43159</v>
      </c>
      <c r="D7" s="343">
        <f t="shared" ref="D7:M7" si="0">EOMONTH(C7,1)</f>
        <v>43190</v>
      </c>
      <c r="E7" s="343">
        <f t="shared" si="0"/>
        <v>43220</v>
      </c>
      <c r="F7" s="343">
        <f t="shared" si="0"/>
        <v>43251</v>
      </c>
      <c r="G7" s="343">
        <f t="shared" si="0"/>
        <v>43281</v>
      </c>
      <c r="H7" s="343">
        <f t="shared" si="0"/>
        <v>43312</v>
      </c>
      <c r="I7" s="343">
        <f t="shared" si="0"/>
        <v>43343</v>
      </c>
      <c r="J7" s="343">
        <f t="shared" si="0"/>
        <v>43373</v>
      </c>
      <c r="K7" s="343">
        <f t="shared" si="0"/>
        <v>43404</v>
      </c>
      <c r="L7" s="343">
        <f t="shared" si="0"/>
        <v>43434</v>
      </c>
      <c r="M7" s="343">
        <f t="shared" si="0"/>
        <v>43465</v>
      </c>
      <c r="N7" s="344" t="s">
        <v>399</v>
      </c>
    </row>
    <row r="8" spans="1:17" ht="24.95" customHeight="1">
      <c r="A8" s="345" t="s">
        <v>374</v>
      </c>
      <c r="B8" s="346">
        <f>'Input Tab'!C53</f>
        <v>574460</v>
      </c>
      <c r="C8" s="346">
        <f>'Input Tab'!D53</f>
        <v>485123</v>
      </c>
      <c r="D8" s="346">
        <f>'Input Tab'!E53</f>
        <v>466253</v>
      </c>
      <c r="E8" s="346">
        <f>'Input Tab'!F53</f>
        <v>0</v>
      </c>
      <c r="F8" s="346">
        <f>'Input Tab'!G53</f>
        <v>0</v>
      </c>
      <c r="G8" s="346">
        <f>'Input Tab'!H53</f>
        <v>0</v>
      </c>
      <c r="H8" s="346">
        <f>'Input Tab'!I53</f>
        <v>0</v>
      </c>
      <c r="I8" s="346">
        <f>'Input Tab'!J53</f>
        <v>0</v>
      </c>
      <c r="J8" s="346">
        <f>'Input Tab'!K53</f>
        <v>0</v>
      </c>
      <c r="K8" s="346">
        <f>'Input Tab'!L53</f>
        <v>0</v>
      </c>
      <c r="L8" s="346">
        <f>'Input Tab'!M53</f>
        <v>0</v>
      </c>
      <c r="M8" s="346">
        <f>'Input Tab'!N53</f>
        <v>0</v>
      </c>
      <c r="N8" s="240">
        <f t="shared" ref="N8:N13" si="1">SUM(B8:M8)</f>
        <v>1525836</v>
      </c>
      <c r="P8" s="347"/>
    </row>
    <row r="9" spans="1:17" ht="24.95" customHeight="1">
      <c r="A9" s="348" t="s">
        <v>400</v>
      </c>
      <c r="B9" s="346">
        <f>-261455979/1000</f>
        <v>-261456</v>
      </c>
      <c r="C9" s="349">
        <f>IF(C8=0,0,-B10)</f>
        <v>-232280</v>
      </c>
      <c r="D9" s="349">
        <f t="shared" ref="D9:M9" si="2">IF(D8=0,0,-C10)</f>
        <v>-228151</v>
      </c>
      <c r="E9" s="349">
        <f t="shared" si="2"/>
        <v>0</v>
      </c>
      <c r="F9" s="349">
        <f t="shared" si="2"/>
        <v>0</v>
      </c>
      <c r="G9" s="349">
        <f t="shared" si="2"/>
        <v>0</v>
      </c>
      <c r="H9" s="349">
        <f t="shared" si="2"/>
        <v>0</v>
      </c>
      <c r="I9" s="349">
        <f t="shared" si="2"/>
        <v>0</v>
      </c>
      <c r="J9" s="349">
        <f t="shared" si="2"/>
        <v>0</v>
      </c>
      <c r="K9" s="349">
        <f t="shared" si="2"/>
        <v>0</v>
      </c>
      <c r="L9" s="349">
        <f t="shared" si="2"/>
        <v>0</v>
      </c>
      <c r="M9" s="349">
        <f t="shared" si="2"/>
        <v>0</v>
      </c>
      <c r="N9" s="240">
        <f t="shared" si="1"/>
        <v>-721887</v>
      </c>
    </row>
    <row r="10" spans="1:17" ht="24.95" customHeight="1">
      <c r="A10" s="348" t="s">
        <v>401</v>
      </c>
      <c r="B10" s="346">
        <f>'Input Tab'!C54</f>
        <v>232280</v>
      </c>
      <c r="C10" s="346">
        <f>'Input Tab'!D54</f>
        <v>228151</v>
      </c>
      <c r="D10" s="346">
        <f>'Input Tab'!E54</f>
        <v>250554</v>
      </c>
      <c r="E10" s="346">
        <f>'Input Tab'!F54</f>
        <v>0</v>
      </c>
      <c r="F10" s="346">
        <f>'Input Tab'!G54</f>
        <v>0</v>
      </c>
      <c r="G10" s="346">
        <f>'Input Tab'!H54</f>
        <v>0</v>
      </c>
      <c r="H10" s="346">
        <f>'Input Tab'!I54</f>
        <v>0</v>
      </c>
      <c r="I10" s="346">
        <f>'Input Tab'!J54</f>
        <v>0</v>
      </c>
      <c r="J10" s="346">
        <f>'Input Tab'!K54</f>
        <v>0</v>
      </c>
      <c r="K10" s="346">
        <f>'Input Tab'!L54</f>
        <v>0</v>
      </c>
      <c r="L10" s="346">
        <f>'Input Tab'!M54</f>
        <v>0</v>
      </c>
      <c r="M10" s="346">
        <f>'Input Tab'!N54</f>
        <v>0</v>
      </c>
      <c r="N10" s="240">
        <f t="shared" si="1"/>
        <v>710985</v>
      </c>
      <c r="P10" s="350"/>
      <c r="Q10" s="350"/>
    </row>
    <row r="11" spans="1:17" ht="30.75" customHeight="1">
      <c r="A11" s="351" t="s">
        <v>411</v>
      </c>
      <c r="B11" s="352">
        <f t="shared" ref="B11:L11" si="3">SUM(B8:B10)</f>
        <v>545284</v>
      </c>
      <c r="C11" s="352">
        <f t="shared" si="3"/>
        <v>480994</v>
      </c>
      <c r="D11" s="352">
        <f t="shared" si="3"/>
        <v>488656</v>
      </c>
      <c r="E11" s="352">
        <f t="shared" si="3"/>
        <v>0</v>
      </c>
      <c r="F11" s="352">
        <f t="shared" si="3"/>
        <v>0</v>
      </c>
      <c r="G11" s="352">
        <f t="shared" si="3"/>
        <v>0</v>
      </c>
      <c r="H11" s="352">
        <f t="shared" si="3"/>
        <v>0</v>
      </c>
      <c r="I11" s="352">
        <f t="shared" si="3"/>
        <v>0</v>
      </c>
      <c r="J11" s="352">
        <f t="shared" si="3"/>
        <v>0</v>
      </c>
      <c r="K11" s="352">
        <f t="shared" si="3"/>
        <v>0</v>
      </c>
      <c r="L11" s="352">
        <f t="shared" si="3"/>
        <v>0</v>
      </c>
      <c r="M11" s="352">
        <f>SUM(M8:M10)</f>
        <v>0</v>
      </c>
      <c r="N11" s="353">
        <f t="shared" si="1"/>
        <v>1514934</v>
      </c>
      <c r="P11" s="354"/>
      <c r="Q11" s="347"/>
    </row>
    <row r="12" spans="1:17" ht="32.25" customHeight="1">
      <c r="A12" s="355" t="s">
        <v>412</v>
      </c>
      <c r="B12" s="356">
        <f>'Input Tab'!C55</f>
        <v>555937</v>
      </c>
      <c r="C12" s="356">
        <f>'Input Tab'!D55</f>
        <v>498647</v>
      </c>
      <c r="D12" s="356">
        <f>'Input Tab'!E55</f>
        <v>492113</v>
      </c>
      <c r="E12" s="356">
        <f>'Input Tab'!F55</f>
        <v>431145</v>
      </c>
      <c r="F12" s="356">
        <f>'Input Tab'!G55</f>
        <v>438507</v>
      </c>
      <c r="G12" s="356">
        <f>'Input Tab'!H55</f>
        <v>423630</v>
      </c>
      <c r="H12" s="356">
        <f>'Input Tab'!I55</f>
        <v>451024</v>
      </c>
      <c r="I12" s="356">
        <f>'Input Tab'!J55</f>
        <v>469267</v>
      </c>
      <c r="J12" s="356">
        <f>'Input Tab'!K55</f>
        <v>421946</v>
      </c>
      <c r="K12" s="356">
        <f>'Input Tab'!L55</f>
        <v>451214</v>
      </c>
      <c r="L12" s="356">
        <f>'Input Tab'!M55</f>
        <v>471440</v>
      </c>
      <c r="M12" s="356">
        <f>'Input Tab'!N55</f>
        <v>548964</v>
      </c>
      <c r="N12" s="357">
        <f>SUM(B12:D12)</f>
        <v>1546697</v>
      </c>
      <c r="P12" s="358" t="s">
        <v>429</v>
      </c>
    </row>
    <row r="13" spans="1:17" ht="38.25" customHeight="1">
      <c r="A13" s="359" t="s">
        <v>402</v>
      </c>
      <c r="B13" s="241">
        <f>B11-B12</f>
        <v>-10653</v>
      </c>
      <c r="C13" s="241">
        <f>IF(C8=0," ",C11-C12)</f>
        <v>-17653</v>
      </c>
      <c r="D13" s="241">
        <f t="shared" ref="D13:M13" si="4">IF(D8=0," ",D11-D12)</f>
        <v>-3457</v>
      </c>
      <c r="E13" s="241" t="str">
        <f t="shared" si="4"/>
        <v xml:space="preserve"> </v>
      </c>
      <c r="F13" s="241" t="str">
        <f t="shared" si="4"/>
        <v xml:space="preserve"> </v>
      </c>
      <c r="G13" s="241" t="str">
        <f t="shared" si="4"/>
        <v xml:space="preserve"> </v>
      </c>
      <c r="H13" s="241" t="str">
        <f t="shared" si="4"/>
        <v xml:space="preserve"> </v>
      </c>
      <c r="I13" s="241" t="str">
        <f t="shared" si="4"/>
        <v xml:space="preserve"> </v>
      </c>
      <c r="J13" s="241" t="str">
        <f t="shared" si="4"/>
        <v xml:space="preserve"> </v>
      </c>
      <c r="K13" s="241" t="str">
        <f t="shared" si="4"/>
        <v xml:space="preserve"> </v>
      </c>
      <c r="L13" s="241" t="str">
        <f t="shared" si="4"/>
        <v xml:space="preserve"> </v>
      </c>
      <c r="M13" s="241" t="str">
        <f t="shared" si="4"/>
        <v xml:space="preserve"> </v>
      </c>
      <c r="N13" s="360">
        <f t="shared" si="1"/>
        <v>-31763</v>
      </c>
    </row>
    <row r="14" spans="1:17" ht="42.75" customHeight="1">
      <c r="A14" s="359" t="s">
        <v>413</v>
      </c>
      <c r="B14" s="361">
        <f>'Input Tab'!C56</f>
        <v>15.66</v>
      </c>
      <c r="C14" s="361">
        <f>'Input Tab'!D56</f>
        <v>15.66</v>
      </c>
      <c r="D14" s="361">
        <f>'Input Tab'!E56</f>
        <v>15.66</v>
      </c>
      <c r="E14" s="361">
        <f>'Input Tab'!F56</f>
        <v>15.66</v>
      </c>
      <c r="F14" s="361">
        <f>'Input Tab'!G56</f>
        <v>15.66</v>
      </c>
      <c r="G14" s="361">
        <f>'Input Tab'!H56</f>
        <v>15.66</v>
      </c>
      <c r="H14" s="361">
        <f>'Input Tab'!I56</f>
        <v>15.66</v>
      </c>
      <c r="I14" s="361">
        <f>'Input Tab'!J56</f>
        <v>15.66</v>
      </c>
      <c r="J14" s="361">
        <f>'Input Tab'!K56</f>
        <v>15.66</v>
      </c>
      <c r="K14" s="361">
        <f>'Input Tab'!L56</f>
        <v>15.66</v>
      </c>
      <c r="L14" s="361">
        <f>'Input Tab'!M56</f>
        <v>15.66</v>
      </c>
      <c r="M14" s="361">
        <f>'Input Tab'!N56</f>
        <v>15.66</v>
      </c>
      <c r="N14" s="240"/>
    </row>
    <row r="15" spans="1:17" ht="30.75" customHeight="1" thickBot="1">
      <c r="A15" s="362" t="s">
        <v>414</v>
      </c>
      <c r="B15" s="363">
        <f>B13*B14</f>
        <v>-166826</v>
      </c>
      <c r="C15" s="363">
        <f>IF(C8=0,0,C13*C14)</f>
        <v>-276446</v>
      </c>
      <c r="D15" s="363">
        <f t="shared" ref="D15:M15" si="5">IF(D8=0,0,D13*D14)</f>
        <v>-54137</v>
      </c>
      <c r="E15" s="363">
        <f t="shared" si="5"/>
        <v>0</v>
      </c>
      <c r="F15" s="363">
        <f t="shared" si="5"/>
        <v>0</v>
      </c>
      <c r="G15" s="363">
        <f t="shared" si="5"/>
        <v>0</v>
      </c>
      <c r="H15" s="363">
        <f t="shared" si="5"/>
        <v>0</v>
      </c>
      <c r="I15" s="363">
        <f t="shared" si="5"/>
        <v>0</v>
      </c>
      <c r="J15" s="363">
        <f t="shared" si="5"/>
        <v>0</v>
      </c>
      <c r="K15" s="363">
        <f t="shared" si="5"/>
        <v>0</v>
      </c>
      <c r="L15" s="363">
        <f t="shared" si="5"/>
        <v>0</v>
      </c>
      <c r="M15" s="363">
        <f t="shared" si="5"/>
        <v>0</v>
      </c>
      <c r="N15" s="363">
        <f>SUM(B15:M15)</f>
        <v>-497409</v>
      </c>
    </row>
    <row r="16" spans="1:17" ht="20.100000000000001" customHeight="1" thickTop="1">
      <c r="G16" s="364"/>
      <c r="N16" s="347"/>
    </row>
    <row r="17" spans="1:16" ht="20.100000000000001" customHeight="1">
      <c r="A17" s="365"/>
      <c r="N17" s="347"/>
    </row>
    <row r="18" spans="1:16" ht="36.75" customHeight="1">
      <c r="A18" s="366" t="s">
        <v>415</v>
      </c>
      <c r="B18" s="367">
        <f>B7</f>
        <v>43131</v>
      </c>
      <c r="C18" s="367">
        <f t="shared" ref="C18:N18" si="6">C7</f>
        <v>43159</v>
      </c>
      <c r="D18" s="367">
        <f t="shared" si="6"/>
        <v>43190</v>
      </c>
      <c r="E18" s="367">
        <f t="shared" si="6"/>
        <v>43220</v>
      </c>
      <c r="F18" s="367">
        <f t="shared" si="6"/>
        <v>43251</v>
      </c>
      <c r="G18" s="367">
        <f t="shared" si="6"/>
        <v>43281</v>
      </c>
      <c r="H18" s="367">
        <f t="shared" si="6"/>
        <v>43312</v>
      </c>
      <c r="I18" s="367">
        <f t="shared" si="6"/>
        <v>43343</v>
      </c>
      <c r="J18" s="367">
        <f t="shared" si="6"/>
        <v>43373</v>
      </c>
      <c r="K18" s="367">
        <f t="shared" si="6"/>
        <v>43404</v>
      </c>
      <c r="L18" s="367">
        <f t="shared" si="6"/>
        <v>43434</v>
      </c>
      <c r="M18" s="367">
        <f t="shared" si="6"/>
        <v>43465</v>
      </c>
      <c r="N18" s="343" t="str">
        <f t="shared" si="6"/>
        <v>YTD</v>
      </c>
    </row>
    <row r="19" spans="1:16" ht="29.25" customHeight="1">
      <c r="A19" s="368" t="s">
        <v>2</v>
      </c>
      <c r="B19" s="369">
        <f>IF(B8=0," ",B15*-1)</f>
        <v>166826</v>
      </c>
      <c r="C19" s="369">
        <f>IF(C8=0," ",C15*-1)</f>
        <v>276446</v>
      </c>
      <c r="D19" s="369">
        <f t="shared" ref="D19:M19" si="7">IF(D8=0," ",D15*-1)</f>
        <v>54137</v>
      </c>
      <c r="E19" s="369" t="str">
        <f t="shared" si="7"/>
        <v xml:space="preserve"> </v>
      </c>
      <c r="F19" s="369" t="str">
        <f t="shared" si="7"/>
        <v xml:space="preserve"> </v>
      </c>
      <c r="G19" s="369" t="str">
        <f t="shared" si="7"/>
        <v xml:space="preserve"> </v>
      </c>
      <c r="H19" s="369" t="str">
        <f t="shared" si="7"/>
        <v xml:space="preserve"> </v>
      </c>
      <c r="I19" s="369" t="str">
        <f t="shared" si="7"/>
        <v xml:space="preserve"> </v>
      </c>
      <c r="J19" s="369" t="str">
        <f t="shared" si="7"/>
        <v xml:space="preserve"> </v>
      </c>
      <c r="K19" s="369" t="str">
        <f t="shared" si="7"/>
        <v xml:space="preserve"> </v>
      </c>
      <c r="L19" s="369" t="str">
        <f t="shared" si="7"/>
        <v xml:space="preserve"> </v>
      </c>
      <c r="M19" s="369" t="str">
        <f t="shared" si="7"/>
        <v xml:space="preserve"> </v>
      </c>
      <c r="N19" s="369">
        <f>N15*-1</f>
        <v>497409</v>
      </c>
    </row>
    <row r="20" spans="1:16" ht="15.75">
      <c r="A20" s="370"/>
      <c r="B20" s="371" t="str">
        <f>IF(B19&lt;0,"Rebate","Surcharge")</f>
        <v>Surcharge</v>
      </c>
      <c r="C20" s="371" t="str">
        <f t="shared" ref="C20:N20" si="8">IF(C19&lt;0,"Rebate","Surcharge")</f>
        <v>Surcharge</v>
      </c>
      <c r="D20" s="371" t="str">
        <f t="shared" si="8"/>
        <v>Surcharge</v>
      </c>
      <c r="E20" s="371" t="str">
        <f t="shared" si="8"/>
        <v>Surcharge</v>
      </c>
      <c r="F20" s="371" t="str">
        <f t="shared" si="8"/>
        <v>Surcharge</v>
      </c>
      <c r="G20" s="371" t="str">
        <f t="shared" si="8"/>
        <v>Surcharge</v>
      </c>
      <c r="H20" s="371" t="str">
        <f t="shared" si="8"/>
        <v>Surcharge</v>
      </c>
      <c r="I20" s="371" t="str">
        <f t="shared" si="8"/>
        <v>Surcharge</v>
      </c>
      <c r="J20" s="371" t="str">
        <f t="shared" si="8"/>
        <v>Surcharge</v>
      </c>
      <c r="K20" s="371" t="str">
        <f t="shared" si="8"/>
        <v>Surcharge</v>
      </c>
      <c r="L20" s="371" t="str">
        <f t="shared" si="8"/>
        <v>Surcharge</v>
      </c>
      <c r="M20" s="371" t="str">
        <f t="shared" si="8"/>
        <v>Surcharge</v>
      </c>
      <c r="N20" s="371" t="str">
        <f t="shared" si="8"/>
        <v>Surcharge</v>
      </c>
    </row>
    <row r="21" spans="1:16" ht="27" customHeight="1">
      <c r="A21" s="372" t="s">
        <v>408</v>
      </c>
      <c r="B21" s="373">
        <f>'Input Tab'!C58</f>
        <v>-37943.33</v>
      </c>
      <c r="C21" s="373">
        <f>'Input Tab'!D58</f>
        <v>339003.31</v>
      </c>
      <c r="D21" s="373">
        <f>'Input Tab'!E58</f>
        <v>187670.73</v>
      </c>
      <c r="E21" s="373">
        <f>'Input Tab'!F58</f>
        <v>-84609.600000000006</v>
      </c>
      <c r="F21" s="373">
        <f>'Input Tab'!G58</f>
        <v>107839.18</v>
      </c>
      <c r="G21" s="373">
        <f>'Input Tab'!H58</f>
        <v>-120586.87</v>
      </c>
      <c r="H21" s="373">
        <f>'Input Tab'!I58</f>
        <v>-749950.95</v>
      </c>
      <c r="I21" s="373">
        <f>'Input Tab'!J58</f>
        <v>-189109.75</v>
      </c>
      <c r="J21" s="373">
        <f>'Input Tab'!K58</f>
        <v>-118698.29</v>
      </c>
      <c r="K21" s="373">
        <f>'Input Tab'!L58</f>
        <v>-79221.710000000006</v>
      </c>
      <c r="L21" s="373">
        <f>'Input Tab'!M58</f>
        <v>-448598.03</v>
      </c>
      <c r="M21" s="373">
        <f>'Input Tab'!N58</f>
        <v>-402928.44</v>
      </c>
      <c r="N21" s="373">
        <f>SUM(B21:M21)</f>
        <v>-1597133.75</v>
      </c>
      <c r="P21" s="71" t="s">
        <v>472</v>
      </c>
    </row>
    <row r="22" spans="1:16">
      <c r="A22" s="364"/>
      <c r="B22" s="374" t="str">
        <f>IF(B21&lt;0,"Rebate","Surcharge")</f>
        <v>Rebate</v>
      </c>
      <c r="C22" s="374" t="str">
        <f t="shared" ref="C22:N22" si="9">IF(C21&lt;0,"Rebate","Surcharge")</f>
        <v>Surcharge</v>
      </c>
      <c r="D22" s="374" t="str">
        <f t="shared" si="9"/>
        <v>Surcharge</v>
      </c>
      <c r="E22" s="374" t="str">
        <f t="shared" si="9"/>
        <v>Rebate</v>
      </c>
      <c r="F22" s="374" t="str">
        <f t="shared" si="9"/>
        <v>Surcharge</v>
      </c>
      <c r="G22" s="374" t="str">
        <f t="shared" si="9"/>
        <v>Rebate</v>
      </c>
      <c r="H22" s="374" t="str">
        <f t="shared" si="9"/>
        <v>Rebate</v>
      </c>
      <c r="I22" s="374" t="str">
        <f t="shared" si="9"/>
        <v>Rebate</v>
      </c>
      <c r="J22" s="374" t="str">
        <f t="shared" si="9"/>
        <v>Rebate</v>
      </c>
      <c r="K22" s="374" t="str">
        <f t="shared" si="9"/>
        <v>Rebate</v>
      </c>
      <c r="L22" s="374" t="str">
        <f t="shared" si="9"/>
        <v>Rebate</v>
      </c>
      <c r="M22" s="374" t="str">
        <f t="shared" si="9"/>
        <v>Rebate</v>
      </c>
      <c r="N22" s="374" t="str">
        <f t="shared" si="9"/>
        <v>Rebate</v>
      </c>
    </row>
    <row r="25" spans="1:16">
      <c r="G25" s="347"/>
    </row>
    <row r="34" spans="1:1">
      <c r="A34" s="37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5" activePane="bottomRight" state="frozen"/>
      <selection sqref="A1:M1"/>
      <selection pane="topRight" sqref="A1:M1"/>
      <selection pane="bottomLeft" sqref="A1:M1"/>
      <selection pane="bottomRight" sqref="A1:P1"/>
    </sheetView>
  </sheetViews>
  <sheetFormatPr defaultRowHeight="12.75" outlineLevelCol="1"/>
  <cols>
    <col min="1" max="1" width="5.7109375" style="274" customWidth="1"/>
    <col min="2" max="2" width="9.140625" style="71"/>
    <col min="3" max="3" width="29.5703125" style="71" customWidth="1"/>
    <col min="4" max="4" width="15" style="71" bestFit="1" customWidth="1" outlineLevel="1"/>
    <col min="5" max="9" width="15.7109375" style="71" bestFit="1" customWidth="1"/>
    <col min="10" max="10" width="13.5703125" style="71" bestFit="1" customWidth="1"/>
    <col min="11" max="13" width="15.7109375" style="71" bestFit="1" customWidth="1"/>
    <col min="14" max="14" width="13.5703125" style="71" bestFit="1" customWidth="1"/>
    <col min="15" max="16" width="14" style="71" bestFit="1" customWidth="1"/>
    <col min="17" max="17" width="12.28515625" style="71" bestFit="1" customWidth="1"/>
    <col min="18" max="16384" width="9.140625" style="71"/>
  </cols>
  <sheetData>
    <row r="1" spans="1:17">
      <c r="A1" s="509" t="s">
        <v>227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</row>
    <row r="2" spans="1:17" ht="15.75">
      <c r="A2" s="510" t="s">
        <v>38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</row>
    <row r="3" spans="1:17" ht="35.25" customHeight="1">
      <c r="A3" s="430" t="s">
        <v>0</v>
      </c>
      <c r="B3" s="185"/>
    </row>
    <row r="4" spans="1:17">
      <c r="A4" s="146" t="s">
        <v>1</v>
      </c>
      <c r="B4" s="285" t="s">
        <v>241</v>
      </c>
      <c r="C4" s="261"/>
      <c r="D4" s="378" t="s">
        <v>10</v>
      </c>
      <c r="E4" s="320">
        <v>43131</v>
      </c>
      <c r="F4" s="320">
        <f>EOMONTH(E4,1)</f>
        <v>43159</v>
      </c>
      <c r="G4" s="320">
        <f t="shared" ref="G4:P4" si="0">EOMONTH(F4,1)</f>
        <v>43190</v>
      </c>
      <c r="H4" s="320">
        <f t="shared" si="0"/>
        <v>43220</v>
      </c>
      <c r="I4" s="320">
        <f t="shared" si="0"/>
        <v>43251</v>
      </c>
      <c r="J4" s="320">
        <f t="shared" si="0"/>
        <v>43281</v>
      </c>
      <c r="K4" s="320">
        <f t="shared" si="0"/>
        <v>43312</v>
      </c>
      <c r="L4" s="320">
        <f t="shared" si="0"/>
        <v>43343</v>
      </c>
      <c r="M4" s="320">
        <f t="shared" si="0"/>
        <v>43373</v>
      </c>
      <c r="N4" s="320">
        <f t="shared" si="0"/>
        <v>43404</v>
      </c>
      <c r="O4" s="320">
        <f t="shared" si="0"/>
        <v>43434</v>
      </c>
      <c r="P4" s="320">
        <f t="shared" si="0"/>
        <v>43465</v>
      </c>
    </row>
    <row r="5" spans="1:17" ht="15.95" customHeight="1">
      <c r="A5" s="274">
        <v>1</v>
      </c>
      <c r="B5" s="71" t="s">
        <v>3</v>
      </c>
      <c r="D5" s="156">
        <f>SUM(E5:P5)</f>
        <v>43831890</v>
      </c>
      <c r="E5" s="189">
        <f>'ID Monthly'!E23</f>
        <v>16532438</v>
      </c>
      <c r="F5" s="189">
        <f>'ID Monthly'!F23</f>
        <v>15146420</v>
      </c>
      <c r="G5" s="189">
        <f>'ID Monthly'!G23</f>
        <v>12153032</v>
      </c>
      <c r="H5" s="189">
        <f>'ID Monthly'!H23</f>
        <v>0</v>
      </c>
      <c r="I5" s="189">
        <f>'ID Monthly'!I23</f>
        <v>0</v>
      </c>
      <c r="J5" s="189">
        <f>'ID Monthly'!J23</f>
        <v>0</v>
      </c>
      <c r="K5" s="189">
        <f>'ID Monthly'!K23</f>
        <v>0</v>
      </c>
      <c r="L5" s="189">
        <f>'ID Monthly'!L23</f>
        <v>0</v>
      </c>
      <c r="M5" s="189">
        <f>'ID Monthly'!M23</f>
        <v>0</v>
      </c>
      <c r="N5" s="189">
        <f>'ID Monthly'!N23</f>
        <v>0</v>
      </c>
      <c r="O5" s="189">
        <f>'ID Monthly'!O23</f>
        <v>0</v>
      </c>
      <c r="P5" s="189">
        <f>'ID Monthly'!P23</f>
        <v>0</v>
      </c>
    </row>
    <row r="6" spans="1:17" s="73" customFormat="1" ht="15.95" customHeight="1">
      <c r="A6" s="101">
        <f>1+A5</f>
        <v>2</v>
      </c>
      <c r="B6" s="73" t="s">
        <v>6</v>
      </c>
      <c r="D6" s="156">
        <f t="shared" ref="D6:D13" si="1">SUM(E6:P6)</f>
        <v>-34902292</v>
      </c>
      <c r="E6" s="189">
        <f>'ID Monthly'!E45</f>
        <v>-14027524</v>
      </c>
      <c r="F6" s="189">
        <f>'ID Monthly'!F45</f>
        <v>-9676671</v>
      </c>
      <c r="G6" s="189">
        <f>'ID Monthly'!G45</f>
        <v>-11198097</v>
      </c>
      <c r="H6" s="189">
        <f>'ID Monthly'!H45</f>
        <v>0</v>
      </c>
      <c r="I6" s="189">
        <f>'ID Monthly'!I45</f>
        <v>0</v>
      </c>
      <c r="J6" s="189">
        <f>'ID Monthly'!J45</f>
        <v>0</v>
      </c>
      <c r="K6" s="189">
        <f>'ID Monthly'!K45</f>
        <v>0</v>
      </c>
      <c r="L6" s="189">
        <f>'ID Monthly'!L45</f>
        <v>0</v>
      </c>
      <c r="M6" s="189">
        <f>'ID Monthly'!M45</f>
        <v>0</v>
      </c>
      <c r="N6" s="189">
        <f>'ID Monthly'!N45</f>
        <v>0</v>
      </c>
      <c r="O6" s="189">
        <f>'ID Monthly'!O45</f>
        <v>0</v>
      </c>
      <c r="P6" s="189">
        <f>'ID Monthly'!P45</f>
        <v>0</v>
      </c>
    </row>
    <row r="7" spans="1:17" ht="15.95" customHeight="1">
      <c r="A7" s="101">
        <f t="shared" ref="A7:A13" si="2">A6+1</f>
        <v>3</v>
      </c>
      <c r="B7" s="71" t="s">
        <v>4</v>
      </c>
      <c r="D7" s="156">
        <f t="shared" si="1"/>
        <v>7070850</v>
      </c>
      <c r="E7" s="189">
        <f>'ID Monthly'!E62</f>
        <v>2809889</v>
      </c>
      <c r="F7" s="189">
        <f>'ID Monthly'!F62</f>
        <v>1451692</v>
      </c>
      <c r="G7" s="189">
        <f>'ID Monthly'!G62</f>
        <v>2809269</v>
      </c>
      <c r="H7" s="189">
        <f>'ID Monthly'!H62</f>
        <v>0</v>
      </c>
      <c r="I7" s="189">
        <f>'ID Monthly'!I62</f>
        <v>0</v>
      </c>
      <c r="J7" s="189">
        <f>'ID Monthly'!J62</f>
        <v>0</v>
      </c>
      <c r="K7" s="189">
        <f>'ID Monthly'!K62</f>
        <v>0</v>
      </c>
      <c r="L7" s="189">
        <f>'ID Monthly'!L62</f>
        <v>0</v>
      </c>
      <c r="M7" s="189">
        <f>'ID Monthly'!M62</f>
        <v>0</v>
      </c>
      <c r="N7" s="189">
        <f>'ID Monthly'!N62</f>
        <v>0</v>
      </c>
      <c r="O7" s="189">
        <f>'ID Monthly'!O62</f>
        <v>0</v>
      </c>
      <c r="P7" s="189">
        <f>'ID Monthly'!P62</f>
        <v>0</v>
      </c>
    </row>
    <row r="8" spans="1:17" ht="15.95" customHeight="1">
      <c r="A8" s="101">
        <f t="shared" si="2"/>
        <v>4</v>
      </c>
      <c r="B8" s="71" t="s">
        <v>5</v>
      </c>
      <c r="D8" s="156">
        <f t="shared" si="1"/>
        <v>17842380</v>
      </c>
      <c r="E8" s="189">
        <f>'ID Monthly'!E79</f>
        <v>6964296</v>
      </c>
      <c r="F8" s="189">
        <f>'ID Monthly'!F79</f>
        <v>4564678</v>
      </c>
      <c r="G8" s="189">
        <f>'ID Monthly'!G79</f>
        <v>6313406</v>
      </c>
      <c r="H8" s="189">
        <f>'ID Monthly'!H79</f>
        <v>0</v>
      </c>
      <c r="I8" s="189">
        <f>'ID Monthly'!I79</f>
        <v>0</v>
      </c>
      <c r="J8" s="189">
        <f>'ID Monthly'!J79</f>
        <v>0</v>
      </c>
      <c r="K8" s="189">
        <f>'ID Monthly'!K79</f>
        <v>0</v>
      </c>
      <c r="L8" s="189">
        <f>'ID Monthly'!L79</f>
        <v>0</v>
      </c>
      <c r="M8" s="189">
        <f>'ID Monthly'!M79</f>
        <v>0</v>
      </c>
      <c r="N8" s="189">
        <f>'ID Monthly'!N79</f>
        <v>0</v>
      </c>
      <c r="O8" s="189">
        <f>'ID Monthly'!O79</f>
        <v>0</v>
      </c>
      <c r="P8" s="189">
        <f>'ID Monthly'!P79</f>
        <v>0</v>
      </c>
    </row>
    <row r="9" spans="1:17" ht="15.95" customHeight="1">
      <c r="A9" s="101">
        <f t="shared" si="2"/>
        <v>5</v>
      </c>
      <c r="B9" s="71" t="s">
        <v>189</v>
      </c>
      <c r="D9" s="156">
        <f t="shared" si="1"/>
        <v>-3850762</v>
      </c>
      <c r="E9" s="189">
        <f>'ID Monthly'!E92</f>
        <v>-1341915</v>
      </c>
      <c r="F9" s="189">
        <f>'ID Monthly'!F92</f>
        <v>-1427616</v>
      </c>
      <c r="G9" s="189">
        <f>'ID Monthly'!G92</f>
        <v>-1081231</v>
      </c>
      <c r="H9" s="189">
        <f>'ID Monthly'!H92</f>
        <v>0</v>
      </c>
      <c r="I9" s="189">
        <f>'ID Monthly'!I92</f>
        <v>0</v>
      </c>
      <c r="J9" s="189">
        <f>'ID Monthly'!J92</f>
        <v>0</v>
      </c>
      <c r="K9" s="189">
        <f>'ID Monthly'!K92</f>
        <v>0</v>
      </c>
      <c r="L9" s="189">
        <f>'ID Monthly'!L92</f>
        <v>0</v>
      </c>
      <c r="M9" s="189">
        <f>'ID Monthly'!M92</f>
        <v>0</v>
      </c>
      <c r="N9" s="189">
        <f>'ID Monthly'!N92</f>
        <v>0</v>
      </c>
      <c r="O9" s="189">
        <f>'ID Monthly'!O92</f>
        <v>0</v>
      </c>
      <c r="P9" s="189">
        <f>'ID Monthly'!P92</f>
        <v>0</v>
      </c>
    </row>
    <row r="10" spans="1:17" ht="15.95" customHeight="1">
      <c r="A10" s="101">
        <f t="shared" si="2"/>
        <v>6</v>
      </c>
      <c r="B10" s="71" t="s">
        <v>188</v>
      </c>
      <c r="D10" s="156">
        <f t="shared" si="1"/>
        <v>4534381</v>
      </c>
      <c r="E10" s="189">
        <f>'ID Monthly'!E98</f>
        <v>1537140</v>
      </c>
      <c r="F10" s="189">
        <f>'ID Monthly'!F98</f>
        <v>1480382</v>
      </c>
      <c r="G10" s="189">
        <f>'ID Monthly'!G98</f>
        <v>1516859</v>
      </c>
      <c r="H10" s="189">
        <f>'ID Monthly'!H98</f>
        <v>0</v>
      </c>
      <c r="I10" s="189">
        <f>'ID Monthly'!I98</f>
        <v>0</v>
      </c>
      <c r="J10" s="189">
        <f>'ID Monthly'!J98</f>
        <v>0</v>
      </c>
      <c r="K10" s="189">
        <f>'ID Monthly'!K98</f>
        <v>0</v>
      </c>
      <c r="L10" s="189">
        <f>'ID Monthly'!L98</f>
        <v>0</v>
      </c>
      <c r="M10" s="189">
        <f>'ID Monthly'!M98</f>
        <v>0</v>
      </c>
      <c r="N10" s="189">
        <f>'ID Monthly'!N98</f>
        <v>0</v>
      </c>
      <c r="O10" s="189">
        <f>'ID Monthly'!O98</f>
        <v>0</v>
      </c>
      <c r="P10" s="189">
        <f>'ID Monthly'!P98</f>
        <v>0</v>
      </c>
    </row>
    <row r="11" spans="1:17" ht="15.95" customHeight="1">
      <c r="A11" s="101">
        <f t="shared" si="2"/>
        <v>7</v>
      </c>
      <c r="B11" s="71" t="s">
        <v>484</v>
      </c>
      <c r="D11" s="156">
        <f t="shared" si="1"/>
        <v>388332</v>
      </c>
      <c r="E11" s="189">
        <f>'ID Monthly'!E107</f>
        <v>129444</v>
      </c>
      <c r="F11" s="189">
        <f>'ID Monthly'!F107</f>
        <v>129444</v>
      </c>
      <c r="G11" s="189">
        <f>'ID Monthly'!G107</f>
        <v>129444</v>
      </c>
      <c r="H11" s="189">
        <f>'ID Monthly'!H107</f>
        <v>0</v>
      </c>
      <c r="I11" s="189">
        <f>'ID Monthly'!I107</f>
        <v>0</v>
      </c>
      <c r="J11" s="189">
        <f>'ID Monthly'!J107</f>
        <v>0</v>
      </c>
      <c r="K11" s="189">
        <f>'ID Monthly'!K107</f>
        <v>0</v>
      </c>
      <c r="L11" s="189">
        <f>'ID Monthly'!L107</f>
        <v>0</v>
      </c>
      <c r="M11" s="189">
        <f>'ID Monthly'!M107</f>
        <v>0</v>
      </c>
      <c r="N11" s="189">
        <f>'ID Monthly'!N107</f>
        <v>0</v>
      </c>
      <c r="O11" s="189">
        <f>'ID Monthly'!O107</f>
        <v>0</v>
      </c>
      <c r="P11" s="189">
        <f>'ID Monthly'!P107</f>
        <v>0</v>
      </c>
    </row>
    <row r="12" spans="1:17" ht="15.95" customHeight="1">
      <c r="A12" s="101">
        <f t="shared" si="2"/>
        <v>8</v>
      </c>
      <c r="B12" s="51" t="s">
        <v>476</v>
      </c>
      <c r="D12" s="156">
        <f>SUM(E12:P12)</f>
        <v>36173</v>
      </c>
      <c r="E12" s="310">
        <f>'ID Monthly'!E103</f>
        <v>16902</v>
      </c>
      <c r="F12" s="310">
        <f>'ID Monthly'!F103</f>
        <v>8733</v>
      </c>
      <c r="G12" s="189">
        <f>'ID Monthly'!G103</f>
        <v>10538</v>
      </c>
      <c r="H12" s="189">
        <f>'ID Monthly'!H103</f>
        <v>0</v>
      </c>
      <c r="I12" s="189">
        <f>'ID Monthly'!I103</f>
        <v>0</v>
      </c>
      <c r="J12" s="189">
        <f>'ID Monthly'!J103</f>
        <v>0</v>
      </c>
      <c r="K12" s="189">
        <f>'ID Monthly'!K103</f>
        <v>0</v>
      </c>
      <c r="L12" s="189">
        <f>'ID Monthly'!L103</f>
        <v>0</v>
      </c>
      <c r="M12" s="189">
        <f>'ID Monthly'!M103</f>
        <v>0</v>
      </c>
      <c r="N12" s="189">
        <f>'ID Monthly'!N103</f>
        <v>0</v>
      </c>
      <c r="O12" s="189">
        <f>'ID Monthly'!O103</f>
        <v>0</v>
      </c>
      <c r="P12" s="189">
        <f>'ID Monthly'!P103</f>
        <v>0</v>
      </c>
    </row>
    <row r="13" spans="1:17" ht="26.25" customHeight="1">
      <c r="A13" s="101">
        <f t="shared" si="2"/>
        <v>9</v>
      </c>
      <c r="B13" s="259" t="s">
        <v>11</v>
      </c>
      <c r="C13" s="259"/>
      <c r="D13" s="172">
        <f t="shared" si="1"/>
        <v>34950952</v>
      </c>
      <c r="E13" s="173">
        <f>SUM(E5:E12)</f>
        <v>12620670</v>
      </c>
      <c r="F13" s="173">
        <f t="shared" ref="F13:P13" si="3">SUM(F5:F12)</f>
        <v>11677062</v>
      </c>
      <c r="G13" s="173">
        <f t="shared" si="3"/>
        <v>10653220</v>
      </c>
      <c r="H13" s="173">
        <f t="shared" si="3"/>
        <v>0</v>
      </c>
      <c r="I13" s="173">
        <f t="shared" si="3"/>
        <v>0</v>
      </c>
      <c r="J13" s="173">
        <f t="shared" si="3"/>
        <v>0</v>
      </c>
      <c r="K13" s="173">
        <f t="shared" si="3"/>
        <v>0</v>
      </c>
      <c r="L13" s="173">
        <f t="shared" si="3"/>
        <v>0</v>
      </c>
      <c r="M13" s="173">
        <f t="shared" si="3"/>
        <v>0</v>
      </c>
      <c r="N13" s="173">
        <f t="shared" si="3"/>
        <v>0</v>
      </c>
      <c r="O13" s="173">
        <f t="shared" si="3"/>
        <v>0</v>
      </c>
      <c r="P13" s="173">
        <f t="shared" si="3"/>
        <v>0</v>
      </c>
    </row>
    <row r="14" spans="1:17" ht="33" customHeight="1">
      <c r="B14" s="285" t="s">
        <v>12</v>
      </c>
      <c r="C14" s="431"/>
      <c r="D14" s="323" t="str">
        <f>'WA Summary '!D14:E14</f>
        <v>Total through March</v>
      </c>
      <c r="E14" s="432">
        <f>E4</f>
        <v>43131</v>
      </c>
      <c r="F14" s="432">
        <f t="shared" ref="F14:P14" si="4">F4</f>
        <v>43159</v>
      </c>
      <c r="G14" s="432">
        <f t="shared" si="4"/>
        <v>43190</v>
      </c>
      <c r="H14" s="432">
        <f t="shared" si="4"/>
        <v>43220</v>
      </c>
      <c r="I14" s="432">
        <f t="shared" si="4"/>
        <v>43251</v>
      </c>
      <c r="J14" s="432">
        <f t="shared" si="4"/>
        <v>43281</v>
      </c>
      <c r="K14" s="432">
        <f t="shared" si="4"/>
        <v>43312</v>
      </c>
      <c r="L14" s="432">
        <f t="shared" si="4"/>
        <v>43343</v>
      </c>
      <c r="M14" s="432">
        <f t="shared" si="4"/>
        <v>43373</v>
      </c>
      <c r="N14" s="432">
        <f t="shared" si="4"/>
        <v>43404</v>
      </c>
      <c r="O14" s="432">
        <f t="shared" si="4"/>
        <v>43434</v>
      </c>
      <c r="P14" s="432">
        <f t="shared" si="4"/>
        <v>43465</v>
      </c>
    </row>
    <row r="15" spans="1:17" ht="15.95" customHeight="1">
      <c r="A15" s="274">
        <f>A13+1</f>
        <v>10</v>
      </c>
      <c r="B15" s="71" t="s">
        <v>3</v>
      </c>
      <c r="D15" s="433">
        <f t="shared" ref="D15:D22" si="5">SUM(E15:G15)</f>
        <v>28955736.57</v>
      </c>
      <c r="E15" s="434">
        <f>'Input Tab'!C63</f>
        <v>9702833.2899999991</v>
      </c>
      <c r="F15" s="434">
        <f>'Input Tab'!D63</f>
        <v>10328500.119999999</v>
      </c>
      <c r="G15" s="434">
        <f>'Input Tab'!E63</f>
        <v>8924403.1600000001</v>
      </c>
      <c r="H15" s="434">
        <f>'Input Tab'!F63</f>
        <v>7339923.5499999998</v>
      </c>
      <c r="I15" s="434">
        <f>'Input Tab'!G63</f>
        <v>5493489.1799999997</v>
      </c>
      <c r="J15" s="434">
        <f>'Input Tab'!H63</f>
        <v>5495060.4100000001</v>
      </c>
      <c r="K15" s="434">
        <f>'Input Tab'!I63</f>
        <v>6450837.8700000001</v>
      </c>
      <c r="L15" s="434">
        <f>'Input Tab'!J63</f>
        <v>7374829.1500000004</v>
      </c>
      <c r="M15" s="434">
        <f>'Input Tab'!K63</f>
        <v>6454509.96</v>
      </c>
      <c r="N15" s="434">
        <f>'Input Tab'!L63</f>
        <v>6678057.5800000001</v>
      </c>
      <c r="O15" s="434">
        <f>'Input Tab'!M63</f>
        <v>9322262.8599999994</v>
      </c>
      <c r="P15" s="434">
        <f>'Input Tab'!N63</f>
        <v>9533433.6400000006</v>
      </c>
      <c r="Q15" s="435"/>
    </row>
    <row r="16" spans="1:17" s="73" customFormat="1" ht="15.95" customHeight="1">
      <c r="A16" s="274">
        <f t="shared" ref="A16:A33" si="6">A15+1</f>
        <v>11</v>
      </c>
      <c r="B16" s="73" t="s">
        <v>6</v>
      </c>
      <c r="D16" s="433">
        <f t="shared" si="5"/>
        <v>-7644154.1600000001</v>
      </c>
      <c r="E16" s="434">
        <f>'Input Tab'!C64</f>
        <v>-3781357.36</v>
      </c>
      <c r="F16" s="434">
        <f>'Input Tab'!D64</f>
        <v>-1822086.49</v>
      </c>
      <c r="G16" s="434">
        <f>'Input Tab'!E64</f>
        <v>-2040710.31</v>
      </c>
      <c r="H16" s="434">
        <f>'Input Tab'!F64</f>
        <v>-2860479.36</v>
      </c>
      <c r="I16" s="434">
        <f>'Input Tab'!G64</f>
        <v>-2523087.88</v>
      </c>
      <c r="J16" s="434">
        <f>'Input Tab'!H64</f>
        <v>-2502706</v>
      </c>
      <c r="K16" s="434">
        <f>'Input Tab'!I64</f>
        <v>-4670615.3</v>
      </c>
      <c r="L16" s="434">
        <f>'Input Tab'!J64</f>
        <v>-2827345.05</v>
      </c>
      <c r="M16" s="434">
        <f>'Input Tab'!K64</f>
        <v>-2878367.34</v>
      </c>
      <c r="N16" s="434">
        <f>'Input Tab'!L64</f>
        <v>-2286264.87</v>
      </c>
      <c r="O16" s="434">
        <f>'Input Tab'!M64</f>
        <v>-3502619.01</v>
      </c>
      <c r="P16" s="434">
        <f>'Input Tab'!N64</f>
        <v>-5561523.5599999996</v>
      </c>
      <c r="Q16" s="435"/>
    </row>
    <row r="17" spans="1:17" ht="15.95" customHeight="1">
      <c r="A17" s="274">
        <f t="shared" si="6"/>
        <v>12</v>
      </c>
      <c r="B17" s="71" t="s">
        <v>4</v>
      </c>
      <c r="D17" s="433">
        <f t="shared" si="5"/>
        <v>7642519.1399999997</v>
      </c>
      <c r="E17" s="434">
        <f>'Input Tab'!C65</f>
        <v>2710747.74</v>
      </c>
      <c r="F17" s="434">
        <f>'Input Tab'!D65</f>
        <v>2436292.5499999998</v>
      </c>
      <c r="G17" s="434">
        <f>'Input Tab'!E65</f>
        <v>2495478.85</v>
      </c>
      <c r="H17" s="434">
        <f>'Input Tab'!F65</f>
        <v>1999248.03</v>
      </c>
      <c r="I17" s="434">
        <f>'Input Tab'!G65</f>
        <v>1543139.19</v>
      </c>
      <c r="J17" s="434">
        <f>'Input Tab'!H65</f>
        <v>1346032.7</v>
      </c>
      <c r="K17" s="434">
        <f>'Input Tab'!I65</f>
        <v>2191772.3199999998</v>
      </c>
      <c r="L17" s="434">
        <f>'Input Tab'!J65</f>
        <v>2428910.81</v>
      </c>
      <c r="M17" s="434">
        <f>'Input Tab'!K65</f>
        <v>2491210.04</v>
      </c>
      <c r="N17" s="434">
        <f>'Input Tab'!L65</f>
        <v>2486833.9700000002</v>
      </c>
      <c r="O17" s="434">
        <f>'Input Tab'!M65</f>
        <v>2527218.2799999998</v>
      </c>
      <c r="P17" s="434">
        <f>'Input Tab'!N65</f>
        <v>2686721.65</v>
      </c>
      <c r="Q17" s="435"/>
    </row>
    <row r="18" spans="1:17" ht="15.95" customHeight="1">
      <c r="A18" s="274">
        <f t="shared" si="6"/>
        <v>13</v>
      </c>
      <c r="B18" s="71" t="s">
        <v>5</v>
      </c>
      <c r="D18" s="433">
        <f t="shared" si="5"/>
        <v>18063647.870000001</v>
      </c>
      <c r="E18" s="434">
        <f>'Input Tab'!C66</f>
        <v>8280148.4299999997</v>
      </c>
      <c r="F18" s="434">
        <f>'Input Tab'!D66</f>
        <v>5188309.49</v>
      </c>
      <c r="G18" s="434">
        <f>'Input Tab'!E66</f>
        <v>4595189.95</v>
      </c>
      <c r="H18" s="434">
        <f>'Input Tab'!F66</f>
        <v>2864295.64</v>
      </c>
      <c r="I18" s="434">
        <f>'Input Tab'!G66</f>
        <v>1538979.51</v>
      </c>
      <c r="J18" s="434">
        <f>'Input Tab'!H66</f>
        <v>1733332.64</v>
      </c>
      <c r="K18" s="434">
        <f>'Input Tab'!I66</f>
        <v>5506610.8600000003</v>
      </c>
      <c r="L18" s="434">
        <f>'Input Tab'!J66</f>
        <v>6911917.7199999997</v>
      </c>
      <c r="M18" s="434">
        <f>'Input Tab'!K66</f>
        <v>5890074.7699999996</v>
      </c>
      <c r="N18" s="434">
        <f>'Input Tab'!L66</f>
        <v>5805698.3300000001</v>
      </c>
      <c r="O18" s="434">
        <f>'Input Tab'!M66</f>
        <v>6416983.3099999996</v>
      </c>
      <c r="P18" s="434">
        <f>'Input Tab'!N66</f>
        <v>8327512.7999999998</v>
      </c>
      <c r="Q18" s="435"/>
    </row>
    <row r="19" spans="1:17" ht="15.95" customHeight="1">
      <c r="A19" s="274">
        <f t="shared" si="6"/>
        <v>14</v>
      </c>
      <c r="B19" s="71" t="s">
        <v>143</v>
      </c>
      <c r="D19" s="433">
        <f t="shared" si="5"/>
        <v>-3418290.36</v>
      </c>
      <c r="E19" s="434">
        <f>'Input Tab'!C67</f>
        <v>-1062694.25</v>
      </c>
      <c r="F19" s="434">
        <f>'Input Tab'!D67</f>
        <v>-1178480.71</v>
      </c>
      <c r="G19" s="434">
        <f>'Input Tab'!E67</f>
        <v>-1177115.3999999999</v>
      </c>
      <c r="H19" s="434">
        <f>'Input Tab'!F67</f>
        <v>-1141305.3700000001</v>
      </c>
      <c r="I19" s="434">
        <f>'Input Tab'!G67</f>
        <v>-1253487.52</v>
      </c>
      <c r="J19" s="434">
        <f>'Input Tab'!H67</f>
        <v>-1398528.7</v>
      </c>
      <c r="K19" s="434">
        <f>'Input Tab'!I67</f>
        <v>-1450378.42</v>
      </c>
      <c r="L19" s="434">
        <f>'Input Tab'!J67</f>
        <v>-1346818.86</v>
      </c>
      <c r="M19" s="434">
        <f>'Input Tab'!K67</f>
        <v>-1372212.68</v>
      </c>
      <c r="N19" s="434">
        <f>'Input Tab'!L67</f>
        <v>-1319316.33</v>
      </c>
      <c r="O19" s="434">
        <f>'Input Tab'!M67</f>
        <v>-1257650.3400000001</v>
      </c>
      <c r="P19" s="434">
        <f>'Input Tab'!N67</f>
        <v>-1191496.26</v>
      </c>
      <c r="Q19" s="435"/>
    </row>
    <row r="20" spans="1:17" ht="15.95" customHeight="1">
      <c r="A20" s="274">
        <f t="shared" si="6"/>
        <v>15</v>
      </c>
      <c r="B20" s="71" t="s">
        <v>109</v>
      </c>
      <c r="D20" s="433">
        <f t="shared" si="5"/>
        <v>4436210.3499999996</v>
      </c>
      <c r="E20" s="434">
        <f>'Input Tab'!C68</f>
        <v>1367136.34</v>
      </c>
      <c r="F20" s="434">
        <f>'Input Tab'!D68</f>
        <v>1600334.72</v>
      </c>
      <c r="G20" s="434">
        <f>'Input Tab'!E68</f>
        <v>1468739.29</v>
      </c>
      <c r="H20" s="434">
        <f>'Input Tab'!F68</f>
        <v>1449914.73</v>
      </c>
      <c r="I20" s="434">
        <f>'Input Tab'!G68</f>
        <v>1423359.44</v>
      </c>
      <c r="J20" s="434">
        <f>'Input Tab'!H68</f>
        <v>1415702.57</v>
      </c>
      <c r="K20" s="434">
        <f>'Input Tab'!I68</f>
        <v>1470703.45</v>
      </c>
      <c r="L20" s="434">
        <f>'Input Tab'!J68</f>
        <v>1461594.51</v>
      </c>
      <c r="M20" s="434">
        <f>'Input Tab'!K68</f>
        <v>1427129.57</v>
      </c>
      <c r="N20" s="434">
        <f>'Input Tab'!L68</f>
        <v>1424958.44</v>
      </c>
      <c r="O20" s="434">
        <f>'Input Tab'!M68</f>
        <v>1434977.94</v>
      </c>
      <c r="P20" s="434">
        <f>'Input Tab'!N68</f>
        <v>1459895.67</v>
      </c>
      <c r="Q20" s="435"/>
    </row>
    <row r="21" spans="1:17" ht="15.95" customHeight="1">
      <c r="A21" s="274">
        <f>A20+1</f>
        <v>16</v>
      </c>
      <c r="B21" s="51" t="s">
        <v>464</v>
      </c>
      <c r="D21" s="433">
        <f t="shared" si="5"/>
        <v>-851250</v>
      </c>
      <c r="E21" s="434">
        <f>'Input Tab'!C69</f>
        <v>-293350</v>
      </c>
      <c r="F21" s="434">
        <f>'Input Tab'!D69</f>
        <v>-264550</v>
      </c>
      <c r="G21" s="434">
        <f>'Input Tab'!E69</f>
        <v>-293350</v>
      </c>
      <c r="H21" s="434">
        <f>'Input Tab'!F69</f>
        <v>-283750</v>
      </c>
      <c r="I21" s="434">
        <f>'Input Tab'!G69</f>
        <v>-293350</v>
      </c>
      <c r="J21" s="434">
        <f>'Input Tab'!H69</f>
        <v>-283750</v>
      </c>
      <c r="K21" s="434">
        <f>'Input Tab'!I69</f>
        <v>-293350</v>
      </c>
      <c r="L21" s="434">
        <f>'Input Tab'!J69</f>
        <v>-293350</v>
      </c>
      <c r="M21" s="434">
        <f>'Input Tab'!K69</f>
        <v>-283750</v>
      </c>
      <c r="N21" s="434">
        <f>'Input Tab'!L69</f>
        <v>-293350</v>
      </c>
      <c r="O21" s="434">
        <f>'Input Tab'!M69</f>
        <v>-283750</v>
      </c>
      <c r="P21" s="434">
        <f>'Input Tab'!N69</f>
        <v>-293350</v>
      </c>
      <c r="Q21" s="435"/>
    </row>
    <row r="22" spans="1:17" ht="15.95" customHeight="1">
      <c r="A22" s="274">
        <f>A21+1</f>
        <v>17</v>
      </c>
      <c r="B22" s="52"/>
      <c r="D22" s="433">
        <f t="shared" si="5"/>
        <v>0</v>
      </c>
      <c r="E22" s="434">
        <f>'Input Tab'!C70</f>
        <v>0</v>
      </c>
      <c r="F22" s="434">
        <f>'Input Tab'!D70</f>
        <v>0</v>
      </c>
      <c r="G22" s="434">
        <f>'Input Tab'!E70</f>
        <v>0</v>
      </c>
      <c r="H22" s="434">
        <f>'Input Tab'!F70</f>
        <v>0</v>
      </c>
      <c r="I22" s="434">
        <f>'Input Tab'!G70</f>
        <v>0</v>
      </c>
      <c r="J22" s="434">
        <f>'Input Tab'!H70</f>
        <v>0</v>
      </c>
      <c r="K22" s="434">
        <f>'Input Tab'!I70</f>
        <v>0</v>
      </c>
      <c r="L22" s="434">
        <f>'Input Tab'!J70</f>
        <v>0</v>
      </c>
      <c r="M22" s="434">
        <f>'Input Tab'!K70</f>
        <v>0</v>
      </c>
      <c r="N22" s="434">
        <f>'Input Tab'!L70</f>
        <v>0</v>
      </c>
      <c r="O22" s="434">
        <f>'Input Tab'!M70</f>
        <v>0</v>
      </c>
      <c r="P22" s="434">
        <f>'Input Tab'!N70</f>
        <v>0</v>
      </c>
      <c r="Q22" s="435"/>
    </row>
    <row r="23" spans="1:17" ht="24.75" customHeight="1">
      <c r="A23" s="187">
        <f>A22+1</f>
        <v>18</v>
      </c>
      <c r="B23" s="259" t="s">
        <v>59</v>
      </c>
      <c r="C23" s="259"/>
      <c r="D23" s="224">
        <f>SUM(D15:D22)</f>
        <v>47184419</v>
      </c>
      <c r="E23" s="224">
        <f t="shared" ref="E23:P23" si="7">SUM(E15:E22)</f>
        <v>16923464</v>
      </c>
      <c r="F23" s="224">
        <f t="shared" si="7"/>
        <v>16288320</v>
      </c>
      <c r="G23" s="224">
        <f t="shared" si="7"/>
        <v>13972636</v>
      </c>
      <c r="H23" s="224">
        <f t="shared" si="7"/>
        <v>9367847</v>
      </c>
      <c r="I23" s="224">
        <f t="shared" si="7"/>
        <v>5929042</v>
      </c>
      <c r="J23" s="224">
        <f t="shared" si="7"/>
        <v>5805144</v>
      </c>
      <c r="K23" s="224">
        <f t="shared" si="7"/>
        <v>9205581</v>
      </c>
      <c r="L23" s="224">
        <f t="shared" si="7"/>
        <v>13709738</v>
      </c>
      <c r="M23" s="224">
        <f t="shared" si="7"/>
        <v>11728594</v>
      </c>
      <c r="N23" s="224">
        <f t="shared" si="7"/>
        <v>12496617</v>
      </c>
      <c r="O23" s="224">
        <f t="shared" si="7"/>
        <v>14657423</v>
      </c>
      <c r="P23" s="224">
        <f t="shared" si="7"/>
        <v>14961194</v>
      </c>
      <c r="Q23" s="435"/>
    </row>
    <row r="24" spans="1:17" ht="27" customHeight="1">
      <c r="A24" s="274">
        <f t="shared" si="6"/>
        <v>19</v>
      </c>
      <c r="B24" s="259" t="s">
        <v>8</v>
      </c>
      <c r="C24" s="259"/>
      <c r="D24" s="172">
        <f>SUM(E24:P24)</f>
        <v>-12233468</v>
      </c>
      <c r="E24" s="173">
        <f>IF(E13=0," ",E13-E23)</f>
        <v>-4302794</v>
      </c>
      <c r="F24" s="173">
        <f>IF(F13=0," ",F13-F23)</f>
        <v>-4611258</v>
      </c>
      <c r="G24" s="173">
        <f t="shared" ref="G24:O24" si="8">IF(G13=0," ",G13-G23)</f>
        <v>-3319416</v>
      </c>
      <c r="H24" s="173" t="str">
        <f t="shared" si="8"/>
        <v xml:space="preserve"> </v>
      </c>
      <c r="I24" s="173" t="str">
        <f t="shared" si="8"/>
        <v xml:space="preserve"> </v>
      </c>
      <c r="J24" s="173" t="str">
        <f t="shared" si="8"/>
        <v xml:space="preserve"> </v>
      </c>
      <c r="K24" s="173" t="str">
        <f t="shared" si="8"/>
        <v xml:space="preserve"> </v>
      </c>
      <c r="L24" s="173" t="str">
        <f t="shared" si="8"/>
        <v xml:space="preserve"> </v>
      </c>
      <c r="M24" s="173" t="str">
        <f t="shared" si="8"/>
        <v xml:space="preserve"> </v>
      </c>
      <c r="N24" s="173" t="str">
        <f t="shared" si="8"/>
        <v xml:space="preserve"> </v>
      </c>
      <c r="O24" s="173" t="str">
        <f t="shared" si="8"/>
        <v xml:space="preserve"> </v>
      </c>
      <c r="P24" s="173" t="str">
        <f>IF(P13=0," ",P13-P23)</f>
        <v xml:space="preserve"> </v>
      </c>
    </row>
    <row r="25" spans="1:17" ht="31.5" customHeight="1">
      <c r="A25" s="187">
        <f t="shared" si="6"/>
        <v>20</v>
      </c>
      <c r="B25" s="194" t="s">
        <v>169</v>
      </c>
      <c r="C25" s="194"/>
      <c r="D25" s="195">
        <f>SUM(E25:P25)</f>
        <v>-4709735</v>
      </c>
      <c r="E25" s="196">
        <f>'ID Monthly'!E132</f>
        <v>-2193610</v>
      </c>
      <c r="F25" s="196">
        <f>'ID Monthly'!F132</f>
        <v>-1372471</v>
      </c>
      <c r="G25" s="196">
        <f>'ID Monthly'!G132</f>
        <v>-1143654</v>
      </c>
      <c r="H25" s="196" t="str">
        <f>'ID Monthly'!H132</f>
        <v xml:space="preserve"> </v>
      </c>
      <c r="I25" s="196" t="str">
        <f>'ID Monthly'!I132</f>
        <v xml:space="preserve"> </v>
      </c>
      <c r="J25" s="196" t="str">
        <f>'ID Monthly'!J132</f>
        <v xml:space="preserve"> </v>
      </c>
      <c r="K25" s="196" t="str">
        <f>'ID Monthly'!K132</f>
        <v xml:space="preserve"> </v>
      </c>
      <c r="L25" s="196" t="str">
        <f>'ID Monthly'!L132</f>
        <v xml:space="preserve"> </v>
      </c>
      <c r="M25" s="196" t="str">
        <f>'ID Monthly'!M132</f>
        <v xml:space="preserve"> </v>
      </c>
      <c r="N25" s="196" t="str">
        <f>'ID Monthly'!N132</f>
        <v xml:space="preserve"> </v>
      </c>
      <c r="O25" s="196" t="str">
        <f>'ID Monthly'!O132</f>
        <v xml:space="preserve"> </v>
      </c>
      <c r="P25" s="196" t="str">
        <f>'ID Monthly'!P132</f>
        <v xml:space="preserve"> </v>
      </c>
    </row>
    <row r="26" spans="1:17" s="73" customFormat="1" ht="20.25" customHeight="1">
      <c r="A26" s="274">
        <f>A25+1</f>
        <v>21</v>
      </c>
      <c r="B26" s="436" t="s">
        <v>261</v>
      </c>
      <c r="C26" s="436"/>
      <c r="D26" s="193">
        <f>SUM(E26:P26)</f>
        <v>-16943203</v>
      </c>
      <c r="E26" s="225">
        <f>IF(E13=0," ",+E24+E25)</f>
        <v>-6496404</v>
      </c>
      <c r="F26" s="225">
        <f t="shared" ref="F26:P26" si="9">IF(F13=0," ",+F24+F25)</f>
        <v>-5983729</v>
      </c>
      <c r="G26" s="225">
        <f t="shared" si="9"/>
        <v>-4463070</v>
      </c>
      <c r="H26" s="225" t="str">
        <f t="shared" si="9"/>
        <v xml:space="preserve"> </v>
      </c>
      <c r="I26" s="225" t="str">
        <f t="shared" si="9"/>
        <v xml:space="preserve"> </v>
      </c>
      <c r="J26" s="225" t="str">
        <f t="shared" si="9"/>
        <v xml:space="preserve"> </v>
      </c>
      <c r="K26" s="225" t="str">
        <f t="shared" si="9"/>
        <v xml:space="preserve"> </v>
      </c>
      <c r="L26" s="225" t="str">
        <f t="shared" si="9"/>
        <v xml:space="preserve"> </v>
      </c>
      <c r="M26" s="225" t="str">
        <f t="shared" si="9"/>
        <v xml:space="preserve"> </v>
      </c>
      <c r="N26" s="225" t="str">
        <f t="shared" si="9"/>
        <v xml:space="preserve"> </v>
      </c>
      <c r="O26" s="225" t="str">
        <f t="shared" si="9"/>
        <v xml:space="preserve"> </v>
      </c>
      <c r="P26" s="225" t="str">
        <f t="shared" si="9"/>
        <v xml:space="preserve"> </v>
      </c>
      <c r="Q26" s="71"/>
    </row>
    <row r="27" spans="1:17" s="73" customFormat="1" ht="19.5" customHeight="1">
      <c r="A27" s="187">
        <f t="shared" si="6"/>
        <v>22</v>
      </c>
      <c r="B27" s="51" t="s">
        <v>242</v>
      </c>
      <c r="D27" s="190"/>
      <c r="E27" s="328">
        <f>'Input Tab'!C72</f>
        <v>0.3427</v>
      </c>
      <c r="F27" s="328">
        <f>'Input Tab'!D72</f>
        <v>0.3427</v>
      </c>
      <c r="G27" s="328">
        <f>'Input Tab'!E72</f>
        <v>0.3427</v>
      </c>
      <c r="H27" s="328">
        <f>'Input Tab'!F72</f>
        <v>0.3427</v>
      </c>
      <c r="I27" s="328">
        <f>'Input Tab'!G72</f>
        <v>0.3427</v>
      </c>
      <c r="J27" s="328">
        <f>'Input Tab'!H72</f>
        <v>0.3427</v>
      </c>
      <c r="K27" s="328">
        <f>'Input Tab'!I72</f>
        <v>0.3427</v>
      </c>
      <c r="L27" s="328">
        <f>'Input Tab'!J72</f>
        <v>0.3427</v>
      </c>
      <c r="M27" s="328">
        <f>'Input Tab'!K72</f>
        <v>0.3427</v>
      </c>
      <c r="N27" s="328">
        <f>'Input Tab'!L72</f>
        <v>0.3427</v>
      </c>
      <c r="O27" s="328">
        <f>'Input Tab'!M72</f>
        <v>0.3427</v>
      </c>
      <c r="P27" s="328">
        <f>'Input Tab'!N72</f>
        <v>0.3427</v>
      </c>
      <c r="Q27" s="71"/>
    </row>
    <row r="28" spans="1:17" ht="19.5" customHeight="1">
      <c r="A28" s="274">
        <f t="shared" si="6"/>
        <v>23</v>
      </c>
      <c r="B28" s="52" t="s">
        <v>243</v>
      </c>
      <c r="D28" s="156">
        <f t="shared" ref="D28:D33" si="10">SUM(E28:P28)</f>
        <v>-5806436</v>
      </c>
      <c r="E28" s="437">
        <f>+E26*E27</f>
        <v>-2226318</v>
      </c>
      <c r="F28" s="437">
        <f t="shared" ref="F28:P28" si="11">IF(F13=0," ",+F26*F27)</f>
        <v>-2050624</v>
      </c>
      <c r="G28" s="437">
        <f t="shared" si="11"/>
        <v>-1529494</v>
      </c>
      <c r="H28" s="437" t="str">
        <f t="shared" si="11"/>
        <v xml:space="preserve"> </v>
      </c>
      <c r="I28" s="437" t="str">
        <f t="shared" si="11"/>
        <v xml:space="preserve"> </v>
      </c>
      <c r="J28" s="437" t="str">
        <f t="shared" si="11"/>
        <v xml:space="preserve"> </v>
      </c>
      <c r="K28" s="437" t="str">
        <f t="shared" si="11"/>
        <v xml:space="preserve"> </v>
      </c>
      <c r="L28" s="437" t="str">
        <f t="shared" si="11"/>
        <v xml:space="preserve"> </v>
      </c>
      <c r="M28" s="437" t="str">
        <f t="shared" si="11"/>
        <v xml:space="preserve"> </v>
      </c>
      <c r="N28" s="437" t="str">
        <f t="shared" si="11"/>
        <v xml:space="preserve"> </v>
      </c>
      <c r="O28" s="437" t="str">
        <f t="shared" si="11"/>
        <v xml:space="preserve"> </v>
      </c>
      <c r="P28" s="437" t="str">
        <f t="shared" si="11"/>
        <v xml:space="preserve"> </v>
      </c>
    </row>
    <row r="29" spans="1:17" ht="27" customHeight="1">
      <c r="A29" s="187">
        <f t="shared" si="6"/>
        <v>24</v>
      </c>
      <c r="B29" s="519" t="s">
        <v>360</v>
      </c>
      <c r="C29" s="519"/>
      <c r="D29" s="186">
        <f t="shared" si="10"/>
        <v>361182</v>
      </c>
      <c r="E29" s="438">
        <f>'ID LCA'!D19</f>
        <v>520072</v>
      </c>
      <c r="F29" s="438">
        <f>IF(F13=0," ",'ID LCA'!E19)</f>
        <v>13552</v>
      </c>
      <c r="G29" s="438">
        <f>IF(G13=0," ",'ID LCA'!F19)</f>
        <v>-172442</v>
      </c>
      <c r="H29" s="438" t="str">
        <f>IF(H13=0," ",'ID LCA'!G19)</f>
        <v xml:space="preserve"> </v>
      </c>
      <c r="I29" s="438" t="str">
        <f>IF(I13=0," ",'ID LCA'!H19)</f>
        <v xml:space="preserve"> </v>
      </c>
      <c r="J29" s="438" t="str">
        <f>IF(J13=0," ",'ID LCA'!I19)</f>
        <v xml:space="preserve"> </v>
      </c>
      <c r="K29" s="438" t="str">
        <f>IF(K13=0," ",'ID LCA'!J19)</f>
        <v xml:space="preserve"> </v>
      </c>
      <c r="L29" s="438" t="str">
        <f>IF(L13=0," ",'ID LCA'!K19)</f>
        <v xml:space="preserve"> </v>
      </c>
      <c r="M29" s="438" t="str">
        <f>IF(M13=0," ",'ID LCA'!L19)</f>
        <v xml:space="preserve"> </v>
      </c>
      <c r="N29" s="438" t="str">
        <f>IF(N13=0," ",'ID LCA'!M19)</f>
        <v xml:space="preserve"> </v>
      </c>
      <c r="O29" s="438" t="str">
        <f>IF(O13=0," ",'ID LCA'!N19)</f>
        <v xml:space="preserve"> </v>
      </c>
      <c r="P29" s="438" t="str">
        <f>IF(P13=0," ",'ID LCA'!O19)</f>
        <v xml:space="preserve"> </v>
      </c>
    </row>
    <row r="30" spans="1:17" ht="35.25" customHeight="1">
      <c r="A30" s="187">
        <f t="shared" si="6"/>
        <v>25</v>
      </c>
      <c r="B30" s="496" t="s">
        <v>266</v>
      </c>
      <c r="C30" s="496"/>
      <c r="D30" s="172">
        <f t="shared" si="10"/>
        <v>-5445254</v>
      </c>
      <c r="E30" s="173">
        <f>IF(E13=0," ",SUM(E28:E29))</f>
        <v>-1706246</v>
      </c>
      <c r="F30" s="173">
        <f>IF(F13=0," ",SUM(F28:F29))</f>
        <v>-2037072</v>
      </c>
      <c r="G30" s="173">
        <f>IF(G13=0," ",SUM(G28:G29))</f>
        <v>-1701936</v>
      </c>
      <c r="H30" s="173" t="str">
        <f>IF(H13=0," ",SUM(H28:H29))</f>
        <v xml:space="preserve"> </v>
      </c>
      <c r="I30" s="173" t="str">
        <f>IF(I13=0," ",SUM(I28:I29))</f>
        <v xml:space="preserve"> </v>
      </c>
      <c r="J30" s="173" t="str">
        <f t="shared" ref="J30:P30" si="12">IF(J13=0," ",SUM(J28:J29))</f>
        <v xml:space="preserve"> </v>
      </c>
      <c r="K30" s="173" t="str">
        <f t="shared" si="12"/>
        <v xml:space="preserve"> </v>
      </c>
      <c r="L30" s="173" t="str">
        <f t="shared" si="12"/>
        <v xml:space="preserve"> </v>
      </c>
      <c r="M30" s="173" t="str">
        <f t="shared" si="12"/>
        <v xml:space="preserve"> </v>
      </c>
      <c r="N30" s="173" t="str">
        <f t="shared" si="12"/>
        <v xml:space="preserve"> </v>
      </c>
      <c r="O30" s="173" t="str">
        <f t="shared" si="12"/>
        <v xml:space="preserve"> </v>
      </c>
      <c r="P30" s="173" t="str">
        <f t="shared" si="12"/>
        <v xml:space="preserve"> </v>
      </c>
    </row>
    <row r="31" spans="1:17" ht="30" customHeight="1">
      <c r="A31" s="274">
        <f t="shared" si="6"/>
        <v>26</v>
      </c>
      <c r="B31" s="259" t="s">
        <v>13</v>
      </c>
      <c r="C31" s="259"/>
      <c r="D31" s="172">
        <f t="shared" si="10"/>
        <v>-4900728</v>
      </c>
      <c r="E31" s="173">
        <f t="shared" ref="E31:P31" si="13">IF(E13=0," ",E30*0.9)</f>
        <v>-1535621</v>
      </c>
      <c r="F31" s="173">
        <f t="shared" si="13"/>
        <v>-1833365</v>
      </c>
      <c r="G31" s="173">
        <f t="shared" si="13"/>
        <v>-1531742</v>
      </c>
      <c r="H31" s="173" t="str">
        <f t="shared" si="13"/>
        <v xml:space="preserve"> </v>
      </c>
      <c r="I31" s="173" t="str">
        <f t="shared" si="13"/>
        <v xml:space="preserve"> </v>
      </c>
      <c r="J31" s="173" t="str">
        <f t="shared" si="13"/>
        <v xml:space="preserve"> </v>
      </c>
      <c r="K31" s="173" t="str">
        <f t="shared" si="13"/>
        <v xml:space="preserve"> </v>
      </c>
      <c r="L31" s="173" t="str">
        <f t="shared" si="13"/>
        <v xml:space="preserve"> </v>
      </c>
      <c r="M31" s="173" t="str">
        <f t="shared" si="13"/>
        <v xml:space="preserve"> </v>
      </c>
      <c r="N31" s="173" t="str">
        <f t="shared" si="13"/>
        <v xml:space="preserve"> </v>
      </c>
      <c r="O31" s="173" t="str">
        <f t="shared" si="13"/>
        <v xml:space="preserve"> </v>
      </c>
      <c r="P31" s="173" t="str">
        <f t="shared" si="13"/>
        <v xml:space="preserve"> </v>
      </c>
      <c r="Q31" s="239">
        <f>D31/0.9</f>
        <v>-5445253</v>
      </c>
    </row>
    <row r="32" spans="1:17" ht="31.5" customHeight="1">
      <c r="A32" s="274">
        <f t="shared" si="6"/>
        <v>27</v>
      </c>
      <c r="B32" s="496" t="s">
        <v>270</v>
      </c>
      <c r="C32" s="496"/>
      <c r="D32" s="172">
        <f t="shared" si="10"/>
        <v>-4900728</v>
      </c>
      <c r="E32" s="173">
        <f>IF(E13=0," ",+E31)</f>
        <v>-1535621</v>
      </c>
      <c r="F32" s="173">
        <f t="shared" ref="F32:P32" si="14">IF(F13=0," ",+F31)</f>
        <v>-1833365</v>
      </c>
      <c r="G32" s="173">
        <f t="shared" si="14"/>
        <v>-1531742</v>
      </c>
      <c r="H32" s="173" t="str">
        <f t="shared" si="14"/>
        <v xml:space="preserve"> </v>
      </c>
      <c r="I32" s="173" t="str">
        <f t="shared" si="14"/>
        <v xml:space="preserve"> </v>
      </c>
      <c r="J32" s="173" t="str">
        <f t="shared" si="14"/>
        <v xml:space="preserve"> </v>
      </c>
      <c r="K32" s="173" t="str">
        <f t="shared" si="14"/>
        <v xml:space="preserve"> </v>
      </c>
      <c r="L32" s="173" t="str">
        <f t="shared" si="14"/>
        <v xml:space="preserve"> </v>
      </c>
      <c r="M32" s="173" t="str">
        <f t="shared" si="14"/>
        <v xml:space="preserve"> </v>
      </c>
      <c r="N32" s="173" t="str">
        <f t="shared" si="14"/>
        <v xml:space="preserve"> </v>
      </c>
      <c r="O32" s="173" t="str">
        <f t="shared" si="14"/>
        <v xml:space="preserve"> </v>
      </c>
      <c r="P32" s="173" t="str">
        <f t="shared" si="14"/>
        <v xml:space="preserve"> </v>
      </c>
    </row>
    <row r="33" spans="1:16" ht="30" customHeight="1" thickBot="1">
      <c r="A33" s="274">
        <f t="shared" si="6"/>
        <v>28</v>
      </c>
      <c r="B33" s="518" t="s">
        <v>268</v>
      </c>
      <c r="C33" s="518"/>
      <c r="D33" s="207">
        <f t="shared" si="10"/>
        <v>4900728</v>
      </c>
      <c r="E33" s="207">
        <f t="shared" ref="E33:P33" si="15">IF(E32=" "," ",E32*-1)</f>
        <v>1535621</v>
      </c>
      <c r="F33" s="207">
        <f t="shared" si="15"/>
        <v>1833365</v>
      </c>
      <c r="G33" s="207">
        <f t="shared" si="15"/>
        <v>1531742</v>
      </c>
      <c r="H33" s="207" t="str">
        <f t="shared" si="15"/>
        <v xml:space="preserve"> </v>
      </c>
      <c r="I33" s="207" t="str">
        <f t="shared" si="15"/>
        <v xml:space="preserve"> </v>
      </c>
      <c r="J33" s="207" t="str">
        <f t="shared" si="15"/>
        <v xml:space="preserve"> </v>
      </c>
      <c r="K33" s="207" t="str">
        <f t="shared" si="15"/>
        <v xml:space="preserve"> </v>
      </c>
      <c r="L33" s="207" t="str">
        <f t="shared" si="15"/>
        <v xml:space="preserve"> </v>
      </c>
      <c r="M33" s="207" t="str">
        <f t="shared" si="15"/>
        <v xml:space="preserve"> </v>
      </c>
      <c r="N33" s="207" t="str">
        <f t="shared" si="15"/>
        <v xml:space="preserve"> </v>
      </c>
      <c r="O33" s="207" t="str">
        <f t="shared" si="15"/>
        <v xml:space="preserve"> </v>
      </c>
      <c r="P33" s="207" t="str">
        <f t="shared" si="15"/>
        <v xml:space="preserve"> </v>
      </c>
    </row>
    <row r="34" spans="1:16" ht="13.5" thickTop="1">
      <c r="A34" s="187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</row>
    <row r="35" spans="1:16">
      <c r="D35" s="52"/>
      <c r="E35" s="117"/>
    </row>
    <row r="37" spans="1:16">
      <c r="D37" s="52"/>
      <c r="E37" s="339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80"/>
  <sheetViews>
    <sheetView zoomScale="90" zoomScaleNormal="100" workbookViewId="0">
      <pane xSplit="3" ySplit="5" topLeftCell="D100" activePane="bottomRight" state="frozen"/>
      <selection sqref="A1:M1"/>
      <selection pane="topRight" sqref="A1:M1"/>
      <selection pane="bottomLeft" sqref="A1:M1"/>
      <selection pane="bottomRight" sqref="A1:R1"/>
    </sheetView>
  </sheetViews>
  <sheetFormatPr defaultColWidth="11.42578125" defaultRowHeight="12.75" outlineLevelRow="2" outlineLevelCol="1"/>
  <cols>
    <col min="1" max="1" width="5.28515625" style="191" customWidth="1"/>
    <col min="2" max="2" width="41.140625" style="52" bestFit="1" customWidth="1"/>
    <col min="3" max="3" width="9.7109375" style="52" hidden="1" customWidth="1"/>
    <col min="4" max="4" width="14.5703125" style="52" bestFit="1" customWidth="1"/>
    <col min="5" max="5" width="15.5703125" style="52" customWidth="1"/>
    <col min="6" max="6" width="14" style="52" customWidth="1"/>
    <col min="7" max="7" width="14.140625" style="52" customWidth="1"/>
    <col min="8" max="8" width="14" style="113" customWidth="1"/>
    <col min="9" max="9" width="13.28515625" style="52" bestFit="1" customWidth="1"/>
    <col min="10" max="10" width="13.28515625" style="113" bestFit="1" customWidth="1"/>
    <col min="11" max="12" width="13.28515625" style="52" bestFit="1" customWidth="1"/>
    <col min="13" max="13" width="13" style="113" customWidth="1"/>
    <col min="14" max="14" width="13.28515625" style="113" bestFit="1" customWidth="1"/>
    <col min="15" max="16" width="13.28515625" style="52" bestFit="1" customWidth="1"/>
    <col min="17" max="17" width="3" style="52" hidden="1" customWidth="1" outlineLevel="1"/>
    <col min="18" max="18" width="15.28515625" style="52" hidden="1" customWidth="1" outlineLevel="1"/>
    <col min="19" max="19" width="11.42578125" style="52" collapsed="1"/>
    <col min="20" max="16384" width="11.42578125" style="71"/>
  </cols>
  <sheetData>
    <row r="1" spans="1:19">
      <c r="A1" s="513" t="s">
        <v>227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71"/>
    </row>
    <row r="2" spans="1:19">
      <c r="A2" s="513" t="s">
        <v>245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71"/>
    </row>
    <row r="3" spans="1:19" ht="13.5" customHeight="1">
      <c r="A3" s="465"/>
      <c r="B3" s="465"/>
      <c r="J3" s="430"/>
    </row>
    <row r="4" spans="1:19">
      <c r="A4" s="430" t="s">
        <v>0</v>
      </c>
      <c r="F4" s="337"/>
    </row>
    <row r="5" spans="1:19">
      <c r="A5" s="466" t="s">
        <v>1</v>
      </c>
      <c r="D5" s="320" t="s">
        <v>10</v>
      </c>
      <c r="E5" s="320">
        <v>43131</v>
      </c>
      <c r="F5" s="320">
        <f>EOMONTH(E5,1)</f>
        <v>43159</v>
      </c>
      <c r="G5" s="320">
        <f t="shared" ref="G5:P5" si="0">EOMONTH(F5,1)</f>
        <v>43190</v>
      </c>
      <c r="H5" s="320">
        <f t="shared" si="0"/>
        <v>43220</v>
      </c>
      <c r="I5" s="320">
        <f t="shared" si="0"/>
        <v>43251</v>
      </c>
      <c r="J5" s="320">
        <f t="shared" si="0"/>
        <v>43281</v>
      </c>
      <c r="K5" s="320">
        <f t="shared" si="0"/>
        <v>43312</v>
      </c>
      <c r="L5" s="320">
        <f t="shared" si="0"/>
        <v>43343</v>
      </c>
      <c r="M5" s="320">
        <f t="shared" si="0"/>
        <v>43373</v>
      </c>
      <c r="N5" s="320">
        <f t="shared" si="0"/>
        <v>43404</v>
      </c>
      <c r="O5" s="320">
        <f t="shared" si="0"/>
        <v>43434</v>
      </c>
      <c r="P5" s="320">
        <f t="shared" si="0"/>
        <v>43465</v>
      </c>
      <c r="Q5" s="320">
        <v>42035</v>
      </c>
      <c r="R5" s="320">
        <v>42063</v>
      </c>
    </row>
    <row r="6" spans="1:19">
      <c r="A6" s="430"/>
      <c r="B6" s="141" t="s">
        <v>15</v>
      </c>
    </row>
    <row r="7" spans="1:19">
      <c r="A7" s="430">
        <f>A6+1</f>
        <v>1</v>
      </c>
      <c r="B7" s="52" t="s">
        <v>282</v>
      </c>
      <c r="D7" s="204">
        <f>SUM(E7:P7)</f>
        <v>11096695</v>
      </c>
      <c r="E7" s="175">
        <f t="shared" ref="E7:P7" si="1">E23-SUM(E8:E22)</f>
        <v>4921186</v>
      </c>
      <c r="F7" s="175">
        <f t="shared" si="1"/>
        <v>3823108</v>
      </c>
      <c r="G7" s="175">
        <f t="shared" si="1"/>
        <v>2352401</v>
      </c>
      <c r="H7" s="175">
        <f t="shared" si="1"/>
        <v>0</v>
      </c>
      <c r="I7" s="175">
        <f t="shared" si="1"/>
        <v>0</v>
      </c>
      <c r="J7" s="175">
        <f t="shared" si="1"/>
        <v>0</v>
      </c>
      <c r="K7" s="175">
        <f t="shared" si="1"/>
        <v>0</v>
      </c>
      <c r="L7" s="175">
        <f t="shared" si="1"/>
        <v>0</v>
      </c>
      <c r="M7" s="175">
        <f t="shared" si="1"/>
        <v>0</v>
      </c>
      <c r="N7" s="175">
        <f t="shared" si="1"/>
        <v>0</v>
      </c>
      <c r="O7" s="175">
        <f t="shared" si="1"/>
        <v>0</v>
      </c>
      <c r="P7" s="175">
        <f t="shared" si="1"/>
        <v>0</v>
      </c>
      <c r="Q7" s="175"/>
      <c r="R7" s="175">
        <f>SUM(E7:P7)</f>
        <v>11096695</v>
      </c>
    </row>
    <row r="8" spans="1:19">
      <c r="A8" s="430">
        <v>2</v>
      </c>
      <c r="B8" s="381" t="s">
        <v>277</v>
      </c>
      <c r="D8" s="204">
        <f t="shared" ref="D8:D22" si="2">SUM(E8:P8)</f>
        <v>3160609</v>
      </c>
      <c r="E8" s="175">
        <f>'WA Monthly'!E8</f>
        <v>726733</v>
      </c>
      <c r="F8" s="175">
        <f>'WA Monthly'!F8</f>
        <v>1216938</v>
      </c>
      <c r="G8" s="175">
        <f>'WA Monthly'!G8</f>
        <v>1216938</v>
      </c>
      <c r="H8" s="175">
        <f>'WA Monthly'!H8</f>
        <v>0</v>
      </c>
      <c r="I8" s="175">
        <f>'WA Monthly'!I8</f>
        <v>0</v>
      </c>
      <c r="J8" s="175">
        <f>'WA Monthly'!J8</f>
        <v>0</v>
      </c>
      <c r="K8" s="175">
        <f>'WA Monthly'!K8</f>
        <v>0</v>
      </c>
      <c r="L8" s="175">
        <f>'WA Monthly'!L8</f>
        <v>0</v>
      </c>
      <c r="M8" s="175">
        <f>'WA Monthly'!M8</f>
        <v>0</v>
      </c>
      <c r="N8" s="175">
        <f>'WA Monthly'!N8</f>
        <v>0</v>
      </c>
      <c r="O8" s="175">
        <f>'WA Monthly'!O8</f>
        <v>0</v>
      </c>
      <c r="P8" s="175">
        <f>'WA Monthly'!P8</f>
        <v>0</v>
      </c>
      <c r="Q8" s="175"/>
      <c r="R8" s="175">
        <f>SUM(E8:P8)</f>
        <v>3160609</v>
      </c>
    </row>
    <row r="9" spans="1:19">
      <c r="A9" s="430">
        <f>+A8+1</f>
        <v>3</v>
      </c>
      <c r="B9" s="381" t="s">
        <v>278</v>
      </c>
      <c r="D9" s="204">
        <f t="shared" si="2"/>
        <v>242656</v>
      </c>
      <c r="E9" s="175">
        <f>'WA Monthly'!E9</f>
        <v>67917</v>
      </c>
      <c r="F9" s="175">
        <f>'WA Monthly'!F9</f>
        <v>81241</v>
      </c>
      <c r="G9" s="175">
        <f>'WA Monthly'!G9</f>
        <v>93498</v>
      </c>
      <c r="H9" s="175">
        <f>'WA Monthly'!H9</f>
        <v>0</v>
      </c>
      <c r="I9" s="175">
        <f>'WA Monthly'!I9</f>
        <v>0</v>
      </c>
      <c r="J9" s="175">
        <f>'WA Monthly'!J9</f>
        <v>0</v>
      </c>
      <c r="K9" s="175">
        <f>'WA Monthly'!K9</f>
        <v>0</v>
      </c>
      <c r="L9" s="175">
        <f>'WA Monthly'!L9</f>
        <v>0</v>
      </c>
      <c r="M9" s="175">
        <f>'WA Monthly'!M9</f>
        <v>0</v>
      </c>
      <c r="N9" s="175">
        <f>'WA Monthly'!N9</f>
        <v>0</v>
      </c>
      <c r="O9" s="175">
        <f>'WA Monthly'!O9</f>
        <v>0</v>
      </c>
      <c r="P9" s="175">
        <f>'WA Monthly'!P9</f>
        <v>0</v>
      </c>
      <c r="Q9" s="175"/>
      <c r="R9" s="175">
        <f>SUM(E9:P9)</f>
        <v>242656</v>
      </c>
    </row>
    <row r="10" spans="1:19">
      <c r="A10" s="430">
        <f t="shared" ref="A10:A23" si="3">A9+1</f>
        <v>4</v>
      </c>
      <c r="B10" s="52" t="s">
        <v>281</v>
      </c>
      <c r="D10" s="204">
        <f t="shared" si="2"/>
        <v>461220</v>
      </c>
      <c r="E10" s="175">
        <f>'WA Monthly'!E10</f>
        <v>153740</v>
      </c>
      <c r="F10" s="175">
        <f>'WA Monthly'!F10</f>
        <v>153740</v>
      </c>
      <c r="G10" s="175">
        <f>'WA Monthly'!G10</f>
        <v>153740</v>
      </c>
      <c r="H10" s="175">
        <f>'WA Monthly'!H10</f>
        <v>0</v>
      </c>
      <c r="I10" s="175">
        <f>'WA Monthly'!I10</f>
        <v>0</v>
      </c>
      <c r="J10" s="175">
        <f>'WA Monthly'!J10</f>
        <v>0</v>
      </c>
      <c r="K10" s="175">
        <f>'WA Monthly'!K10</f>
        <v>0</v>
      </c>
      <c r="L10" s="175">
        <f>'WA Monthly'!L10</f>
        <v>0</v>
      </c>
      <c r="M10" s="175">
        <f>'WA Monthly'!M10</f>
        <v>0</v>
      </c>
      <c r="N10" s="175">
        <f>'WA Monthly'!N10</f>
        <v>0</v>
      </c>
      <c r="O10" s="175">
        <f>'WA Monthly'!O10</f>
        <v>0</v>
      </c>
      <c r="P10" s="175">
        <f>'WA Monthly'!P10</f>
        <v>0</v>
      </c>
      <c r="Q10" s="175"/>
      <c r="R10" s="175">
        <f>SUM(E10:P10)</f>
        <v>461220</v>
      </c>
    </row>
    <row r="11" spans="1:19">
      <c r="A11" s="430">
        <f t="shared" si="3"/>
        <v>5</v>
      </c>
      <c r="B11" s="52" t="s">
        <v>279</v>
      </c>
      <c r="D11" s="204">
        <f t="shared" si="2"/>
        <v>1855362</v>
      </c>
      <c r="E11" s="175">
        <f>'WA Monthly'!E11</f>
        <v>618454</v>
      </c>
      <c r="F11" s="175">
        <f>'WA Monthly'!F11</f>
        <v>618454</v>
      </c>
      <c r="G11" s="175">
        <f>'WA Monthly'!G11</f>
        <v>618454</v>
      </c>
      <c r="H11" s="175">
        <f>'WA Monthly'!H11</f>
        <v>0</v>
      </c>
      <c r="I11" s="175">
        <f>'WA Monthly'!I11</f>
        <v>0</v>
      </c>
      <c r="J11" s="175">
        <f>'WA Monthly'!J11</f>
        <v>0</v>
      </c>
      <c r="K11" s="175">
        <f>'WA Monthly'!K11</f>
        <v>0</v>
      </c>
      <c r="L11" s="175">
        <f>'WA Monthly'!L11</f>
        <v>0</v>
      </c>
      <c r="M11" s="175">
        <f>'WA Monthly'!M11</f>
        <v>0</v>
      </c>
      <c r="N11" s="175">
        <f>'WA Monthly'!N11</f>
        <v>0</v>
      </c>
      <c r="O11" s="175">
        <f>'WA Monthly'!O11</f>
        <v>0</v>
      </c>
      <c r="P11" s="175">
        <f>'WA Monthly'!P11</f>
        <v>0</v>
      </c>
      <c r="Q11" s="175"/>
      <c r="R11" s="175">
        <f>SUM(E11:P11)</f>
        <v>1855362</v>
      </c>
    </row>
    <row r="12" spans="1:19" ht="14.25">
      <c r="A12" s="430">
        <f t="shared" si="3"/>
        <v>6</v>
      </c>
      <c r="B12" s="52" t="s">
        <v>280</v>
      </c>
      <c r="C12" s="191" t="s">
        <v>285</v>
      </c>
      <c r="D12" s="204">
        <f t="shared" si="2"/>
        <v>8977091</v>
      </c>
      <c r="E12" s="383">
        <f>'Input Tab'!C23</f>
        <v>3744667</v>
      </c>
      <c r="F12" s="383">
        <f>'Input Tab'!D23</f>
        <v>3383687</v>
      </c>
      <c r="G12" s="383">
        <f>'Input Tab'!E23</f>
        <v>1848737</v>
      </c>
      <c r="H12" s="383">
        <f>'Input Tab'!F23</f>
        <v>0</v>
      </c>
      <c r="I12" s="383">
        <f>'Input Tab'!G23</f>
        <v>0</v>
      </c>
      <c r="J12" s="383">
        <f>'Input Tab'!H23</f>
        <v>0</v>
      </c>
      <c r="K12" s="383">
        <f>'Input Tab'!I23</f>
        <v>0</v>
      </c>
      <c r="L12" s="383">
        <f>'Input Tab'!J23</f>
        <v>0</v>
      </c>
      <c r="M12" s="383">
        <f>'Input Tab'!K23</f>
        <v>0</v>
      </c>
      <c r="N12" s="383">
        <f>'Input Tab'!L23</f>
        <v>0</v>
      </c>
      <c r="O12" s="383">
        <f>'Input Tab'!M23</f>
        <v>0</v>
      </c>
      <c r="P12" s="383">
        <f>'Input Tab'!N23</f>
        <v>0</v>
      </c>
      <c r="Q12" s="175"/>
      <c r="R12" s="175">
        <f t="shared" ref="R12:R22" si="4">SUM(E12:P12)</f>
        <v>8977091</v>
      </c>
    </row>
    <row r="13" spans="1:19">
      <c r="A13" s="430">
        <f t="shared" si="3"/>
        <v>7</v>
      </c>
      <c r="B13" s="71" t="s">
        <v>274</v>
      </c>
      <c r="D13" s="204">
        <f t="shared" si="2"/>
        <v>3041</v>
      </c>
      <c r="E13" s="175">
        <f>'WA Monthly'!E13</f>
        <v>1068</v>
      </c>
      <c r="F13" s="175">
        <f>'WA Monthly'!F13</f>
        <v>885</v>
      </c>
      <c r="G13" s="175">
        <f>'WA Monthly'!G13</f>
        <v>1088</v>
      </c>
      <c r="H13" s="175">
        <f>'WA Monthly'!H13</f>
        <v>0</v>
      </c>
      <c r="I13" s="175">
        <f>'WA Monthly'!I13</f>
        <v>0</v>
      </c>
      <c r="J13" s="175">
        <f>'WA Monthly'!J13</f>
        <v>0</v>
      </c>
      <c r="K13" s="175">
        <f>'WA Monthly'!K13</f>
        <v>0</v>
      </c>
      <c r="L13" s="175">
        <f>'WA Monthly'!L13</f>
        <v>0</v>
      </c>
      <c r="M13" s="175">
        <f>'WA Monthly'!M13</f>
        <v>0</v>
      </c>
      <c r="N13" s="175">
        <f>'WA Monthly'!N13</f>
        <v>0</v>
      </c>
      <c r="O13" s="175">
        <f>'WA Monthly'!O13</f>
        <v>0</v>
      </c>
      <c r="P13" s="175">
        <f>'WA Monthly'!P13</f>
        <v>0</v>
      </c>
      <c r="Q13" s="175"/>
      <c r="R13" s="175">
        <f t="shared" si="4"/>
        <v>3041</v>
      </c>
    </row>
    <row r="14" spans="1:19">
      <c r="A14" s="430">
        <f t="shared" si="3"/>
        <v>8</v>
      </c>
      <c r="B14" s="71" t="s">
        <v>19</v>
      </c>
      <c r="D14" s="204">
        <f t="shared" si="2"/>
        <v>510476</v>
      </c>
      <c r="E14" s="175">
        <f>'WA Monthly'!E14</f>
        <v>196327</v>
      </c>
      <c r="F14" s="175">
        <f>'WA Monthly'!F14</f>
        <v>176449</v>
      </c>
      <c r="G14" s="175">
        <f>'WA Monthly'!G14</f>
        <v>137700</v>
      </c>
      <c r="H14" s="175">
        <f>'WA Monthly'!H14</f>
        <v>0</v>
      </c>
      <c r="I14" s="175">
        <f>'WA Monthly'!I14</f>
        <v>0</v>
      </c>
      <c r="J14" s="175">
        <f>'WA Monthly'!J14</f>
        <v>0</v>
      </c>
      <c r="K14" s="175">
        <f>'WA Monthly'!K14</f>
        <v>0</v>
      </c>
      <c r="L14" s="175">
        <f>'WA Monthly'!L14</f>
        <v>0</v>
      </c>
      <c r="M14" s="175">
        <f>'WA Monthly'!M14</f>
        <v>0</v>
      </c>
      <c r="N14" s="175">
        <f>'WA Monthly'!N14</f>
        <v>0</v>
      </c>
      <c r="O14" s="175">
        <f>'WA Monthly'!O14</f>
        <v>0</v>
      </c>
      <c r="P14" s="175">
        <f>'WA Monthly'!P14</f>
        <v>0</v>
      </c>
      <c r="Q14" s="175"/>
      <c r="R14" s="175">
        <f t="shared" si="4"/>
        <v>510476</v>
      </c>
    </row>
    <row r="15" spans="1:19">
      <c r="A15" s="430">
        <f t="shared" si="3"/>
        <v>9</v>
      </c>
      <c r="B15" s="52" t="s">
        <v>121</v>
      </c>
      <c r="D15" s="204">
        <f t="shared" si="2"/>
        <v>453305</v>
      </c>
      <c r="E15" s="175">
        <f>'WA Monthly'!E15</f>
        <v>167411</v>
      </c>
      <c r="F15" s="175">
        <f>'WA Monthly'!F15</f>
        <v>151142</v>
      </c>
      <c r="G15" s="175">
        <f>'WA Monthly'!G15</f>
        <v>134752</v>
      </c>
      <c r="H15" s="175">
        <f>'WA Monthly'!H15</f>
        <v>0</v>
      </c>
      <c r="I15" s="175">
        <f>'WA Monthly'!I15</f>
        <v>0</v>
      </c>
      <c r="J15" s="175">
        <f>'WA Monthly'!J15</f>
        <v>0</v>
      </c>
      <c r="K15" s="175">
        <f>'WA Monthly'!K15</f>
        <v>0</v>
      </c>
      <c r="L15" s="175">
        <f>'WA Monthly'!L15</f>
        <v>0</v>
      </c>
      <c r="M15" s="175">
        <f>'WA Monthly'!M15</f>
        <v>0</v>
      </c>
      <c r="N15" s="175">
        <f>'WA Monthly'!N15</f>
        <v>0</v>
      </c>
      <c r="O15" s="175">
        <f>'WA Monthly'!O15</f>
        <v>0</v>
      </c>
      <c r="P15" s="175">
        <f>'WA Monthly'!P15</f>
        <v>0</v>
      </c>
      <c r="Q15" s="175"/>
      <c r="R15" s="175">
        <f t="shared" si="4"/>
        <v>453305</v>
      </c>
    </row>
    <row r="16" spans="1:19" ht="13.5" customHeight="1">
      <c r="A16" s="430">
        <f t="shared" si="3"/>
        <v>10</v>
      </c>
      <c r="B16" s="71" t="s">
        <v>250</v>
      </c>
      <c r="D16" s="204">
        <f t="shared" si="2"/>
        <v>1489155</v>
      </c>
      <c r="E16" s="175">
        <f>'WA Monthly'!E16</f>
        <v>509116</v>
      </c>
      <c r="F16" s="175">
        <f>'WA Monthly'!F16</f>
        <v>428290</v>
      </c>
      <c r="G16" s="175">
        <f>'WA Monthly'!G16</f>
        <v>551749</v>
      </c>
      <c r="H16" s="175">
        <f>'WA Monthly'!H16</f>
        <v>0</v>
      </c>
      <c r="I16" s="175">
        <f>'WA Monthly'!I16</f>
        <v>0</v>
      </c>
      <c r="J16" s="175">
        <f>'WA Monthly'!J16</f>
        <v>0</v>
      </c>
      <c r="K16" s="175">
        <f>'WA Monthly'!K16</f>
        <v>0</v>
      </c>
      <c r="L16" s="175">
        <f>'WA Monthly'!L16</f>
        <v>0</v>
      </c>
      <c r="M16" s="175">
        <f>'WA Monthly'!M16</f>
        <v>0</v>
      </c>
      <c r="N16" s="175">
        <f>'WA Monthly'!N16</f>
        <v>0</v>
      </c>
      <c r="O16" s="175">
        <f>'WA Monthly'!O16</f>
        <v>0</v>
      </c>
      <c r="P16" s="175">
        <f>'WA Monthly'!P16</f>
        <v>0</v>
      </c>
      <c r="Q16" s="175"/>
      <c r="R16" s="175">
        <f t="shared" si="4"/>
        <v>1489155</v>
      </c>
    </row>
    <row r="17" spans="1:18" ht="13.5" customHeight="1">
      <c r="A17" s="430">
        <f>+A16+1</f>
        <v>11</v>
      </c>
      <c r="B17" s="71" t="s">
        <v>361</v>
      </c>
      <c r="D17" s="204">
        <f t="shared" si="2"/>
        <v>1375926</v>
      </c>
      <c r="E17" s="175">
        <f>'WA Monthly'!E17</f>
        <v>503270</v>
      </c>
      <c r="F17" s="175">
        <f>'WA Monthly'!F17</f>
        <v>466388</v>
      </c>
      <c r="G17" s="175">
        <f>'WA Monthly'!G17</f>
        <v>406268</v>
      </c>
      <c r="H17" s="175">
        <f>'WA Monthly'!H17</f>
        <v>0</v>
      </c>
      <c r="I17" s="175">
        <f>'WA Monthly'!I17</f>
        <v>0</v>
      </c>
      <c r="J17" s="175">
        <f>'WA Monthly'!J17</f>
        <v>0</v>
      </c>
      <c r="K17" s="175">
        <f>'WA Monthly'!K17</f>
        <v>0</v>
      </c>
      <c r="L17" s="175">
        <f>'WA Monthly'!L17</f>
        <v>0</v>
      </c>
      <c r="M17" s="175">
        <f>'WA Monthly'!M17</f>
        <v>0</v>
      </c>
      <c r="N17" s="175">
        <f>'WA Monthly'!N17</f>
        <v>0</v>
      </c>
      <c r="O17" s="175">
        <f>'WA Monthly'!O17</f>
        <v>0</v>
      </c>
      <c r="P17" s="175">
        <f>'WA Monthly'!P17</f>
        <v>0</v>
      </c>
      <c r="Q17" s="175"/>
      <c r="R17" s="175">
        <f t="shared" si="4"/>
        <v>1375926</v>
      </c>
    </row>
    <row r="18" spans="1:18">
      <c r="A18" s="430">
        <f>+A17+1</f>
        <v>12</v>
      </c>
      <c r="B18" s="385" t="s">
        <v>490</v>
      </c>
      <c r="D18" s="204">
        <f t="shared" si="2"/>
        <v>2771</v>
      </c>
      <c r="E18" s="175">
        <f>'WA Monthly'!E18</f>
        <v>0</v>
      </c>
      <c r="F18" s="175">
        <f>'WA Monthly'!F18</f>
        <v>0</v>
      </c>
      <c r="G18" s="175">
        <f>'WA Monthly'!G18</f>
        <v>2771</v>
      </c>
      <c r="H18" s="175">
        <f>'WA Monthly'!H18</f>
        <v>0</v>
      </c>
      <c r="I18" s="175">
        <f>'WA Monthly'!I18</f>
        <v>0</v>
      </c>
      <c r="J18" s="175">
        <f>'WA Monthly'!J18</f>
        <v>0</v>
      </c>
      <c r="K18" s="175">
        <f>'WA Monthly'!K18</f>
        <v>0</v>
      </c>
      <c r="L18" s="175">
        <f>'WA Monthly'!L18</f>
        <v>0</v>
      </c>
      <c r="M18" s="175">
        <f>'WA Monthly'!M18</f>
        <v>0</v>
      </c>
      <c r="N18" s="175">
        <f>'WA Monthly'!N18</f>
        <v>0</v>
      </c>
      <c r="O18" s="175">
        <f>'WA Monthly'!O18</f>
        <v>0</v>
      </c>
      <c r="P18" s="175">
        <f>'WA Monthly'!P18</f>
        <v>0</v>
      </c>
      <c r="Q18" s="175"/>
      <c r="R18" s="175">
        <f t="shared" si="4"/>
        <v>2771</v>
      </c>
    </row>
    <row r="19" spans="1:18">
      <c r="A19" s="430">
        <f>+A18+1</f>
        <v>13</v>
      </c>
      <c r="B19" s="52" t="s">
        <v>275</v>
      </c>
      <c r="C19" s="467"/>
      <c r="D19" s="204">
        <f t="shared" si="2"/>
        <v>6867495</v>
      </c>
      <c r="E19" s="175">
        <f>'WA Monthly'!E19</f>
        <v>2326853</v>
      </c>
      <c r="F19" s="175">
        <f>'WA Monthly'!F19</f>
        <v>2182871</v>
      </c>
      <c r="G19" s="175">
        <f>'WA Monthly'!G19</f>
        <v>2357771</v>
      </c>
      <c r="H19" s="175">
        <f>'WA Monthly'!H19</f>
        <v>0</v>
      </c>
      <c r="I19" s="175">
        <f>'WA Monthly'!I19</f>
        <v>0</v>
      </c>
      <c r="J19" s="175">
        <f>'WA Monthly'!J19</f>
        <v>0</v>
      </c>
      <c r="K19" s="175">
        <f>'WA Monthly'!K19</f>
        <v>0</v>
      </c>
      <c r="L19" s="175">
        <f>'WA Monthly'!L19</f>
        <v>0</v>
      </c>
      <c r="M19" s="175">
        <f>'WA Monthly'!M19</f>
        <v>0</v>
      </c>
      <c r="N19" s="175">
        <f>'WA Monthly'!N19</f>
        <v>0</v>
      </c>
      <c r="O19" s="175">
        <f>'WA Monthly'!O19</f>
        <v>0</v>
      </c>
      <c r="P19" s="175">
        <f>'WA Monthly'!P19</f>
        <v>0</v>
      </c>
      <c r="Q19" s="175"/>
      <c r="R19" s="175">
        <f t="shared" si="4"/>
        <v>6867495</v>
      </c>
    </row>
    <row r="20" spans="1:18">
      <c r="A20" s="430">
        <f>+A19+1</f>
        <v>14</v>
      </c>
      <c r="B20" s="52" t="s">
        <v>357</v>
      </c>
      <c r="C20" s="467"/>
      <c r="D20" s="204">
        <f t="shared" si="2"/>
        <v>6678549</v>
      </c>
      <c r="E20" s="175">
        <f>'WA Monthly'!E20</f>
        <v>2365264</v>
      </c>
      <c r="F20" s="175">
        <f>'WA Monthly'!F20</f>
        <v>2240478</v>
      </c>
      <c r="G20" s="175">
        <f>'WA Monthly'!G20</f>
        <v>2072807</v>
      </c>
      <c r="H20" s="175">
        <f>'WA Monthly'!H20</f>
        <v>0</v>
      </c>
      <c r="I20" s="175">
        <f>'WA Monthly'!I20</f>
        <v>0</v>
      </c>
      <c r="J20" s="175">
        <f>'WA Monthly'!J20</f>
        <v>0</v>
      </c>
      <c r="K20" s="175">
        <f>'WA Monthly'!K20</f>
        <v>0</v>
      </c>
      <c r="L20" s="175">
        <f>'WA Monthly'!L20</f>
        <v>0</v>
      </c>
      <c r="M20" s="175">
        <f>'WA Monthly'!M20</f>
        <v>0</v>
      </c>
      <c r="N20" s="175">
        <f>'WA Monthly'!N20</f>
        <v>0</v>
      </c>
      <c r="O20" s="175">
        <f>'WA Monthly'!O20</f>
        <v>0</v>
      </c>
      <c r="P20" s="175">
        <f>'WA Monthly'!P20</f>
        <v>0</v>
      </c>
      <c r="Q20" s="175"/>
      <c r="R20" s="175">
        <f t="shared" si="4"/>
        <v>6678549</v>
      </c>
    </row>
    <row r="21" spans="1:18">
      <c r="A21" s="430">
        <f>A20+1</f>
        <v>15</v>
      </c>
      <c r="B21" s="71" t="s">
        <v>35</v>
      </c>
      <c r="D21" s="204">
        <f t="shared" si="2"/>
        <v>659247</v>
      </c>
      <c r="E21" s="175">
        <f>'WA Monthly'!E21</f>
        <v>213305</v>
      </c>
      <c r="F21" s="175">
        <f>'WA Monthly'!F21</f>
        <v>248240</v>
      </c>
      <c r="G21" s="175">
        <f>'WA Monthly'!G21</f>
        <v>197702</v>
      </c>
      <c r="H21" s="175">
        <f>'WA Monthly'!H21</f>
        <v>0</v>
      </c>
      <c r="I21" s="175">
        <f>'WA Monthly'!I21</f>
        <v>0</v>
      </c>
      <c r="J21" s="175">
        <f>'WA Monthly'!J21</f>
        <v>0</v>
      </c>
      <c r="K21" s="175">
        <f>'WA Monthly'!K21</f>
        <v>0</v>
      </c>
      <c r="L21" s="175">
        <f>'WA Monthly'!L21</f>
        <v>0</v>
      </c>
      <c r="M21" s="175">
        <f>'WA Monthly'!M21</f>
        <v>0</v>
      </c>
      <c r="N21" s="175">
        <f>'WA Monthly'!N21</f>
        <v>0</v>
      </c>
      <c r="O21" s="175">
        <f>'WA Monthly'!O21</f>
        <v>0</v>
      </c>
      <c r="P21" s="175">
        <f>'WA Monthly'!P21</f>
        <v>0</v>
      </c>
      <c r="Q21" s="175"/>
      <c r="R21" s="175">
        <f t="shared" si="4"/>
        <v>659247</v>
      </c>
    </row>
    <row r="22" spans="1:18">
      <c r="A22" s="430">
        <f>+A21+1</f>
        <v>16</v>
      </c>
      <c r="B22" s="385" t="s">
        <v>20</v>
      </c>
      <c r="D22" s="204">
        <f t="shared" si="2"/>
        <v>-1708</v>
      </c>
      <c r="E22" s="175">
        <f>'WA Monthly'!E22</f>
        <v>17127</v>
      </c>
      <c r="F22" s="175">
        <f>'WA Monthly'!F22</f>
        <v>-25491</v>
      </c>
      <c r="G22" s="175">
        <f>'WA Monthly'!G22</f>
        <v>6656</v>
      </c>
      <c r="H22" s="175">
        <f>'WA Monthly'!H22</f>
        <v>0</v>
      </c>
      <c r="I22" s="175">
        <f>'WA Monthly'!I22</f>
        <v>0</v>
      </c>
      <c r="J22" s="175">
        <f>'WA Monthly'!J22</f>
        <v>0</v>
      </c>
      <c r="K22" s="175">
        <f>'WA Monthly'!K22</f>
        <v>0</v>
      </c>
      <c r="L22" s="175">
        <f>'WA Monthly'!L22</f>
        <v>0</v>
      </c>
      <c r="M22" s="175">
        <f>'WA Monthly'!M22</f>
        <v>0</v>
      </c>
      <c r="N22" s="175">
        <f>'WA Monthly'!N22</f>
        <v>0</v>
      </c>
      <c r="O22" s="175">
        <f>'WA Monthly'!O22</f>
        <v>0</v>
      </c>
      <c r="P22" s="175">
        <f>'WA Monthly'!P22</f>
        <v>0</v>
      </c>
      <c r="Q22" s="175"/>
      <c r="R22" s="175">
        <f t="shared" si="4"/>
        <v>-1708</v>
      </c>
    </row>
    <row r="23" spans="1:18" ht="24" customHeight="1" thickBot="1">
      <c r="A23" s="387">
        <f t="shared" si="3"/>
        <v>17</v>
      </c>
      <c r="B23" s="259" t="s">
        <v>244</v>
      </c>
      <c r="C23" s="259"/>
      <c r="D23" s="202">
        <f>SUM(E23:P23)</f>
        <v>43831890</v>
      </c>
      <c r="E23" s="468">
        <f>E37</f>
        <v>16532438</v>
      </c>
      <c r="F23" s="468">
        <f>F37</f>
        <v>15146420</v>
      </c>
      <c r="G23" s="468">
        <f t="shared" ref="G23:L23" si="5">G37</f>
        <v>12153032</v>
      </c>
      <c r="H23" s="468">
        <f t="shared" si="5"/>
        <v>0</v>
      </c>
      <c r="I23" s="468">
        <f t="shared" si="5"/>
        <v>0</v>
      </c>
      <c r="J23" s="468">
        <f t="shared" si="5"/>
        <v>0</v>
      </c>
      <c r="K23" s="468">
        <f t="shared" si="5"/>
        <v>0</v>
      </c>
      <c r="L23" s="468">
        <f t="shared" si="5"/>
        <v>0</v>
      </c>
      <c r="M23" s="468">
        <f>M37</f>
        <v>0</v>
      </c>
      <c r="N23" s="468">
        <f>N37</f>
        <v>0</v>
      </c>
      <c r="O23" s="468">
        <f>O37</f>
        <v>0</v>
      </c>
      <c r="P23" s="468">
        <f>P37</f>
        <v>0</v>
      </c>
      <c r="Q23" s="469"/>
      <c r="R23" s="469">
        <f>SUM(R7:R21)</f>
        <v>43833598</v>
      </c>
    </row>
    <row r="24" spans="1:18" ht="13.5" thickTop="1">
      <c r="A24" s="430"/>
      <c r="E24" s="204"/>
      <c r="F24" s="204"/>
      <c r="G24" s="204"/>
      <c r="H24" s="175"/>
      <c r="I24" s="175"/>
      <c r="J24" s="175"/>
      <c r="K24" s="204"/>
      <c r="L24" s="204"/>
      <c r="M24" s="204"/>
      <c r="N24" s="204"/>
      <c r="O24" s="204"/>
      <c r="P24" s="204"/>
      <c r="Q24" s="51"/>
      <c r="R24" s="204"/>
    </row>
    <row r="25" spans="1:18">
      <c r="A25" s="430"/>
      <c r="E25" s="204"/>
      <c r="F25" s="204"/>
      <c r="G25" s="204"/>
      <c r="H25" s="175"/>
      <c r="I25" s="175"/>
      <c r="J25" s="175"/>
      <c r="K25" s="204"/>
      <c r="L25" s="204"/>
      <c r="M25" s="204"/>
      <c r="N25" s="204"/>
      <c r="O25" s="204"/>
      <c r="P25" s="204"/>
      <c r="R25" s="204"/>
    </row>
    <row r="26" spans="1:18">
      <c r="A26" s="430"/>
      <c r="E26" s="204"/>
      <c r="F26" s="204"/>
      <c r="G26" s="204"/>
      <c r="H26" s="175"/>
      <c r="I26" s="175"/>
      <c r="J26" s="175"/>
      <c r="K26" s="204"/>
      <c r="L26" s="204"/>
      <c r="M26" s="204"/>
      <c r="N26" s="204"/>
      <c r="O26" s="204"/>
      <c r="P26" s="204"/>
      <c r="R26" s="204"/>
    </row>
    <row r="27" spans="1:18" outlineLevel="1">
      <c r="A27" s="430"/>
      <c r="B27" s="52" t="str">
        <f>'WA Monthly'!B26</f>
        <v>555 PURCHASED POWER</v>
      </c>
      <c r="E27" s="204"/>
      <c r="F27" s="204"/>
      <c r="G27" s="204"/>
      <c r="H27" s="175"/>
      <c r="I27" s="175"/>
      <c r="J27" s="175"/>
      <c r="K27" s="204"/>
      <c r="L27" s="204"/>
      <c r="M27" s="204"/>
      <c r="N27" s="204"/>
      <c r="O27" s="204"/>
      <c r="P27" s="204"/>
      <c r="R27" s="204"/>
    </row>
    <row r="28" spans="1:18" outlineLevel="1">
      <c r="A28" s="430"/>
      <c r="B28" s="52">
        <v>555000</v>
      </c>
      <c r="D28" s="204">
        <f>SUM(E28:P28)</f>
        <v>41832049</v>
      </c>
      <c r="E28" s="158">
        <f>_xll.Get_Balance(E$83,"PTD","USD","Total","A","","001","555000","ED","AN","DL")</f>
        <v>15846149</v>
      </c>
      <c r="F28" s="158">
        <f>_xll.Get_Balance(F$83,"PTD","USD","Total","A","","001","555000","ED","AN","DL")</f>
        <v>14328579</v>
      </c>
      <c r="G28" s="158">
        <f>_xll.Get_Balance(G$83,"PTD","USD","Total","A","","001","555000","ED","AN","DL")</f>
        <v>11657321</v>
      </c>
      <c r="H28" s="158">
        <f>_xll.Get_Balance(H$83,"PTD","USD","Total","A","","001","555000","ED","AN","DL")</f>
        <v>0</v>
      </c>
      <c r="I28" s="158">
        <f>_xll.Get_Balance(I$83,"PTD","USD","Total","A","","001","555000","ED","AN","DL")</f>
        <v>0</v>
      </c>
      <c r="J28" s="158">
        <f>_xll.Get_Balance(J$83,"PTD","USD","Total","A","","001","555000","ED","AN","DL")</f>
        <v>0</v>
      </c>
      <c r="K28" s="158">
        <f>_xll.Get_Balance(K$83,"PTD","USD","Total","A","","001","555000","ED","AN","DL")</f>
        <v>0</v>
      </c>
      <c r="L28" s="158">
        <f>_xll.Get_Balance(L$83,"PTD","USD","Total","A","","001","555000","ED","AN","DL")</f>
        <v>0</v>
      </c>
      <c r="M28" s="158">
        <f>_xll.Get_Balance(M$83,"PTD","USD","Total","A","","001","555000","ED","AN","DL")</f>
        <v>0</v>
      </c>
      <c r="N28" s="158">
        <f>_xll.Get_Balance(N$83,"PTD","USD","Total","A","","001","555000","ED","AN","DL")</f>
        <v>0</v>
      </c>
      <c r="O28" s="158">
        <f>_xll.Get_Balance(O$83,"PTD","USD","Total","A","","001","555000","ED","AN","DL")</f>
        <v>0</v>
      </c>
      <c r="P28" s="158">
        <f>_xll.Get_Balance(P$83,"PTD","USD","Total","A","","001","555000","ED","AN","DL")</f>
        <v>0</v>
      </c>
      <c r="R28" s="204">
        <f t="shared" ref="R28:R36" si="6">SUM(E28:P28)</f>
        <v>41832049</v>
      </c>
    </row>
    <row r="29" spans="1:18" outlineLevel="1">
      <c r="A29" s="430"/>
      <c r="B29" s="52">
        <v>555030</v>
      </c>
      <c r="D29" s="204">
        <f>SUM(E29:P29)</f>
        <v>0</v>
      </c>
      <c r="E29" s="158">
        <f>_xll.Get_Balance(E$83,"PTD","USD","Total","A","","001","555030","ED","AN","DL")</f>
        <v>0</v>
      </c>
      <c r="F29" s="158">
        <f>_xll.Get_Balance(F$83,"PTD","USD","Total","A","","001","555030","ED","AN","DL")</f>
        <v>0</v>
      </c>
      <c r="G29" s="158">
        <f>_xll.Get_Balance(G$83,"PTD","USD","Total","A","","001","555030","ED","AN","DL")</f>
        <v>0</v>
      </c>
      <c r="H29" s="158">
        <f>_xll.Get_Balance(H$83,"PTD","USD","Total","A","","001","555030","ED","AN","DL")</f>
        <v>0</v>
      </c>
      <c r="I29" s="158">
        <f>_xll.Get_Balance(I$83,"PTD","USD","Total","A","","001","555030","ED","AN","DL")</f>
        <v>0</v>
      </c>
      <c r="J29" s="158">
        <f>_xll.Get_Balance(J$83,"PTD","USD","Total","A","","001","555030","ED","AN","DL")</f>
        <v>0</v>
      </c>
      <c r="K29" s="158">
        <f>_xll.Get_Balance(K$83,"PTD","USD","Total","A","","001","555030","ED","AN","DL")</f>
        <v>0</v>
      </c>
      <c r="L29" s="158">
        <f>_xll.Get_Balance(L$83,"PTD","USD","Total","A","","001","555030","ED","AN","DL")</f>
        <v>0</v>
      </c>
      <c r="M29" s="158">
        <f>_xll.Get_Balance(M$83,"PTD","USD","Total","A","","001","555030","ED","AN","DL")</f>
        <v>0</v>
      </c>
      <c r="N29" s="158">
        <f>_xll.Get_Balance(N$83,"PTD","USD","Total","A","","001","555030","ED","AN","DL")</f>
        <v>0</v>
      </c>
      <c r="O29" s="158">
        <f>_xll.Get_Balance(O$83,"PTD","USD","Total","A","","001","555030","ED","AN","DL")</f>
        <v>0</v>
      </c>
      <c r="P29" s="158">
        <f>_xll.Get_Balance(P$83,"PTD","USD","Total","A","","001","555030","ED","AN","DL")</f>
        <v>0</v>
      </c>
      <c r="R29" s="204"/>
    </row>
    <row r="30" spans="1:18" outlineLevel="1">
      <c r="A30" s="430"/>
      <c r="B30" s="52">
        <v>555100</v>
      </c>
      <c r="D30" s="204">
        <f t="shared" ref="D30:D36" si="7">SUM(E30:P30)</f>
        <v>669820</v>
      </c>
      <c r="E30" s="158">
        <f>_xll.Get_Balance(E$83,"PTD","USD","Total","A","","001","555100","ED","AN","DL")</f>
        <v>269952</v>
      </c>
      <c r="F30" s="158">
        <f>_xll.Get_Balance(F$83,"PTD","USD","Total","A","","001","555100","ED","AN","DL")</f>
        <v>412596</v>
      </c>
      <c r="G30" s="158">
        <f>_xll.Get_Balance(G$83,"PTD","USD","Total","A","","001","555100","ED","AN","DL")</f>
        <v>-12728</v>
      </c>
      <c r="H30" s="158">
        <f>_xll.Get_Balance(H$83,"PTD","USD","Total","A","","001","555100","ED","AN","DL")</f>
        <v>0</v>
      </c>
      <c r="I30" s="158">
        <f>_xll.Get_Balance(I$83,"PTD","USD","Total","A","","001","555100","ED","AN","DL")</f>
        <v>0</v>
      </c>
      <c r="J30" s="158">
        <f>_xll.Get_Balance(J$83,"PTD","USD","Total","A","","001","555100","ED","AN","DL")</f>
        <v>0</v>
      </c>
      <c r="K30" s="158">
        <f>_xll.Get_Balance(K$83,"PTD","USD","Total","A","","001","555100","ED","AN","DL")</f>
        <v>0</v>
      </c>
      <c r="L30" s="158">
        <f>_xll.Get_Balance(L$83,"PTD","USD","Total","A","","001","555100","ED","AN","DL")</f>
        <v>0</v>
      </c>
      <c r="M30" s="158">
        <f>_xll.Get_Balance(M$83,"PTD","USD","Total","A","","001","555100","ED","AN","DL")</f>
        <v>0</v>
      </c>
      <c r="N30" s="158">
        <f>_xll.Get_Balance(N$83,"PTD","USD","Total","A","","001","555100","ED","AN","DL")</f>
        <v>0</v>
      </c>
      <c r="O30" s="158">
        <f>_xll.Get_Balance(O$83,"PTD","USD","Total","A","","001","555100","ED","AN","DL")</f>
        <v>0</v>
      </c>
      <c r="P30" s="158">
        <f>_xll.Get_Balance(P$83,"PTD","USD","Total","A","","001","555100","ED","AN","DL")</f>
        <v>0</v>
      </c>
      <c r="R30" s="204">
        <f t="shared" si="6"/>
        <v>669820</v>
      </c>
    </row>
    <row r="31" spans="1:18" outlineLevel="1">
      <c r="A31" s="430"/>
      <c r="B31" s="52">
        <v>555312</v>
      </c>
      <c r="C31" s="467"/>
      <c r="D31" s="204">
        <f t="shared" si="7"/>
        <v>0</v>
      </c>
      <c r="E31" s="158">
        <f>_xll.Get_Balance(E$83,"PTD","USD","Total","A","","001","555312","ED","AN","DL")</f>
        <v>0</v>
      </c>
      <c r="F31" s="158">
        <f>_xll.Get_Balance(F$83,"PTD","USD","Total","A","","001","555312","ED","AN","DL")</f>
        <v>0</v>
      </c>
      <c r="G31" s="158">
        <f>_xll.Get_Balance(G$83,"PTD","USD","Total","A","","001","555312","ED","AN","DL")</f>
        <v>0</v>
      </c>
      <c r="H31" s="158">
        <f>_xll.Get_Balance(H$83,"PTD","USD","Total","A","","001","555312","ED","AN","DL")</f>
        <v>0</v>
      </c>
      <c r="I31" s="158">
        <f>_xll.Get_Balance(I$83,"PTD","USD","Total","A","","001","555312","ED","AN","DL")</f>
        <v>0</v>
      </c>
      <c r="J31" s="158">
        <f>_xll.Get_Balance(J$83,"PTD","USD","Total","A","","001","555312","ED","AN","DL")</f>
        <v>0</v>
      </c>
      <c r="K31" s="158">
        <f>_xll.Get_Balance(K$83,"PTD","USD","Total","A","","001","555312","ED","AN","DL")</f>
        <v>0</v>
      </c>
      <c r="L31" s="158">
        <f>_xll.Get_Balance(L$83,"PTD","USD","Total","A","","001","555312","ED","AN","DL")</f>
        <v>0</v>
      </c>
      <c r="M31" s="158">
        <f>_xll.Get_Balance(M$83,"PTD","USD","Total","A","","001","555312","ED","AN","DL")</f>
        <v>0</v>
      </c>
      <c r="N31" s="158">
        <f>_xll.Get_Balance(N$83,"PTD","USD","Total","A","","001","555312","ED","AN","DL")</f>
        <v>0</v>
      </c>
      <c r="O31" s="158">
        <f>_xll.Get_Balance(O$83,"PTD","USD","Total","A","","001","555312","ED","AN","DL")</f>
        <v>0</v>
      </c>
      <c r="P31" s="158">
        <f>_xll.Get_Balance(P$83,"PTD","USD","Total","A","","001","555312","ED","AN","DL")</f>
        <v>0</v>
      </c>
      <c r="R31" s="204">
        <f t="shared" si="6"/>
        <v>0</v>
      </c>
    </row>
    <row r="32" spans="1:18" outlineLevel="1">
      <c r="A32" s="430"/>
      <c r="B32" s="52">
        <v>555313</v>
      </c>
      <c r="C32" s="467"/>
      <c r="D32" s="204">
        <f t="shared" si="7"/>
        <v>0</v>
      </c>
      <c r="E32" s="158">
        <f>_xll.Get_Balance(E$83,"PTD","USD","Total","A","","001","555313","ED","AN","DL")</f>
        <v>0</v>
      </c>
      <c r="F32" s="158">
        <f>_xll.Get_Balance(F$83,"PTD","USD","Total","A","","001","555313","ED","AN","DL")</f>
        <v>0</v>
      </c>
      <c r="G32" s="158">
        <f>_xll.Get_Balance(G$83,"PTD","USD","Total","A","","001","555313","ED","AN","DL")</f>
        <v>0</v>
      </c>
      <c r="H32" s="158">
        <f>_xll.Get_Balance(H$83,"PTD","USD","Total","A","","001","555313","ED","AN","DL")</f>
        <v>0</v>
      </c>
      <c r="I32" s="158">
        <f>_xll.Get_Balance(I$83,"PTD","USD","Total","A","","001","555313","ED","AN","DL")</f>
        <v>0</v>
      </c>
      <c r="J32" s="158">
        <f>_xll.Get_Balance(J$83,"PTD","USD","Total","A","","001","555313","ED","AN","DL")</f>
        <v>0</v>
      </c>
      <c r="K32" s="158">
        <f>_xll.Get_Balance(K$83,"PTD","USD","Total","A","","001","555313","ED","AN","DL")</f>
        <v>0</v>
      </c>
      <c r="L32" s="158">
        <f>_xll.Get_Balance(L$83,"PTD","USD","Total","A","","001","555313","ED","AN","DL")</f>
        <v>0</v>
      </c>
      <c r="M32" s="158">
        <f>_xll.Get_Balance(M$83,"PTD","USD","Total","A","","001","555313","ED","AN","DL")</f>
        <v>0</v>
      </c>
      <c r="N32" s="158">
        <f>_xll.Get_Balance(N$83,"PTD","USD","Total","A","","001","555313","ED","AN","DL")</f>
        <v>0</v>
      </c>
      <c r="O32" s="158">
        <f>_xll.Get_Balance(O$83,"PTD","USD","Total","A","","001","555313","ED","AN","DL")</f>
        <v>0</v>
      </c>
      <c r="P32" s="158">
        <f>_xll.Get_Balance(P$83,"PTD","USD","Total","A","","001","555313","ED","AN","DL")</f>
        <v>0</v>
      </c>
      <c r="R32" s="204">
        <f t="shared" si="6"/>
        <v>0</v>
      </c>
    </row>
    <row r="33" spans="1:19" outlineLevel="1">
      <c r="A33" s="430"/>
      <c r="B33" s="52">
        <v>555380</v>
      </c>
      <c r="D33" s="204">
        <f t="shared" si="7"/>
        <v>0</v>
      </c>
      <c r="E33" s="158">
        <f>_xll.Get_Balance(E$83,"PTD","USD","Total","A","","001","555380","ED","AN","DL")</f>
        <v>0</v>
      </c>
      <c r="F33" s="158">
        <f>_xll.Get_Balance(F$83,"PTD","USD","Total","A","","001","555380","ED","AN","DL")</f>
        <v>0</v>
      </c>
      <c r="G33" s="158">
        <f>_xll.Get_Balance(G$83,"PTD","USD","Total","A","","001","555380","ED","AN","DL")</f>
        <v>0</v>
      </c>
      <c r="H33" s="158">
        <f>_xll.Get_Balance(H$83,"PTD","USD","Total","A","","001","555380","ED","AN","DL")</f>
        <v>0</v>
      </c>
      <c r="I33" s="158">
        <f>_xll.Get_Balance(I$83,"PTD","USD","Total","A","","001","555380","ED","AN","DL")</f>
        <v>0</v>
      </c>
      <c r="J33" s="158">
        <f>_xll.Get_Balance(J$83,"PTD","USD","Total","A","","001","555380","ED","AN","DL")</f>
        <v>0</v>
      </c>
      <c r="K33" s="158">
        <f>_xll.Get_Balance(K$83,"PTD","USD","Total","A","","001","555380","ED","AN","DL")</f>
        <v>0</v>
      </c>
      <c r="L33" s="158">
        <f>_xll.Get_Balance(L$83,"PTD","USD","Total","A","","001","555380","ED","AN","DL")</f>
        <v>0</v>
      </c>
      <c r="M33" s="158">
        <f>_xll.Get_Balance(M$83,"PTD","USD","Total","A","","001","555380","ED","AN","DL")</f>
        <v>0</v>
      </c>
      <c r="N33" s="158">
        <f>_xll.Get_Balance(N$83,"PTD","USD","Total","A","","001","555380","ED","AN","DL")</f>
        <v>0</v>
      </c>
      <c r="O33" s="158">
        <f>_xll.Get_Balance(O$83,"PTD","USD","Total","A","","001","555380","ED","AN","DL")</f>
        <v>0</v>
      </c>
      <c r="P33" s="158">
        <f>_xll.Get_Balance(P$83,"PTD","USD","Total","A","","001","555380","ED","AN","DL")</f>
        <v>0</v>
      </c>
      <c r="R33" s="204">
        <f t="shared" si="6"/>
        <v>0</v>
      </c>
    </row>
    <row r="34" spans="1:19" outlineLevel="1">
      <c r="A34" s="430"/>
      <c r="B34" s="52">
        <v>555550</v>
      </c>
      <c r="D34" s="204">
        <f t="shared" si="7"/>
        <v>-1708</v>
      </c>
      <c r="E34" s="158">
        <f>_xll.Get_Balance(E$83,"PTD","USD","Total","A","","001","555550","ED","AN","DL")</f>
        <v>17127</v>
      </c>
      <c r="F34" s="158">
        <f>_xll.Get_Balance(F$83,"PTD","USD","Total","A","","001","555550","ED","AN","DL")</f>
        <v>-25491</v>
      </c>
      <c r="G34" s="158">
        <f>_xll.Get_Balance(G$83,"PTD","USD","Total","A","","001","555550","ED","AN","DL")</f>
        <v>6656</v>
      </c>
      <c r="H34" s="158">
        <f>_xll.Get_Balance(H$83,"PTD","USD","Total","A","","001","555550","ED","AN","DL")</f>
        <v>0</v>
      </c>
      <c r="I34" s="158">
        <f>_xll.Get_Balance(I$83,"PTD","USD","Total","A","","001","555550","ED","AN","DL")</f>
        <v>0</v>
      </c>
      <c r="J34" s="158">
        <f>_xll.Get_Balance(J$83,"PTD","USD","Total","A","","001","555550","ED","AN","DL")</f>
        <v>0</v>
      </c>
      <c r="K34" s="158">
        <f>_xll.Get_Balance(K$83,"PTD","USD","Total","A","","001","555550","ED","AN","DL")</f>
        <v>0</v>
      </c>
      <c r="L34" s="158">
        <f>_xll.Get_Balance(L$83,"PTD","USD","Total","A","","001","555550","ED","AN","DL")</f>
        <v>0</v>
      </c>
      <c r="M34" s="158">
        <f>_xll.Get_Balance(M$83,"PTD","USD","Total","A","","001","555550","ED","AN","DL")</f>
        <v>0</v>
      </c>
      <c r="N34" s="158">
        <f>_xll.Get_Balance(N$83,"PTD","USD","Total","A","","001","555550","ED","AN","DL")</f>
        <v>0</v>
      </c>
      <c r="O34" s="158">
        <f>_xll.Get_Balance(O$83,"PTD","USD","Total","A","","001","555550","ED","AN","DL")</f>
        <v>0</v>
      </c>
      <c r="P34" s="158">
        <f>_xll.Get_Balance(P$83,"PTD","USD","Total","A","","001","555550","ED","AN","DL")</f>
        <v>0</v>
      </c>
      <c r="Q34" s="51"/>
      <c r="R34" s="148">
        <f>SUM(E34:P34)</f>
        <v>-1708</v>
      </c>
      <c r="S34" s="51"/>
    </row>
    <row r="35" spans="1:19" outlineLevel="1">
      <c r="A35" s="430"/>
      <c r="B35" s="52">
        <v>555700</v>
      </c>
      <c r="D35" s="204">
        <f t="shared" si="7"/>
        <v>672482</v>
      </c>
      <c r="E35" s="158">
        <f>_xll.Get_Balance(E$83,"PTD","USD","Total","A","","001","555700","ED","AN","DL")</f>
        <v>185905</v>
      </c>
      <c r="F35" s="158">
        <f>_xll.Get_Balance(F$83,"PTD","USD","Total","A","","001","555700","ED","AN","DL")</f>
        <v>182496</v>
      </c>
      <c r="G35" s="158">
        <f>_xll.Get_Balance(G$83,"PTD","USD","Total","A","","001","555700","ED","AN","DL")</f>
        <v>304081</v>
      </c>
      <c r="H35" s="158">
        <f>_xll.Get_Balance(H$83,"PTD","USD","Total","A","","001","555700","ED","AN","DL")</f>
        <v>0</v>
      </c>
      <c r="I35" s="158">
        <f>_xll.Get_Balance(I$83,"PTD","USD","Total","A","","001","555700","ED","AN","DL")</f>
        <v>0</v>
      </c>
      <c r="J35" s="158">
        <f>_xll.Get_Balance(J$83,"PTD","USD","Total","A","","001","555700","ED","AN","DL")</f>
        <v>0</v>
      </c>
      <c r="K35" s="158">
        <f>_xll.Get_Balance(K$83,"PTD","USD","Total","A","","001","555700","ED","AN","DL")</f>
        <v>0</v>
      </c>
      <c r="L35" s="158">
        <f>_xll.Get_Balance(L$83,"PTD","USD","Total","A","","001","555700","ED","AN","DL")</f>
        <v>0</v>
      </c>
      <c r="M35" s="158">
        <f>_xll.Get_Balance(M$83,"PTD","USD","Total","A","","001","555700","ED","AN","DL")</f>
        <v>0</v>
      </c>
      <c r="N35" s="158">
        <f>_xll.Get_Balance(N$83,"PTD","USD","Total","A","","001","555700","ED","AN","DL")</f>
        <v>0</v>
      </c>
      <c r="O35" s="158">
        <f>_xll.Get_Balance(O$83,"PTD","USD","Total","A","","001","555700","ED","AN","DL")</f>
        <v>0</v>
      </c>
      <c r="P35" s="158">
        <f>_xll.Get_Balance(P$83,"PTD","USD","Total","A","","001","555700","ED","AN","DL")</f>
        <v>0</v>
      </c>
      <c r="R35" s="204">
        <f>SUM(E35:P35)</f>
        <v>672482</v>
      </c>
    </row>
    <row r="36" spans="1:19" outlineLevel="1">
      <c r="A36" s="430"/>
      <c r="B36" s="52">
        <v>555710</v>
      </c>
      <c r="D36" s="403">
        <f t="shared" si="7"/>
        <v>659247</v>
      </c>
      <c r="E36" s="181">
        <f>_xll.Get_Balance(E$83,"PTD","USD","Total","A","","001","555710","ED","AN","DL")</f>
        <v>213305</v>
      </c>
      <c r="F36" s="181">
        <f>_xll.Get_Balance(F$83,"PTD","USD","Total","A","","001","555710","ED","AN","DL")</f>
        <v>248240</v>
      </c>
      <c r="G36" s="181">
        <f>_xll.Get_Balance(G$83,"PTD","USD","Total","A","","001","555710","ED","AN","DL")</f>
        <v>197702</v>
      </c>
      <c r="H36" s="181">
        <f>_xll.Get_Balance(H$83,"PTD","USD","Total","A","","001","555710","ED","AN","DL")</f>
        <v>0</v>
      </c>
      <c r="I36" s="181">
        <f>_xll.Get_Balance(I$83,"PTD","USD","Total","A","","001","555710","ED","AN","DL")</f>
        <v>0</v>
      </c>
      <c r="J36" s="181">
        <f>_xll.Get_Balance(J$83,"PTD","USD","Total","A","","001","555710","ED","AN","DL")</f>
        <v>0</v>
      </c>
      <c r="K36" s="181">
        <f>_xll.Get_Balance(K$83,"PTD","USD","Total","A","","001","555710","ED","AN","DL")</f>
        <v>0</v>
      </c>
      <c r="L36" s="181">
        <f>_xll.Get_Balance(L$83,"PTD","USD","Total","A","","001","555710","ED","AN","DL")</f>
        <v>0</v>
      </c>
      <c r="M36" s="181">
        <f>_xll.Get_Balance(M$83,"PTD","USD","Total","A","","001","555710","ED","AN","DL")</f>
        <v>0</v>
      </c>
      <c r="N36" s="181">
        <f>_xll.Get_Balance(N$83,"PTD","USD","Total","A","","001","555710","ED","AN","DL")</f>
        <v>0</v>
      </c>
      <c r="O36" s="181">
        <f>_xll.Get_Balance(O$83,"PTD","USD","Total","A","","001","555710","ED","AN","DL")</f>
        <v>0</v>
      </c>
      <c r="P36" s="181">
        <f>_xll.Get_Balance(P$83,"PTD","USD","Total","A","","001","555710","ED","AN","DL")</f>
        <v>0</v>
      </c>
      <c r="R36" s="403">
        <f t="shared" si="6"/>
        <v>659247</v>
      </c>
    </row>
    <row r="37" spans="1:19" outlineLevel="1">
      <c r="A37" s="430"/>
      <c r="D37" s="203">
        <f>SUM(E37:P37)</f>
        <v>43831890</v>
      </c>
      <c r="E37" s="203">
        <f t="shared" ref="E37:P37" si="8">SUM(E28:E36)</f>
        <v>16532438</v>
      </c>
      <c r="F37" s="203">
        <f t="shared" si="8"/>
        <v>15146420</v>
      </c>
      <c r="G37" s="203">
        <f t="shared" si="8"/>
        <v>12153032</v>
      </c>
      <c r="H37" s="203">
        <f t="shared" si="8"/>
        <v>0</v>
      </c>
      <c r="I37" s="203">
        <f t="shared" si="8"/>
        <v>0</v>
      </c>
      <c r="J37" s="203">
        <f t="shared" si="8"/>
        <v>0</v>
      </c>
      <c r="K37" s="203">
        <f t="shared" si="8"/>
        <v>0</v>
      </c>
      <c r="L37" s="203">
        <f t="shared" si="8"/>
        <v>0</v>
      </c>
      <c r="M37" s="203">
        <f t="shared" si="8"/>
        <v>0</v>
      </c>
      <c r="N37" s="203">
        <f t="shared" si="8"/>
        <v>0</v>
      </c>
      <c r="O37" s="203">
        <f t="shared" si="8"/>
        <v>0</v>
      </c>
      <c r="P37" s="203">
        <f t="shared" si="8"/>
        <v>0</v>
      </c>
      <c r="R37" s="397">
        <f>SUM(R32:R36)</f>
        <v>1330021</v>
      </c>
    </row>
    <row r="38" spans="1:19" outlineLevel="1">
      <c r="A38" s="430"/>
      <c r="E38" s="204"/>
      <c r="F38" s="204"/>
      <c r="G38" s="204"/>
      <c r="H38" s="175"/>
      <c r="I38" s="175"/>
      <c r="J38" s="175"/>
      <c r="K38" s="204"/>
      <c r="L38" s="204"/>
      <c r="M38" s="204"/>
      <c r="N38" s="204"/>
      <c r="O38" s="204"/>
      <c r="P38" s="204"/>
      <c r="R38" s="204"/>
    </row>
    <row r="39" spans="1:19">
      <c r="A39" s="430"/>
      <c r="B39" s="141" t="s">
        <v>27</v>
      </c>
      <c r="E39" s="204"/>
      <c r="F39" s="204"/>
      <c r="G39" s="204"/>
      <c r="H39" s="175"/>
      <c r="I39" s="175"/>
      <c r="J39" s="175"/>
      <c r="K39" s="204"/>
      <c r="L39" s="204"/>
      <c r="M39" s="204"/>
      <c r="N39" s="204"/>
      <c r="O39" s="204"/>
      <c r="P39" s="204"/>
      <c r="R39" s="204"/>
    </row>
    <row r="40" spans="1:19" ht="12.95" customHeight="1">
      <c r="A40" s="430">
        <f>A23+1</f>
        <v>18</v>
      </c>
      <c r="B40" s="52" t="s">
        <v>28</v>
      </c>
      <c r="D40" s="204">
        <f t="shared" ref="D40:D45" si="9">SUM(E40:P40)</f>
        <v>-27699289</v>
      </c>
      <c r="E40" s="175">
        <f>'WA Monthly'!E40</f>
        <v>-11050528</v>
      </c>
      <c r="F40" s="175">
        <f>'WA Monthly'!F40</f>
        <v>-7466737</v>
      </c>
      <c r="G40" s="175">
        <f>'WA Monthly'!G40</f>
        <v>-9182024</v>
      </c>
      <c r="H40" s="175">
        <f>'WA Monthly'!H40</f>
        <v>0</v>
      </c>
      <c r="I40" s="175">
        <f>'WA Monthly'!I40</f>
        <v>0</v>
      </c>
      <c r="J40" s="175">
        <f>'WA Monthly'!J40</f>
        <v>0</v>
      </c>
      <c r="K40" s="175">
        <f>'WA Monthly'!K40</f>
        <v>0</v>
      </c>
      <c r="L40" s="175">
        <f>'WA Monthly'!L40</f>
        <v>0</v>
      </c>
      <c r="M40" s="175">
        <f>'WA Monthly'!M40</f>
        <v>0</v>
      </c>
      <c r="N40" s="175">
        <f>'WA Monthly'!N40</f>
        <v>0</v>
      </c>
      <c r="O40" s="175">
        <f>'WA Monthly'!O40</f>
        <v>0</v>
      </c>
      <c r="P40" s="175">
        <f>'WA Monthly'!P40</f>
        <v>0</v>
      </c>
      <c r="R40" s="204">
        <f>SUM(E40:P40)</f>
        <v>-27699289</v>
      </c>
    </row>
    <row r="41" spans="1:19">
      <c r="A41" s="430">
        <f>A40+1</f>
        <v>19</v>
      </c>
      <c r="B41" s="52" t="s">
        <v>33</v>
      </c>
      <c r="D41" s="204">
        <f t="shared" si="9"/>
        <v>218636</v>
      </c>
      <c r="E41" s="175">
        <f>'WA Monthly'!E41</f>
        <v>96850</v>
      </c>
      <c r="F41" s="175">
        <f>'WA Monthly'!F41</f>
        <v>54051</v>
      </c>
      <c r="G41" s="175">
        <f>'WA Monthly'!G41</f>
        <v>67735</v>
      </c>
      <c r="H41" s="175">
        <f>'WA Monthly'!H41</f>
        <v>0</v>
      </c>
      <c r="I41" s="175">
        <f>'WA Monthly'!I41</f>
        <v>0</v>
      </c>
      <c r="J41" s="175">
        <f>'WA Monthly'!J41</f>
        <v>0</v>
      </c>
      <c r="K41" s="175">
        <f>'WA Monthly'!K41</f>
        <v>0</v>
      </c>
      <c r="L41" s="175">
        <f>'WA Monthly'!L41</f>
        <v>0</v>
      </c>
      <c r="M41" s="175">
        <f>'WA Monthly'!M41</f>
        <v>0</v>
      </c>
      <c r="N41" s="175">
        <f>'WA Monthly'!N41</f>
        <v>0</v>
      </c>
      <c r="O41" s="175">
        <f>'WA Monthly'!O41</f>
        <v>0</v>
      </c>
      <c r="P41" s="175">
        <f>'WA Monthly'!P41</f>
        <v>0</v>
      </c>
      <c r="R41" s="204">
        <f>SUM(E41:P41)</f>
        <v>218636</v>
      </c>
    </row>
    <row r="42" spans="1:19">
      <c r="A42" s="430">
        <f>A41+1</f>
        <v>20</v>
      </c>
      <c r="B42" s="52" t="s">
        <v>122</v>
      </c>
      <c r="D42" s="204">
        <f t="shared" si="9"/>
        <v>36841</v>
      </c>
      <c r="E42" s="175">
        <f>'WA Monthly'!E42</f>
        <v>12978</v>
      </c>
      <c r="F42" s="175">
        <f>'WA Monthly'!F42</f>
        <v>11594</v>
      </c>
      <c r="G42" s="175">
        <f>'WA Monthly'!G42</f>
        <v>12269</v>
      </c>
      <c r="H42" s="175">
        <f>'WA Monthly'!H42</f>
        <v>0</v>
      </c>
      <c r="I42" s="175">
        <f>'WA Monthly'!I42</f>
        <v>0</v>
      </c>
      <c r="J42" s="175">
        <f>'WA Monthly'!J42</f>
        <v>0</v>
      </c>
      <c r="K42" s="175">
        <f>'WA Monthly'!K42</f>
        <v>0</v>
      </c>
      <c r="L42" s="175">
        <f>'WA Monthly'!L42</f>
        <v>0</v>
      </c>
      <c r="M42" s="175">
        <f>'WA Monthly'!M42</f>
        <v>0</v>
      </c>
      <c r="N42" s="175">
        <f>'WA Monthly'!N42</f>
        <v>0</v>
      </c>
      <c r="O42" s="175">
        <f>'WA Monthly'!O42</f>
        <v>0</v>
      </c>
      <c r="P42" s="175">
        <f>'WA Monthly'!P42</f>
        <v>0</v>
      </c>
      <c r="R42" s="204">
        <f>SUM(E42:P42)</f>
        <v>36841</v>
      </c>
    </row>
    <row r="43" spans="1:19">
      <c r="A43" s="430">
        <f>A42+1</f>
        <v>21</v>
      </c>
      <c r="B43" s="52" t="s">
        <v>55</v>
      </c>
      <c r="D43" s="204">
        <f t="shared" si="9"/>
        <v>186628</v>
      </c>
      <c r="E43" s="175">
        <f>'WA Monthly'!E43</f>
        <v>61859</v>
      </c>
      <c r="F43" s="175">
        <f>'WA Monthly'!F43</f>
        <v>59141</v>
      </c>
      <c r="G43" s="175">
        <f>'WA Monthly'!G43</f>
        <v>65628</v>
      </c>
      <c r="H43" s="175">
        <f>'WA Monthly'!H43</f>
        <v>0</v>
      </c>
      <c r="I43" s="175">
        <f>'WA Monthly'!I43</f>
        <v>0</v>
      </c>
      <c r="J43" s="175">
        <f>'WA Monthly'!J43</f>
        <v>0</v>
      </c>
      <c r="K43" s="175">
        <f>'WA Monthly'!K43</f>
        <v>0</v>
      </c>
      <c r="L43" s="175">
        <f>'WA Monthly'!L43</f>
        <v>0</v>
      </c>
      <c r="M43" s="175">
        <f>'WA Monthly'!M43</f>
        <v>0</v>
      </c>
      <c r="N43" s="175">
        <f>'WA Monthly'!N43</f>
        <v>0</v>
      </c>
      <c r="O43" s="175">
        <f>'WA Monthly'!O43</f>
        <v>0</v>
      </c>
      <c r="P43" s="175">
        <f>'WA Monthly'!P43</f>
        <v>0</v>
      </c>
      <c r="R43" s="204">
        <f>SUM(E43:P43)</f>
        <v>186628</v>
      </c>
    </row>
    <row r="44" spans="1:19">
      <c r="A44" s="430">
        <f>A43+1</f>
        <v>22</v>
      </c>
      <c r="B44" s="52" t="s">
        <v>36</v>
      </c>
      <c r="D44" s="204">
        <f t="shared" si="9"/>
        <v>-7645108</v>
      </c>
      <c r="E44" s="175">
        <f>'WA Monthly'!E44</f>
        <v>-3148683</v>
      </c>
      <c r="F44" s="175">
        <f>'WA Monthly'!F44</f>
        <v>-2334720</v>
      </c>
      <c r="G44" s="175">
        <f>'WA Monthly'!G44</f>
        <v>-2161705</v>
      </c>
      <c r="H44" s="175">
        <f>'WA Monthly'!H44</f>
        <v>0</v>
      </c>
      <c r="I44" s="175">
        <f>'WA Monthly'!I44</f>
        <v>0</v>
      </c>
      <c r="J44" s="175">
        <f>'WA Monthly'!J44</f>
        <v>0</v>
      </c>
      <c r="K44" s="175">
        <f>'WA Monthly'!K44</f>
        <v>0</v>
      </c>
      <c r="L44" s="175">
        <f>'WA Monthly'!L44</f>
        <v>0</v>
      </c>
      <c r="M44" s="175">
        <f>'WA Monthly'!M44</f>
        <v>0</v>
      </c>
      <c r="N44" s="175">
        <f>'WA Monthly'!N44</f>
        <v>0</v>
      </c>
      <c r="O44" s="175">
        <f>'WA Monthly'!O44</f>
        <v>0</v>
      </c>
      <c r="P44" s="175">
        <f>'WA Monthly'!P44</f>
        <v>0</v>
      </c>
      <c r="R44" s="204">
        <f>SUM(E44:P44)</f>
        <v>-7645108</v>
      </c>
    </row>
    <row r="45" spans="1:19" ht="21" customHeight="1" thickBot="1">
      <c r="A45" s="387">
        <f>A44+1</f>
        <v>23</v>
      </c>
      <c r="B45" s="259" t="s">
        <v>233</v>
      </c>
      <c r="C45" s="259"/>
      <c r="D45" s="202">
        <f t="shared" si="9"/>
        <v>-34902292</v>
      </c>
      <c r="E45" s="173">
        <f t="shared" ref="E45:J45" si="10">E55</f>
        <v>-14027524</v>
      </c>
      <c r="F45" s="173">
        <f>F55</f>
        <v>-9676671</v>
      </c>
      <c r="G45" s="173">
        <f t="shared" si="10"/>
        <v>-11198097</v>
      </c>
      <c r="H45" s="173">
        <f t="shared" si="10"/>
        <v>0</v>
      </c>
      <c r="I45" s="173">
        <f t="shared" si="10"/>
        <v>0</v>
      </c>
      <c r="J45" s="173">
        <f t="shared" si="10"/>
        <v>0</v>
      </c>
      <c r="K45" s="173">
        <f t="shared" ref="K45:P45" si="11">K55</f>
        <v>0</v>
      </c>
      <c r="L45" s="173">
        <f t="shared" si="11"/>
        <v>0</v>
      </c>
      <c r="M45" s="173">
        <f t="shared" si="11"/>
        <v>0</v>
      </c>
      <c r="N45" s="173">
        <f t="shared" si="11"/>
        <v>0</v>
      </c>
      <c r="O45" s="173">
        <f t="shared" si="11"/>
        <v>0</v>
      </c>
      <c r="P45" s="173">
        <f t="shared" si="11"/>
        <v>0</v>
      </c>
      <c r="R45" s="470">
        <f>SUM(R40:R44)</f>
        <v>-34902292</v>
      </c>
    </row>
    <row r="46" spans="1:19" ht="13.5" thickTop="1">
      <c r="A46" s="430"/>
      <c r="C46" s="52" t="s">
        <v>30</v>
      </c>
      <c r="E46" s="175" t="s">
        <v>30</v>
      </c>
      <c r="F46" s="175" t="s">
        <v>30</v>
      </c>
      <c r="G46" s="175" t="s">
        <v>30</v>
      </c>
      <c r="H46" s="175"/>
      <c r="I46" s="175"/>
      <c r="J46" s="175"/>
      <c r="K46" s="204"/>
      <c r="L46" s="204"/>
      <c r="M46" s="204"/>
      <c r="N46" s="204"/>
      <c r="O46" s="204"/>
      <c r="P46" s="175"/>
      <c r="R46" s="204"/>
    </row>
    <row r="47" spans="1:19" outlineLevel="1">
      <c r="A47" s="430"/>
      <c r="E47" s="204"/>
      <c r="F47" s="204"/>
      <c r="G47" s="204"/>
      <c r="H47" s="175"/>
      <c r="I47" s="175"/>
      <c r="J47" s="175"/>
      <c r="K47" s="204"/>
      <c r="L47" s="204"/>
      <c r="M47" s="204"/>
      <c r="N47" s="204"/>
      <c r="O47" s="204"/>
      <c r="P47" s="175"/>
      <c r="R47" s="204"/>
    </row>
    <row r="48" spans="1:19" outlineLevel="1">
      <c r="A48" s="430"/>
      <c r="B48" s="255" t="s">
        <v>27</v>
      </c>
      <c r="E48" s="204"/>
      <c r="F48" s="204"/>
      <c r="G48" s="204"/>
      <c r="H48" s="175"/>
      <c r="I48" s="175"/>
      <c r="J48" s="175"/>
      <c r="K48" s="204"/>
      <c r="L48" s="204"/>
      <c r="M48" s="204"/>
      <c r="N48" s="204"/>
      <c r="O48" s="204"/>
      <c r="P48" s="175"/>
      <c r="R48" s="204"/>
    </row>
    <row r="49" spans="1:18" outlineLevel="1">
      <c r="A49" s="430"/>
      <c r="B49" s="52">
        <v>447000</v>
      </c>
      <c r="D49" s="204">
        <f t="shared" ref="D49:D55" si="12">SUM(E49:P49)</f>
        <v>-19201428</v>
      </c>
      <c r="E49" s="158">
        <f>_xll.Get_Balance(E$83,"PTD","USD","Total","A","","001","447000","ED","AN","DL")</f>
        <v>-7609680</v>
      </c>
      <c r="F49" s="158">
        <f>_xll.Get_Balance(F$83,"PTD","USD","Total","A","","001","447000","ED","AN","DL")</f>
        <v>-5047431</v>
      </c>
      <c r="G49" s="158">
        <f>_xll.Get_Balance(G$83,"PTD","USD","Total","A","","001","447000","ED","AN","DL")</f>
        <v>-6544317</v>
      </c>
      <c r="H49" s="158">
        <f>_xll.Get_Balance(H$83,"PTD","USD","Total","A","","001","447000","ED","AN","DL")</f>
        <v>0</v>
      </c>
      <c r="I49" s="158">
        <f>_xll.Get_Balance(I$83,"PTD","USD","Total","A","","001","447000","ED","AN","DL")</f>
        <v>0</v>
      </c>
      <c r="J49" s="158">
        <f>_xll.Get_Balance(J$83,"PTD","USD","Total","A","","001","447000","ED","AN","DL")</f>
        <v>0</v>
      </c>
      <c r="K49" s="158">
        <f>_xll.Get_Balance(K$83,"PTD","USD","Total","A","","001","447000","ED","AN","DL")</f>
        <v>0</v>
      </c>
      <c r="L49" s="158">
        <f>_xll.Get_Balance(L$83,"PTD","USD","Total","A","","001","447000","ED","AN","DL")</f>
        <v>0</v>
      </c>
      <c r="M49" s="158">
        <f>_xll.Get_Balance(M$83,"PTD","USD","Total","A","","001","447000","ED","AN","DL")</f>
        <v>0</v>
      </c>
      <c r="N49" s="158">
        <f>_xll.Get_Balance(N$83,"PTD","USD","Total","A","","001","447000","ED","AN","DL")</f>
        <v>0</v>
      </c>
      <c r="O49" s="158">
        <f>_xll.Get_Balance(O$83,"PTD","USD","Total","A","","001","447000","ED","AN","DL")</f>
        <v>0</v>
      </c>
      <c r="P49" s="158">
        <f>_xll.Get_Balance(P$83,"PTD","USD","Total","A","","001","447000","ED","AN","DL")</f>
        <v>0</v>
      </c>
      <c r="R49" s="204">
        <f t="shared" ref="R49:R54" si="13">SUM(E49:P49)</f>
        <v>-19201428</v>
      </c>
    </row>
    <row r="50" spans="1:18" outlineLevel="1">
      <c r="A50" s="430"/>
      <c r="B50" s="52">
        <v>447100</v>
      </c>
      <c r="D50" s="204">
        <f t="shared" si="12"/>
        <v>-2491074</v>
      </c>
      <c r="E50" s="158">
        <f>_xll.Get_Balance(E$83,"PTD","USD","Total","A","","001","447100","ED","AN","DL")</f>
        <v>-1305898</v>
      </c>
      <c r="F50" s="158">
        <f>_xll.Get_Balance(F$83,"PTD","USD","Total","A","","001","447100","ED","AN","DL")</f>
        <v>-673570</v>
      </c>
      <c r="G50" s="158">
        <f>_xll.Get_Balance(G$83,"PTD","USD","Total","A","","001","447100","ED","AN","DL")</f>
        <v>-511606</v>
      </c>
      <c r="H50" s="158">
        <f>_xll.Get_Balance(H$83,"PTD","USD","Total","A","","001","447100","ED","AN","DL")</f>
        <v>0</v>
      </c>
      <c r="I50" s="158">
        <f>_xll.Get_Balance(I$83,"PTD","USD","Total","A","","001","447100","ED","AN","DL")</f>
        <v>0</v>
      </c>
      <c r="J50" s="158">
        <f>_xll.Get_Balance(J$83,"PTD","USD","Total","A","","001","447100","ED","AN","DL")</f>
        <v>0</v>
      </c>
      <c r="K50" s="158">
        <f>_xll.Get_Balance(K$83,"PTD","USD","Total","A","","001","447100","ED","AN","DL")</f>
        <v>0</v>
      </c>
      <c r="L50" s="158">
        <f>_xll.Get_Balance(L$83,"PTD","USD","Total","A","","001","447100","ED","AN","DL")</f>
        <v>0</v>
      </c>
      <c r="M50" s="158">
        <f>_xll.Get_Balance(M$83,"PTD","USD","Total","A","","001","447100","ED","AN","DL")</f>
        <v>0</v>
      </c>
      <c r="N50" s="158">
        <f>_xll.Get_Balance(N$83,"PTD","USD","Total","A","","001","447100","ED","AN","DL")</f>
        <v>0</v>
      </c>
      <c r="O50" s="158">
        <f>_xll.Get_Balance(O$83,"PTD","USD","Total","A","","001","447100","ED","AN","DL")</f>
        <v>0</v>
      </c>
      <c r="P50" s="158">
        <f>_xll.Get_Balance(P$83,"PTD","USD","Total","A","","001","447100","ED","AN","DL")</f>
        <v>0</v>
      </c>
      <c r="R50" s="204">
        <f t="shared" si="13"/>
        <v>-2491074</v>
      </c>
    </row>
    <row r="51" spans="1:18" outlineLevel="1">
      <c r="A51" s="430"/>
      <c r="B51" s="52">
        <v>447150</v>
      </c>
      <c r="D51" s="204">
        <f t="shared" si="12"/>
        <v>-4136313</v>
      </c>
      <c r="E51" s="158">
        <f>_xll.Get_Balance(E$83,"PTD","USD","Total","A","","001","447150","ED","AN","DL")</f>
        <v>-1555198</v>
      </c>
      <c r="F51" s="158">
        <f>_xll.Get_Balance(F$83,"PTD","USD","Total","A","","001","447150","ED","AN","DL")</f>
        <v>-1161880</v>
      </c>
      <c r="G51" s="158">
        <f>_xll.Get_Balance(G$83,"PTD","USD","Total","A","","001","447150","ED","AN","DL")</f>
        <v>-1419235</v>
      </c>
      <c r="H51" s="158">
        <f>_xll.Get_Balance(H$83,"PTD","USD","Total","A","","001","447150","ED","AN","DL")</f>
        <v>0</v>
      </c>
      <c r="I51" s="158">
        <f>_xll.Get_Balance(I$83,"PTD","USD","Total","A","","001","447150","ED","AN","DL")</f>
        <v>0</v>
      </c>
      <c r="J51" s="158">
        <f>_xll.Get_Balance(J$83,"PTD","USD","Total","A","","001","447150","ED","AN","DL")</f>
        <v>0</v>
      </c>
      <c r="K51" s="158">
        <f>_xll.Get_Balance(K$83,"PTD","USD","Total","A","","001","447150","ED","AN","DL")</f>
        <v>0</v>
      </c>
      <c r="L51" s="158">
        <f>_xll.Get_Balance(L$83,"PTD","USD","Total","A","","001","447150","ED","AN","DL")</f>
        <v>0</v>
      </c>
      <c r="M51" s="158">
        <f>_xll.Get_Balance(M$83,"PTD","USD","Total","A","","001","447150","ED","AN","DL")</f>
        <v>0</v>
      </c>
      <c r="N51" s="158">
        <f>_xll.Get_Balance(N$83,"PTD","USD","Total","A","","001","447150","ED","AN","DL")</f>
        <v>0</v>
      </c>
      <c r="O51" s="158">
        <f>_xll.Get_Balance(O$83,"PTD","USD","Total","A","","001","447150","ED","AN","DL")</f>
        <v>0</v>
      </c>
      <c r="P51" s="158">
        <f>_xll.Get_Balance(P$83,"PTD","USD","Total","A","","001","447150","ED","AN","DL")</f>
        <v>0</v>
      </c>
      <c r="R51" s="204">
        <f t="shared" si="13"/>
        <v>-4136313</v>
      </c>
    </row>
    <row r="52" spans="1:18" outlineLevel="1">
      <c r="A52" s="430"/>
      <c r="B52" s="52">
        <v>447700</v>
      </c>
      <c r="D52" s="204">
        <f t="shared" si="12"/>
        <v>-769122</v>
      </c>
      <c r="E52" s="158">
        <f>_xll.Get_Balance(E$83,"PTD","USD","Total","A","","001","447700","ED","AN","DL")</f>
        <v>-194760</v>
      </c>
      <c r="F52" s="158">
        <f>_xll.Get_Balance(F$83,"PTD","USD","Total","A","","001","447700","ED","AN","DL")</f>
        <v>-210830</v>
      </c>
      <c r="G52" s="158">
        <f>_xll.Get_Balance(G$83,"PTD","USD","Total","A","","001","447700","ED","AN","DL")</f>
        <v>-363532</v>
      </c>
      <c r="H52" s="158">
        <f>_xll.Get_Balance(H$83,"PTD","USD","Total","A","","001","447700","ED","AN","DL")</f>
        <v>0</v>
      </c>
      <c r="I52" s="158">
        <f>_xll.Get_Balance(I$83,"PTD","USD","Total","A","","001","447700","ED","AN","DL")</f>
        <v>0</v>
      </c>
      <c r="J52" s="158">
        <f>_xll.Get_Balance(J$83,"PTD","USD","Total","A","","001","447700","ED","AN","DL")</f>
        <v>0</v>
      </c>
      <c r="K52" s="158">
        <f>_xll.Get_Balance(K$83,"PTD","USD","Total","A","","001","447700","ED","AN","DL")</f>
        <v>0</v>
      </c>
      <c r="L52" s="158">
        <f>_xll.Get_Balance(L$83,"PTD","USD","Total","A","","001","447700","ED","AN","DL")</f>
        <v>0</v>
      </c>
      <c r="M52" s="158">
        <f>_xll.Get_Balance(M$83,"PTD","USD","Total","A","","001","447700","ED","AN","DL")</f>
        <v>0</v>
      </c>
      <c r="N52" s="158">
        <f>_xll.Get_Balance(N$83,"PTD","USD","Total","A","","001","447700","ED","AN","DL")</f>
        <v>0</v>
      </c>
      <c r="O52" s="158">
        <f>_xll.Get_Balance(O$83,"PTD","USD","Total","A","","001","447700","ED","AN","DL")</f>
        <v>0</v>
      </c>
      <c r="P52" s="158">
        <f>_xll.Get_Balance(P$83,"PTD","USD","Total","A","","001","447700","ED","AN","DL")</f>
        <v>0</v>
      </c>
      <c r="R52" s="204">
        <f t="shared" si="13"/>
        <v>-769122</v>
      </c>
    </row>
    <row r="53" spans="1:18" outlineLevel="1">
      <c r="A53" s="430"/>
      <c r="B53" s="52">
        <v>447710</v>
      </c>
      <c r="D53" s="204">
        <f t="shared" si="12"/>
        <v>-659247</v>
      </c>
      <c r="E53" s="158">
        <f>_xll.Get_Balance(E$83,"PTD","USD","Total","A","","001","447710","ED","AN","DL")</f>
        <v>-213305</v>
      </c>
      <c r="F53" s="158">
        <f>_xll.Get_Balance(F$83,"PTD","USD","Total","A","","001","447710","ED","AN","DL")</f>
        <v>-248240</v>
      </c>
      <c r="G53" s="158">
        <f>_xll.Get_Balance(G$83,"PTD","USD","Total","A","","001","447710","ED","AN","DL")</f>
        <v>-197702</v>
      </c>
      <c r="H53" s="158">
        <f>_xll.Get_Balance(H$83,"PTD","USD","Total","A","","001","447710","ED","AN","DL")</f>
        <v>0</v>
      </c>
      <c r="I53" s="158">
        <f>_xll.Get_Balance(I$83,"PTD","USD","Total","A","","001","447710","ED","AN","DL")</f>
        <v>0</v>
      </c>
      <c r="J53" s="158">
        <f>_xll.Get_Balance(J$83,"PTD","USD","Total","A","","001","447710","ED","AN","DL")</f>
        <v>0</v>
      </c>
      <c r="K53" s="158">
        <f>_xll.Get_Balance(K$83,"PTD","USD","Total","A","","001","447710","ED","AN","DL")</f>
        <v>0</v>
      </c>
      <c r="L53" s="158">
        <f>_xll.Get_Balance(L$83,"PTD","USD","Total","A","","001","447710","ED","AN","DL")</f>
        <v>0</v>
      </c>
      <c r="M53" s="158">
        <f>_xll.Get_Balance(M$83,"PTD","USD","Total","A","","001","447710","ED","AN","DL")</f>
        <v>0</v>
      </c>
      <c r="N53" s="158">
        <f>_xll.Get_Balance(N$83,"PTD","USD","Total","A","","001","447710","ED","AN","DL")</f>
        <v>0</v>
      </c>
      <c r="O53" s="158">
        <f>_xll.Get_Balance(O$83,"PTD","USD","Total","A","","001","447710","ED","AN","DL")</f>
        <v>0</v>
      </c>
      <c r="P53" s="158">
        <f>_xll.Get_Balance(P$83,"PTD","USD","Total","A","","001","447710","ED","AN","DL")</f>
        <v>0</v>
      </c>
      <c r="R53" s="204">
        <f t="shared" si="13"/>
        <v>-659247</v>
      </c>
    </row>
    <row r="54" spans="1:18" outlineLevel="1">
      <c r="A54" s="430"/>
      <c r="B54" s="52">
        <v>447720</v>
      </c>
      <c r="D54" s="403">
        <f t="shared" si="12"/>
        <v>-7645108</v>
      </c>
      <c r="E54" s="181">
        <f>_xll.Get_Balance(E$83,"PTD","USD","Total","A","","001","447720","ED","AN","DL")</f>
        <v>-3148683</v>
      </c>
      <c r="F54" s="181">
        <f>_xll.Get_Balance(F$83,"PTD","USD","Total","A","","001","447720","ED","AN","DL")</f>
        <v>-2334720</v>
      </c>
      <c r="G54" s="181">
        <f>_xll.Get_Balance(G$83,"PTD","USD","Total","A","","001","447720","ED","AN","DL")</f>
        <v>-2161705</v>
      </c>
      <c r="H54" s="181">
        <f>_xll.Get_Balance(H$83,"PTD","USD","Total","A","","001","447720","ED","AN","DL")</f>
        <v>0</v>
      </c>
      <c r="I54" s="181">
        <f>_xll.Get_Balance(I$83,"PTD","USD","Total","A","","001","447720","ED","AN","DL")</f>
        <v>0</v>
      </c>
      <c r="J54" s="181">
        <f>_xll.Get_Balance(J$83,"PTD","USD","Total","A","","001","447720","ED","AN","DL")</f>
        <v>0</v>
      </c>
      <c r="K54" s="181">
        <f>_xll.Get_Balance(K$83,"PTD","USD","Total","A","","001","447720","ED","AN","DL")</f>
        <v>0</v>
      </c>
      <c r="L54" s="181">
        <f>_xll.Get_Balance(L$83,"PTD","USD","Total","A","","001","447720","ED","AN","DL")</f>
        <v>0</v>
      </c>
      <c r="M54" s="181">
        <f>_xll.Get_Balance(M$83,"PTD","USD","Total","A","","001","447720","ED","AN","DL")</f>
        <v>0</v>
      </c>
      <c r="N54" s="181">
        <f>_xll.Get_Balance(N$83,"PTD","USD","Total","A","","001","447720","ED","AN","DL")</f>
        <v>0</v>
      </c>
      <c r="O54" s="181">
        <f>_xll.Get_Balance(O$83,"PTD","USD","Total","A","","001","447720","ED","AN","DL")</f>
        <v>0</v>
      </c>
      <c r="P54" s="181">
        <f>_xll.Get_Balance(P$83,"PTD","USD","Total","A","","001","447720","ED","AN","DL")</f>
        <v>0</v>
      </c>
      <c r="R54" s="204">
        <f t="shared" si="13"/>
        <v>-7645108</v>
      </c>
    </row>
    <row r="55" spans="1:18" outlineLevel="1">
      <c r="A55" s="430"/>
      <c r="D55" s="204">
        <f t="shared" si="12"/>
        <v>-34902292</v>
      </c>
      <c r="E55" s="204">
        <f t="shared" ref="E55:J55" si="14">SUM(E49:E54)</f>
        <v>-14027524</v>
      </c>
      <c r="F55" s="204">
        <f t="shared" si="14"/>
        <v>-9676671</v>
      </c>
      <c r="G55" s="204">
        <f t="shared" si="14"/>
        <v>-11198097</v>
      </c>
      <c r="H55" s="204">
        <f t="shared" si="14"/>
        <v>0</v>
      </c>
      <c r="I55" s="204">
        <f t="shared" si="14"/>
        <v>0</v>
      </c>
      <c r="J55" s="204">
        <f t="shared" si="14"/>
        <v>0</v>
      </c>
      <c r="K55" s="204">
        <f t="shared" ref="K55:P55" si="15">SUM(K49:K54)</f>
        <v>0</v>
      </c>
      <c r="L55" s="204">
        <f t="shared" si="15"/>
        <v>0</v>
      </c>
      <c r="M55" s="204">
        <f t="shared" si="15"/>
        <v>0</v>
      </c>
      <c r="N55" s="204">
        <f t="shared" si="15"/>
        <v>0</v>
      </c>
      <c r="O55" s="204">
        <f t="shared" si="15"/>
        <v>0</v>
      </c>
      <c r="P55" s="204">
        <f t="shared" si="15"/>
        <v>0</v>
      </c>
      <c r="R55" s="471">
        <f>SUM(R52:R54)</f>
        <v>-9073477</v>
      </c>
    </row>
    <row r="56" spans="1:18">
      <c r="A56" s="430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175"/>
      <c r="R56" s="204"/>
    </row>
    <row r="57" spans="1:18">
      <c r="A57" s="430"/>
      <c r="B57" s="141" t="s">
        <v>21</v>
      </c>
      <c r="E57" s="175"/>
      <c r="F57" s="175"/>
      <c r="G57" s="175"/>
      <c r="H57" s="175"/>
      <c r="I57" s="175"/>
      <c r="J57" s="175"/>
      <c r="K57" s="204"/>
      <c r="L57" s="204"/>
      <c r="M57" s="204"/>
      <c r="N57" s="204"/>
      <c r="O57" s="204"/>
      <c r="P57" s="175"/>
      <c r="R57" s="204"/>
    </row>
    <row r="58" spans="1:18">
      <c r="A58" s="430">
        <f>A45+1</f>
        <v>24</v>
      </c>
      <c r="B58" s="71" t="s">
        <v>247</v>
      </c>
      <c r="C58" s="472"/>
      <c r="D58" s="158">
        <f>SUM(E58:P58)</f>
        <v>1860760</v>
      </c>
      <c r="E58" s="158">
        <f>_xll.Get_Balance(E$83,"PTD","USD","Total","A","","001","501110","ED","AN","DL")</f>
        <v>626601</v>
      </c>
      <c r="F58" s="158">
        <f>_xll.Get_Balance(F$83,"PTD","USD","Total","A","","001","501110","ED","AN","DL")</f>
        <v>554862</v>
      </c>
      <c r="G58" s="158">
        <f>_xll.Get_Balance(G$83,"PTD","USD","Total","A","","001","501110","ED","AN","DL")</f>
        <v>679297</v>
      </c>
      <c r="H58" s="158">
        <f>_xll.Get_Balance(H$83,"PTD","USD","Total","A","","001","501110","ED","AN","DL")</f>
        <v>0</v>
      </c>
      <c r="I58" s="158">
        <f>_xll.Get_Balance(I$83,"PTD","USD","Total","A","","001","501110","ED","AN","DL")</f>
        <v>0</v>
      </c>
      <c r="J58" s="158">
        <f>_xll.Get_Balance(J$83,"PTD","USD","Total","A","","001","501110","ED","AN","DL")</f>
        <v>0</v>
      </c>
      <c r="K58" s="158">
        <f>_xll.Get_Balance(K$83,"PTD","USD","Total","A","","001","501110","ED","AN","DL")</f>
        <v>0</v>
      </c>
      <c r="L58" s="158">
        <f>_xll.Get_Balance(L$83,"PTD","USD","Total","A","","001","501110","ED","AN","DL")</f>
        <v>0</v>
      </c>
      <c r="M58" s="158">
        <f>_xll.Get_Balance(M$83,"PTD","USD","Total","A","","001","501110","ED","AN","DL")</f>
        <v>0</v>
      </c>
      <c r="N58" s="158">
        <f>_xll.Get_Balance(N$83,"PTD","USD","Total","A","","001","501110","ED","AN","DL")</f>
        <v>0</v>
      </c>
      <c r="O58" s="158">
        <f>_xll.Get_Balance(O$83,"PTD","USD","Total","A","","001","501110","ED","AN","DL")</f>
        <v>0</v>
      </c>
      <c r="P58" s="158">
        <f>_xll.Get_Balance(P$83,"PTD","USD","Total","A","","001","501110","ED","AN","DL")</f>
        <v>0</v>
      </c>
      <c r="R58" s="204">
        <f>SUM(E58:P58)</f>
        <v>1860760</v>
      </c>
    </row>
    <row r="59" spans="1:18">
      <c r="A59" s="430">
        <f>+A58+1</f>
        <v>25</v>
      </c>
      <c r="B59" s="71" t="s">
        <v>246</v>
      </c>
      <c r="C59" s="472"/>
      <c r="D59" s="158">
        <f>SUM(E59:P59)</f>
        <v>163</v>
      </c>
      <c r="E59" s="158">
        <f>_xll.Get_Balance(E$83,"PTD","USD","Total","A","","001","501120","ED","AN","DL")</f>
        <v>93</v>
      </c>
      <c r="F59" s="158">
        <f>_xll.Get_Balance(F$83,"PTD","USD","Total","A","","001","501120","ED","AN","DL")</f>
        <v>929</v>
      </c>
      <c r="G59" s="158">
        <f>_xll.Get_Balance(G$83,"PTD","USD","Total","A","","001","501120","ED","AN","DL")</f>
        <v>-859</v>
      </c>
      <c r="H59" s="158">
        <f>_xll.Get_Balance(H$83,"PTD","USD","Total","A","","001","501120","ED","AN","DL")</f>
        <v>0</v>
      </c>
      <c r="I59" s="158">
        <f>_xll.Get_Balance(I$83,"PTD","USD","Total","A","","001","501120","ED","AN","DL")</f>
        <v>0</v>
      </c>
      <c r="J59" s="158">
        <f>_xll.Get_Balance(J$83,"PTD","USD","Total","A","","001","501120","ED","AN","DL")</f>
        <v>0</v>
      </c>
      <c r="K59" s="158">
        <f>_xll.Get_Balance(K$83,"PTD","USD","Total","A","","001","501120","ED","AN","DL")</f>
        <v>0</v>
      </c>
      <c r="L59" s="158">
        <f>_xll.Get_Balance(L$83,"PTD","USD","Total","A","","001","501120","ED","AN","DL")</f>
        <v>0</v>
      </c>
      <c r="M59" s="158">
        <f>_xll.Get_Balance(M$83,"PTD","USD","Total","A","","001","501120","ED","AN","DL")</f>
        <v>0</v>
      </c>
      <c r="N59" s="158">
        <f>_xll.Get_Balance(N$83,"PTD","USD","Total","A","","001","501120","ED","AN","DL")</f>
        <v>0</v>
      </c>
      <c r="O59" s="158">
        <f>_xll.Get_Balance(O$83,"PTD","USD","Total","A","","001","501120","ED","AN","DL")</f>
        <v>0</v>
      </c>
      <c r="P59" s="158">
        <f>_xll.Get_Balance(P$83,"PTD","USD","Total","A","","001","501120","ED","AN","DL")</f>
        <v>0</v>
      </c>
      <c r="R59" s="204">
        <f>SUM(E59:P59)</f>
        <v>163</v>
      </c>
    </row>
    <row r="60" spans="1:18">
      <c r="A60" s="430">
        <f>+A59+1</f>
        <v>26</v>
      </c>
      <c r="B60" s="52" t="s">
        <v>168</v>
      </c>
      <c r="C60" s="430"/>
      <c r="D60" s="158">
        <f>SUM(E60:P60)</f>
        <v>5209927</v>
      </c>
      <c r="E60" s="158">
        <f>_xll.Get_Balance(E$83,"PTD","USD","Total","A","","001","501140","ED","AN","DL")</f>
        <v>2183195</v>
      </c>
      <c r="F60" s="158">
        <f>_xll.Get_Balance(F$83,"PTD","USD","Total","A","","001","501140","ED","AN","DL")</f>
        <v>895901</v>
      </c>
      <c r="G60" s="158">
        <f>_xll.Get_Balance(G$83,"PTD","USD","Total","A","","001","501140","ED","AN","DL")</f>
        <v>2130831</v>
      </c>
      <c r="H60" s="158">
        <f>_xll.Get_Balance(H$83,"PTD","USD","Total","A","","001","501140","ED","AN","DL")</f>
        <v>0</v>
      </c>
      <c r="I60" s="158">
        <f>_xll.Get_Balance(I$83,"PTD","USD","Total","A","","001","501140","ED","AN","DL")</f>
        <v>0</v>
      </c>
      <c r="J60" s="158">
        <f>_xll.Get_Balance(J$83,"PTD","USD","Total","A","","001","501140","ED","AN","DL")</f>
        <v>0</v>
      </c>
      <c r="K60" s="158">
        <f>_xll.Get_Balance(K$83,"PTD","USD","Total","A","","001","501140","ED","AN","DL")</f>
        <v>0</v>
      </c>
      <c r="L60" s="158">
        <f>_xll.Get_Balance(L$83,"PTD","USD","Total","A","","001","501140","ED","AN","DL")</f>
        <v>0</v>
      </c>
      <c r="M60" s="158">
        <f>_xll.Get_Balance(M$83,"PTD","USD","Total","A","","001","501140","ED","AN","DL")</f>
        <v>0</v>
      </c>
      <c r="N60" s="158">
        <f>_xll.Get_Balance(N$83,"PTD","USD","Total","A","","001","501140","ED","AN","DL")</f>
        <v>0</v>
      </c>
      <c r="O60" s="158">
        <f>_xll.Get_Balance(O$83,"PTD","USD","Total","A","","001","501140","ED","AN","DL")</f>
        <v>0</v>
      </c>
      <c r="P60" s="158">
        <f>_xll.Get_Balance(P$83,"PTD","USD","Total","A","","001","501140","ED","AN","DL")</f>
        <v>0</v>
      </c>
      <c r="R60" s="148">
        <f>SUM(E60:P60)</f>
        <v>5209927</v>
      </c>
    </row>
    <row r="61" spans="1:18">
      <c r="A61" s="430">
        <f>+A60+1</f>
        <v>27</v>
      </c>
      <c r="B61" s="52" t="s">
        <v>167</v>
      </c>
      <c r="C61" s="430"/>
      <c r="D61" s="158">
        <f>SUM(E61:P61)</f>
        <v>0</v>
      </c>
      <c r="E61" s="158">
        <f>_xll.Get_Balance(E$83,"PTD","USD","Total","A","","001","501160","ED","AN","DL")</f>
        <v>0</v>
      </c>
      <c r="F61" s="158">
        <f>_xll.Get_Balance(F$83,"PTD","USD","Total","A","","001","501160","ED","AN","DL")</f>
        <v>0</v>
      </c>
      <c r="G61" s="158">
        <f>_xll.Get_Balance(G$83,"PTD","USD","Total","A","","001","501160","ED","AN","DL")</f>
        <v>0</v>
      </c>
      <c r="H61" s="158">
        <f>_xll.Get_Balance(H$83,"PTD","USD","Total","A","","001","501160","ED","AN","DL")</f>
        <v>0</v>
      </c>
      <c r="I61" s="158">
        <f>_xll.Get_Balance(I$83,"PTD","USD","Total","A","","001","501160","ED","AN","DL")</f>
        <v>0</v>
      </c>
      <c r="J61" s="158">
        <f>_xll.Get_Balance(J$83,"PTD","USD","Total","A","","001","501160","ED","AN","DL")</f>
        <v>0</v>
      </c>
      <c r="K61" s="158">
        <f>_xll.Get_Balance(K$83,"PTD","USD","Total","A","","001","501160","ED","AN","DL")</f>
        <v>0</v>
      </c>
      <c r="L61" s="158">
        <f>_xll.Get_Balance(L$83,"PTD","USD","Total","A","","001","501160","ED","AN","DL")</f>
        <v>0</v>
      </c>
      <c r="M61" s="158">
        <f>_xll.Get_Balance(M$83,"PTD","USD","Total","A","","001","501160","ED","AN","DL")</f>
        <v>0</v>
      </c>
      <c r="N61" s="158">
        <f>_xll.Get_Balance(N$83,"PTD","USD","Total","A","","001","501160","ED","AN","DL")</f>
        <v>0</v>
      </c>
      <c r="O61" s="158">
        <f>_xll.Get_Balance(O$83,"PTD","USD","Total","A","","001","501160","ED","AN","DL")</f>
        <v>0</v>
      </c>
      <c r="P61" s="158">
        <f>_xll.Get_Balance(P$83,"PTD","USD","Total","A","","001","501160","ED","AN","DL")</f>
        <v>0</v>
      </c>
      <c r="R61" s="403">
        <f>SUM(E61:P61)</f>
        <v>0</v>
      </c>
    </row>
    <row r="62" spans="1:18" ht="22.5" customHeight="1" thickBot="1">
      <c r="A62" s="473">
        <f>+A61+1</f>
        <v>28</v>
      </c>
      <c r="B62" s="259" t="s">
        <v>232</v>
      </c>
      <c r="C62" s="259"/>
      <c r="D62" s="202">
        <f>SUM(E62:P62)</f>
        <v>7070850</v>
      </c>
      <c r="E62" s="172">
        <f>SUM(E58:E61)</f>
        <v>2809889</v>
      </c>
      <c r="F62" s="172">
        <f t="shared" ref="F62:P62" si="16">SUM(F58:F61)</f>
        <v>1451692</v>
      </c>
      <c r="G62" s="172">
        <f t="shared" si="16"/>
        <v>2809269</v>
      </c>
      <c r="H62" s="172">
        <f t="shared" si="16"/>
        <v>0</v>
      </c>
      <c r="I62" s="172">
        <f t="shared" si="16"/>
        <v>0</v>
      </c>
      <c r="J62" s="172">
        <f t="shared" si="16"/>
        <v>0</v>
      </c>
      <c r="K62" s="172">
        <f t="shared" si="16"/>
        <v>0</v>
      </c>
      <c r="L62" s="172">
        <f t="shared" si="16"/>
        <v>0</v>
      </c>
      <c r="M62" s="172">
        <f t="shared" si="16"/>
        <v>0</v>
      </c>
      <c r="N62" s="172">
        <f t="shared" si="16"/>
        <v>0</v>
      </c>
      <c r="O62" s="172">
        <f t="shared" si="16"/>
        <v>0</v>
      </c>
      <c r="P62" s="172">
        <f t="shared" si="16"/>
        <v>0</v>
      </c>
      <c r="R62" s="470">
        <f>SUM(E62:P62)</f>
        <v>7070850</v>
      </c>
    </row>
    <row r="63" spans="1:18" ht="8.25" customHeight="1" thickTop="1">
      <c r="A63" s="430"/>
      <c r="E63" s="175"/>
      <c r="F63" s="175"/>
      <c r="G63" s="175"/>
      <c r="H63" s="175"/>
      <c r="I63" s="175"/>
      <c r="J63" s="175"/>
      <c r="K63" s="204"/>
      <c r="L63" s="204"/>
      <c r="M63" s="204"/>
      <c r="N63" s="204"/>
      <c r="O63" s="204"/>
      <c r="P63" s="175"/>
      <c r="R63" s="204"/>
    </row>
    <row r="64" spans="1:18">
      <c r="A64" s="430"/>
      <c r="B64" s="141" t="s">
        <v>29</v>
      </c>
      <c r="E64" s="175"/>
      <c r="F64" s="175"/>
      <c r="G64" s="175"/>
      <c r="H64" s="175"/>
      <c r="I64" s="175"/>
      <c r="J64" s="175"/>
      <c r="K64" s="204"/>
      <c r="L64" s="204"/>
      <c r="M64" s="204"/>
      <c r="N64" s="204"/>
      <c r="O64" s="204"/>
      <c r="P64" s="175"/>
      <c r="R64" s="204"/>
    </row>
    <row r="65" spans="1:18">
      <c r="A65" s="430">
        <f>A62+1</f>
        <v>29</v>
      </c>
      <c r="B65" s="52" t="s">
        <v>22</v>
      </c>
      <c r="C65" s="52" t="s">
        <v>30</v>
      </c>
      <c r="D65" s="448">
        <f>SUM(E65:P65)</f>
        <v>160672</v>
      </c>
      <c r="E65" s="113">
        <f>'WA Monthly'!E65</f>
        <v>53359</v>
      </c>
      <c r="F65" s="113">
        <f>'WA Monthly'!F65</f>
        <v>48502</v>
      </c>
      <c r="G65" s="113">
        <f>'WA Monthly'!G65</f>
        <v>58811</v>
      </c>
      <c r="H65" s="113">
        <f>'WA Monthly'!H65</f>
        <v>0</v>
      </c>
      <c r="I65" s="113">
        <f>'WA Monthly'!I65</f>
        <v>0</v>
      </c>
      <c r="J65" s="113">
        <f>'WA Monthly'!J65</f>
        <v>0</v>
      </c>
      <c r="K65" s="113">
        <f>'WA Monthly'!K65</f>
        <v>0</v>
      </c>
      <c r="L65" s="113">
        <f>'WA Monthly'!L65</f>
        <v>0</v>
      </c>
      <c r="M65" s="113">
        <f>'WA Monthly'!M65</f>
        <v>0</v>
      </c>
      <c r="N65" s="113">
        <f>'WA Monthly'!N65</f>
        <v>0</v>
      </c>
      <c r="O65" s="113">
        <f>'WA Monthly'!O65</f>
        <v>0</v>
      </c>
      <c r="P65" s="113">
        <f>'WA Monthly'!P65</f>
        <v>0</v>
      </c>
      <c r="R65" s="204">
        <f>SUM(E65:P65)</f>
        <v>160672</v>
      </c>
    </row>
    <row r="66" spans="1:18">
      <c r="A66" s="430">
        <f>A65+1</f>
        <v>30</v>
      </c>
      <c r="B66" s="52" t="s">
        <v>31</v>
      </c>
      <c r="D66" s="448">
        <f>SUM(E66:P66)</f>
        <v>269371</v>
      </c>
      <c r="E66" s="113">
        <f>'WA Monthly'!E66</f>
        <v>99606</v>
      </c>
      <c r="F66" s="113">
        <f>'WA Monthly'!F66</f>
        <v>73063</v>
      </c>
      <c r="G66" s="113">
        <f>'WA Monthly'!G66</f>
        <v>96702</v>
      </c>
      <c r="H66" s="113">
        <f>'WA Monthly'!H66</f>
        <v>0</v>
      </c>
      <c r="I66" s="113">
        <f>'WA Monthly'!I66</f>
        <v>0</v>
      </c>
      <c r="J66" s="113">
        <f>'WA Monthly'!J66</f>
        <v>0</v>
      </c>
      <c r="K66" s="113">
        <f>'WA Monthly'!K66</f>
        <v>0</v>
      </c>
      <c r="L66" s="113">
        <f>'WA Monthly'!L66</f>
        <v>0</v>
      </c>
      <c r="M66" s="113">
        <f>'WA Monthly'!M66</f>
        <v>0</v>
      </c>
      <c r="N66" s="113">
        <f>'WA Monthly'!N66</f>
        <v>0</v>
      </c>
      <c r="O66" s="113">
        <f>'WA Monthly'!O66</f>
        <v>0</v>
      </c>
      <c r="P66" s="113">
        <f>'WA Monthly'!P66</f>
        <v>0</v>
      </c>
      <c r="R66" s="204">
        <f>SUM(E66:P66)</f>
        <v>269371</v>
      </c>
    </row>
    <row r="67" spans="1:18" ht="9" customHeight="1">
      <c r="A67" s="430"/>
      <c r="E67" s="175"/>
      <c r="F67" s="175"/>
      <c r="G67" s="175"/>
      <c r="H67" s="175"/>
      <c r="I67" s="175"/>
      <c r="J67" s="175"/>
      <c r="K67" s="204"/>
      <c r="L67" s="204"/>
      <c r="M67" s="204"/>
      <c r="N67" s="204"/>
      <c r="O67" s="204"/>
      <c r="P67" s="204"/>
      <c r="R67" s="204"/>
    </row>
    <row r="68" spans="1:18">
      <c r="A68" s="430"/>
      <c r="B68" s="141" t="s">
        <v>32</v>
      </c>
      <c r="E68" s="175"/>
      <c r="F68" s="175"/>
      <c r="G68" s="175"/>
      <c r="H68" s="175"/>
      <c r="I68" s="175"/>
      <c r="J68" s="175"/>
      <c r="K68" s="204"/>
      <c r="L68" s="204"/>
      <c r="M68" s="204"/>
      <c r="N68" s="204"/>
      <c r="O68" s="204"/>
      <c r="P68" s="204"/>
      <c r="R68" s="204"/>
    </row>
    <row r="69" spans="1:18">
      <c r="A69" s="430">
        <f>A66+1</f>
        <v>31</v>
      </c>
      <c r="B69" s="52" t="s">
        <v>22</v>
      </c>
      <c r="C69" s="472" t="s">
        <v>23</v>
      </c>
      <c r="D69" s="474"/>
      <c r="E69" s="475">
        <f>IF(E65=0," ",E58/E65)</f>
        <v>11.74</v>
      </c>
      <c r="F69" s="475">
        <f t="shared" ref="F69:P69" si="17">IF(F65=0," ",F58/F65)</f>
        <v>11.44</v>
      </c>
      <c r="G69" s="475">
        <f t="shared" si="17"/>
        <v>11.55</v>
      </c>
      <c r="H69" s="475" t="str">
        <f t="shared" si="17"/>
        <v xml:space="preserve"> </v>
      </c>
      <c r="I69" s="475" t="str">
        <f t="shared" si="17"/>
        <v xml:space="preserve"> </v>
      </c>
      <c r="J69" s="475" t="str">
        <f t="shared" si="17"/>
        <v xml:space="preserve"> </v>
      </c>
      <c r="K69" s="475" t="str">
        <f t="shared" si="17"/>
        <v xml:space="preserve"> </v>
      </c>
      <c r="L69" s="475" t="str">
        <f t="shared" si="17"/>
        <v xml:space="preserve"> </v>
      </c>
      <c r="M69" s="475" t="str">
        <f t="shared" si="17"/>
        <v xml:space="preserve"> </v>
      </c>
      <c r="N69" s="475" t="str">
        <f t="shared" si="17"/>
        <v xml:space="preserve"> </v>
      </c>
      <c r="O69" s="475" t="str">
        <f t="shared" si="17"/>
        <v xml:space="preserve"> </v>
      </c>
      <c r="P69" s="475" t="str">
        <f t="shared" si="17"/>
        <v xml:space="preserve"> </v>
      </c>
      <c r="R69" s="200">
        <f>R58/R65</f>
        <v>12</v>
      </c>
    </row>
    <row r="70" spans="1:18">
      <c r="A70" s="430">
        <f>A69+1</f>
        <v>32</v>
      </c>
      <c r="B70" s="52" t="s">
        <v>25</v>
      </c>
      <c r="C70" s="430" t="s">
        <v>24</v>
      </c>
      <c r="D70" s="430"/>
      <c r="E70" s="475">
        <f>IF(E66=0," ",E60/E66)</f>
        <v>21.92</v>
      </c>
      <c r="F70" s="475">
        <f t="shared" ref="F70:P70" si="18">IF(F66=0," ",F60/F66)</f>
        <v>12.26</v>
      </c>
      <c r="G70" s="475">
        <f t="shared" si="18"/>
        <v>22.04</v>
      </c>
      <c r="H70" s="475" t="str">
        <f t="shared" si="18"/>
        <v xml:space="preserve"> </v>
      </c>
      <c r="I70" s="475" t="str">
        <f t="shared" si="18"/>
        <v xml:space="preserve"> </v>
      </c>
      <c r="J70" s="475" t="str">
        <f t="shared" si="18"/>
        <v xml:space="preserve"> </v>
      </c>
      <c r="K70" s="475" t="str">
        <f t="shared" si="18"/>
        <v xml:space="preserve"> </v>
      </c>
      <c r="L70" s="475" t="str">
        <f t="shared" si="18"/>
        <v xml:space="preserve"> </v>
      </c>
      <c r="M70" s="475" t="str">
        <f t="shared" si="18"/>
        <v xml:space="preserve"> </v>
      </c>
      <c r="N70" s="475" t="str">
        <f t="shared" si="18"/>
        <v xml:space="preserve"> </v>
      </c>
      <c r="O70" s="475" t="str">
        <f t="shared" si="18"/>
        <v xml:space="preserve"> </v>
      </c>
      <c r="P70" s="475" t="str">
        <f t="shared" si="18"/>
        <v xml:space="preserve"> </v>
      </c>
      <c r="R70" s="200">
        <f>R60/R66</f>
        <v>19</v>
      </c>
    </row>
    <row r="71" spans="1:18">
      <c r="A71" s="430"/>
      <c r="E71" s="175"/>
      <c r="F71" s="175"/>
      <c r="G71" s="175"/>
      <c r="H71" s="175"/>
      <c r="I71" s="175"/>
      <c r="J71" s="175"/>
      <c r="K71" s="204"/>
      <c r="L71" s="204"/>
      <c r="M71" s="204"/>
      <c r="N71" s="204"/>
      <c r="O71" s="204"/>
      <c r="P71" s="175"/>
      <c r="R71" s="204"/>
    </row>
    <row r="72" spans="1:18" ht="14.1" customHeight="1">
      <c r="A72" s="430"/>
      <c r="B72" s="141" t="s">
        <v>26</v>
      </c>
      <c r="E72" s="175"/>
      <c r="F72" s="175"/>
      <c r="G72" s="175"/>
      <c r="H72" s="175"/>
      <c r="I72" s="175"/>
      <c r="J72" s="175"/>
      <c r="K72" s="204"/>
      <c r="L72" s="204"/>
      <c r="M72" s="204"/>
      <c r="N72" s="204"/>
      <c r="O72" s="204"/>
      <c r="P72" s="175"/>
      <c r="R72" s="204"/>
    </row>
    <row r="73" spans="1:18">
      <c r="A73" s="430">
        <f>A70+1</f>
        <v>33</v>
      </c>
      <c r="B73" s="52" t="s">
        <v>354</v>
      </c>
      <c r="D73" s="204">
        <f t="shared" ref="D73:D79" si="19">SUM(E73:P73)</f>
        <v>15710</v>
      </c>
      <c r="E73" s="158">
        <f>_xll.Get_Balance(E$83,"PTD","USD","Total","A","","001","547213","ED","AN","DL")</f>
        <v>2244</v>
      </c>
      <c r="F73" s="158">
        <f>_xll.Get_Balance(F$83,"PTD","USD","Total","A","","001","547213","ED","AN","DL")</f>
        <v>11535</v>
      </c>
      <c r="G73" s="158">
        <f>_xll.Get_Balance(G$83,"PTD","USD","Total","A","","001","547213","ED","AN","DL")</f>
        <v>1931</v>
      </c>
      <c r="H73" s="158">
        <f>_xll.Get_Balance(H$83,"PTD","USD","Total","A","","001","547213","ED","AN","DL")</f>
        <v>0</v>
      </c>
      <c r="I73" s="158">
        <f>_xll.Get_Balance(I$83,"PTD","USD","Total","A","","001","547213","ED","AN","DL")</f>
        <v>0</v>
      </c>
      <c r="J73" s="158">
        <f>_xll.Get_Balance(J$83,"PTD","USD","Total","A","","001","547213","ED","AN","DL")</f>
        <v>0</v>
      </c>
      <c r="K73" s="158">
        <f>_xll.Get_Balance(K$83,"PTD","USD","Total","A","","001","547213","ED","AN","DL")</f>
        <v>0</v>
      </c>
      <c r="L73" s="158">
        <f>_xll.Get_Balance(L$83,"PTD","USD","Total","A","","001","547213","ED","AN","DL")</f>
        <v>0</v>
      </c>
      <c r="M73" s="158">
        <f>_xll.Get_Balance(M$83,"PTD","USD","Total","A","","001","547213","ED","AN","DL")</f>
        <v>0</v>
      </c>
      <c r="N73" s="158">
        <f>_xll.Get_Balance(N$83,"PTD","USD","Total","A","","001","547213","ED","AN","DL")</f>
        <v>0</v>
      </c>
      <c r="O73" s="158">
        <f>_xll.Get_Balance(O$83,"PTD","USD","Total","A","","001","547213","ED","AN","DL")</f>
        <v>0</v>
      </c>
      <c r="P73" s="158">
        <f>_xll.Get_Balance(P$83,"PTD","USD","Total","A","","001","547213","ED","AN","DL")</f>
        <v>0</v>
      </c>
      <c r="R73" s="204">
        <f t="shared" ref="R73:R78" si="20">SUM(E73:P73)</f>
        <v>15710</v>
      </c>
    </row>
    <row r="74" spans="1:18">
      <c r="A74" s="430">
        <f t="shared" ref="A74:A79" si="21">A73+1</f>
        <v>34</v>
      </c>
      <c r="B74" s="52" t="s">
        <v>180</v>
      </c>
      <c r="D74" s="204">
        <f t="shared" si="19"/>
        <v>56528</v>
      </c>
      <c r="E74" s="158">
        <f>_xll.Get_Balance(E$83,"PTD","USD","Total","A","","001","547216","ED","AN","DL")</f>
        <v>9587</v>
      </c>
      <c r="F74" s="158">
        <f>_xll.Get_Balance(F$83,"PTD","USD","Total","A","","001","547216","ED","AN","DL")</f>
        <v>32574</v>
      </c>
      <c r="G74" s="158">
        <f>_xll.Get_Balance(G$83,"PTD","USD","Total","A","","001","547216","ED","AN","DL")</f>
        <v>14367</v>
      </c>
      <c r="H74" s="158">
        <f>_xll.Get_Balance(H$83,"PTD","USD","Total","A","","001","547216","ED","AN","DL")</f>
        <v>0</v>
      </c>
      <c r="I74" s="158">
        <f>_xll.Get_Balance(I$83,"PTD","USD","Total","A","","001","547216","ED","AN","DL")</f>
        <v>0</v>
      </c>
      <c r="J74" s="158">
        <f>_xll.Get_Balance(J$83,"PTD","USD","Total","A","","001","547216","ED","AN","DL")</f>
        <v>0</v>
      </c>
      <c r="K74" s="158">
        <f>_xll.Get_Balance(K$83,"PTD","USD","Total","A","","001","547216","ED","AN","DL")</f>
        <v>0</v>
      </c>
      <c r="L74" s="158">
        <f>_xll.Get_Balance(L$83,"PTD","USD","Total","A","","001","547216","ED","AN","DL")</f>
        <v>0</v>
      </c>
      <c r="M74" s="158">
        <f>_xll.Get_Balance(M$83,"PTD","USD","Total","A","","001","547216","ED","AN","DL")</f>
        <v>0</v>
      </c>
      <c r="N74" s="158">
        <f>_xll.Get_Balance(N$83,"PTD","USD","Total","A","","001","547216","ED","AN","DL")</f>
        <v>0</v>
      </c>
      <c r="O74" s="158">
        <f>_xll.Get_Balance(O$83,"PTD","USD","Total","A","","001","547216","ED","AN","DL")</f>
        <v>0</v>
      </c>
      <c r="P74" s="158">
        <f>_xll.Get_Balance(P$83,"PTD","USD","Total","A","","001","547216","ED","AN","DL")</f>
        <v>0</v>
      </c>
      <c r="R74" s="204">
        <f t="shared" si="20"/>
        <v>56528</v>
      </c>
    </row>
    <row r="75" spans="1:18">
      <c r="A75" s="430">
        <f t="shared" si="21"/>
        <v>35</v>
      </c>
      <c r="B75" s="52" t="s">
        <v>179</v>
      </c>
      <c r="D75" s="204">
        <f t="shared" si="19"/>
        <v>6222</v>
      </c>
      <c r="E75" s="158">
        <f>_xll.Get_Balance(E83,"PTD","USD","Total","A","","001","547211","ED","AN","DL")</f>
        <v>5</v>
      </c>
      <c r="F75" s="158">
        <f>_xll.Get_Balance(F83,"PTD","USD","Total","A","","001","547211","ED","AN","DL")</f>
        <v>4249</v>
      </c>
      <c r="G75" s="158">
        <f>_xll.Get_Balance(G83,"PTD","USD","Total","A","","001","547211","ED","AN","DL")</f>
        <v>1968</v>
      </c>
      <c r="H75" s="158">
        <f>_xll.Get_Balance(H83,"PTD","USD","Total","A","","001","547211","ED","AN","DL")</f>
        <v>0</v>
      </c>
      <c r="I75" s="158">
        <f>_xll.Get_Balance(I83,"PTD","USD","Total","A","","001","547211","ED","AN","DL")</f>
        <v>0</v>
      </c>
      <c r="J75" s="158">
        <f>_xll.Get_Balance(J83,"PTD","USD","Total","A","","001","547211","ED","AN","DL")</f>
        <v>0</v>
      </c>
      <c r="K75" s="158">
        <f>_xll.Get_Balance(K83,"PTD","USD","Total","A","","001","547211","ED","AN","DL")</f>
        <v>0</v>
      </c>
      <c r="L75" s="158">
        <f>_xll.Get_Balance(L83,"PTD","USD","Total","A","","001","547211","ED","AN","DL")</f>
        <v>0</v>
      </c>
      <c r="M75" s="158">
        <f>_xll.Get_Balance(M83,"PTD","USD","Total","A","","001","547211","ED","AN","DL")</f>
        <v>0</v>
      </c>
      <c r="N75" s="158">
        <f>_xll.Get_Balance(N83,"PTD","USD","Total","A","","001","547211","ED","AN","DL")</f>
        <v>0</v>
      </c>
      <c r="O75" s="158">
        <f>_xll.Get_Balance(O83,"PTD","USD","Total","A","","001","547211","ED","AN","DL")</f>
        <v>0</v>
      </c>
      <c r="P75" s="158">
        <f>_xll.Get_Balance(P83,"PTD","USD","Total","A","","001","547211","ED","AN","DL")</f>
        <v>0</v>
      </c>
      <c r="R75" s="204">
        <f t="shared" si="20"/>
        <v>6222</v>
      </c>
    </row>
    <row r="76" spans="1:18">
      <c r="A76" s="430">
        <f t="shared" si="21"/>
        <v>36</v>
      </c>
      <c r="B76" s="52" t="s">
        <v>181</v>
      </c>
      <c r="D76" s="204">
        <f t="shared" si="19"/>
        <v>9372255</v>
      </c>
      <c r="E76" s="158">
        <f>_xll.Get_Balance(E$83,"PTD","USD","Total","A","","001","547610","ED","AN","DL")</f>
        <v>3721117</v>
      </c>
      <c r="F76" s="158">
        <f>_xll.Get_Balance(F$83,"PTD","USD","Total","A","","001","547610","ED","AN","DL")</f>
        <v>2449832</v>
      </c>
      <c r="G76" s="158">
        <f>_xll.Get_Balance(G$83,"PTD","USD","Total","A","","001","547610","ED","AN","DL")</f>
        <v>3201306</v>
      </c>
      <c r="H76" s="158">
        <f>_xll.Get_Balance(H$83,"PTD","USD","Total","A","","001","547610","ED","AN","DL")</f>
        <v>0</v>
      </c>
      <c r="I76" s="158">
        <f>_xll.Get_Balance(I$83,"PTD","USD","Total","A","","001","547610","ED","AN","DL")</f>
        <v>0</v>
      </c>
      <c r="J76" s="158">
        <f>_xll.Get_Balance(J$83,"PTD","USD","Total","A","","001","547610","ED","AN","DL")</f>
        <v>0</v>
      </c>
      <c r="K76" s="158">
        <f>_xll.Get_Balance(K$83,"PTD","USD","Total","A","","001","547610","ED","AN","DL")</f>
        <v>0</v>
      </c>
      <c r="L76" s="158">
        <f>_xll.Get_Balance(L$83,"PTD","USD","Total","A","","001","547610","ED","AN","DL")</f>
        <v>0</v>
      </c>
      <c r="M76" s="158">
        <f>_xll.Get_Balance(M$83,"PTD","USD","Total","A","","001","547610","ED","AN","DL")</f>
        <v>0</v>
      </c>
      <c r="N76" s="158">
        <f>_xll.Get_Balance(N$83,"PTD","USD","Total","A","","001","547610","ED","AN","DL")</f>
        <v>0</v>
      </c>
      <c r="O76" s="158">
        <f>_xll.Get_Balance(O$83,"PTD","USD","Total","A","","001","547610","ED","AN","DL")</f>
        <v>0</v>
      </c>
      <c r="P76" s="158">
        <f>_xll.Get_Balance(P$83,"PTD","USD","Total","A","","001","547610","ED","AN","DL")</f>
        <v>0</v>
      </c>
      <c r="R76" s="204">
        <f t="shared" si="20"/>
        <v>9372255</v>
      </c>
    </row>
    <row r="77" spans="1:18">
      <c r="A77" s="430">
        <f t="shared" si="21"/>
        <v>37</v>
      </c>
      <c r="B77" s="52" t="s">
        <v>195</v>
      </c>
      <c r="C77" s="467"/>
      <c r="D77" s="204">
        <f t="shared" si="19"/>
        <v>8310782</v>
      </c>
      <c r="E77" s="158">
        <f>_xll.Get_Balance(E$83,"PTD","USD","Total","A","","001","547312","ED","AN","DL")</f>
        <v>3228167</v>
      </c>
      <c r="F77" s="158">
        <f>_xll.Get_Balance(F$83,"PTD","USD","Total","A","","001","547312","ED","AN","DL")</f>
        <v>2007130</v>
      </c>
      <c r="G77" s="158">
        <f>_xll.Get_Balance(G$83,"PTD","USD","Total","A","","001","547312","ED","AN","DL")</f>
        <v>3075485</v>
      </c>
      <c r="H77" s="158">
        <f>_xll.Get_Balance(H$83,"PTD","USD","Total","A","","001","547312","ED","AN","DL")</f>
        <v>0</v>
      </c>
      <c r="I77" s="158">
        <f>_xll.Get_Balance(I$83,"PTD","USD","Total","A","","001","547312","ED","AN","DL")</f>
        <v>0</v>
      </c>
      <c r="J77" s="158">
        <f>_xll.Get_Balance(J$83,"PTD","USD","Total","A","","001","547312","ED","AN","DL")</f>
        <v>0</v>
      </c>
      <c r="K77" s="158">
        <f>_xll.Get_Balance(K$83,"PTD","USD","Total","A","","001","547312","ED","AN","DL")</f>
        <v>0</v>
      </c>
      <c r="L77" s="158">
        <f>_xll.Get_Balance(L$83,"PTD","USD","Total","A","","001","547312","ED","AN","DL")</f>
        <v>0</v>
      </c>
      <c r="M77" s="158">
        <f>_xll.Get_Balance(M$83,"PTD","USD","Total","A","","001","547312","ED","AN","DL")</f>
        <v>0</v>
      </c>
      <c r="N77" s="158">
        <f>_xll.Get_Balance(N$83,"PTD","USD","Total","A","","001","547312","ED","AN","DL")</f>
        <v>0</v>
      </c>
      <c r="O77" s="158">
        <f>_xll.Get_Balance(O$83,"PTD","USD","Total","A","","001","547312","ED","AN","DL")</f>
        <v>0</v>
      </c>
      <c r="P77" s="158">
        <f>_xll.Get_Balance(P$83,"PTD","USD","Total","A","","001","547312","ED","AN","DL")</f>
        <v>0</v>
      </c>
      <c r="R77" s="204">
        <f>SUM(E77:P77)</f>
        <v>8310782</v>
      </c>
    </row>
    <row r="78" spans="1:18">
      <c r="A78" s="430">
        <f t="shared" si="21"/>
        <v>38</v>
      </c>
      <c r="B78" s="51" t="s">
        <v>182</v>
      </c>
      <c r="C78" s="51"/>
      <c r="D78" s="204">
        <f t="shared" si="19"/>
        <v>80883</v>
      </c>
      <c r="E78" s="158">
        <f>_xll.Get_Balance(E$83,"PTD","USD","Total","A","","001","547310","ED","AN","DL")</f>
        <v>3176</v>
      </c>
      <c r="F78" s="158">
        <f>_xll.Get_Balance(F$83,"PTD","USD","Total","A","","001","547310","ED","AN","DL")</f>
        <v>59358</v>
      </c>
      <c r="G78" s="158">
        <f>_xll.Get_Balance(G$83,"PTD","USD","Total","A","","001","547310","ED","AN","DL")</f>
        <v>18349</v>
      </c>
      <c r="H78" s="158">
        <f>_xll.Get_Balance(H$83,"PTD","USD","Total","A","","001","547310","ED","AN","DL")</f>
        <v>0</v>
      </c>
      <c r="I78" s="158">
        <f>_xll.Get_Balance(I$83,"PTD","USD","Total","A","","001","547310","ED","AN","DL")</f>
        <v>0</v>
      </c>
      <c r="J78" s="158">
        <f>_xll.Get_Balance(J$83,"PTD","USD","Total","A","","001","547310","ED","AN","DL")</f>
        <v>0</v>
      </c>
      <c r="K78" s="158">
        <f>_xll.Get_Balance(K$83,"PTD","USD","Total","A","","001","547310","ED","AN","DL")</f>
        <v>0</v>
      </c>
      <c r="L78" s="158">
        <f>_xll.Get_Balance(L$83,"PTD","USD","Total","A","","001","547310","ED","AN","DL")</f>
        <v>0</v>
      </c>
      <c r="M78" s="158">
        <f>_xll.Get_Balance(M$83,"PTD","USD","Total","A","","001","547310","ED","AN","DL")</f>
        <v>0</v>
      </c>
      <c r="N78" s="158">
        <f>_xll.Get_Balance(N$83,"PTD","USD","Total","A","","001","547310","ED","AN","DL")</f>
        <v>0</v>
      </c>
      <c r="O78" s="158">
        <f>_xll.Get_Balance(O$83,"PTD","USD","Total","A","","001","547310","ED","AN","DL")</f>
        <v>0</v>
      </c>
      <c r="P78" s="158">
        <f>_xll.Get_Balance(P$83,"PTD","USD","Total","A","","001","547310","ED","AN","DL")</f>
        <v>0</v>
      </c>
      <c r="R78" s="403">
        <f t="shared" si="20"/>
        <v>80883</v>
      </c>
    </row>
    <row r="79" spans="1:18" ht="21" customHeight="1">
      <c r="A79" s="387">
        <f t="shared" si="21"/>
        <v>39</v>
      </c>
      <c r="B79" s="259" t="s">
        <v>231</v>
      </c>
      <c r="C79" s="259"/>
      <c r="D79" s="202">
        <f t="shared" si="19"/>
        <v>17842380</v>
      </c>
      <c r="E79" s="172">
        <f t="shared" ref="E79:P79" si="22">SUM(E73:E78)</f>
        <v>6964296</v>
      </c>
      <c r="F79" s="172">
        <f t="shared" si="22"/>
        <v>4564678</v>
      </c>
      <c r="G79" s="172">
        <f t="shared" si="22"/>
        <v>6313406</v>
      </c>
      <c r="H79" s="172">
        <f t="shared" si="22"/>
        <v>0</v>
      </c>
      <c r="I79" s="172">
        <f t="shared" si="22"/>
        <v>0</v>
      </c>
      <c r="J79" s="172">
        <f t="shared" si="22"/>
        <v>0</v>
      </c>
      <c r="K79" s="172">
        <f t="shared" si="22"/>
        <v>0</v>
      </c>
      <c r="L79" s="172">
        <f t="shared" si="22"/>
        <v>0</v>
      </c>
      <c r="M79" s="172">
        <f t="shared" si="22"/>
        <v>0</v>
      </c>
      <c r="N79" s="172">
        <f t="shared" si="22"/>
        <v>0</v>
      </c>
      <c r="O79" s="172">
        <f t="shared" si="22"/>
        <v>0</v>
      </c>
      <c r="P79" s="172">
        <f t="shared" si="22"/>
        <v>0</v>
      </c>
      <c r="R79" s="161">
        <f>SUM(R73:R78)</f>
        <v>17842380</v>
      </c>
    </row>
    <row r="80" spans="1:18" ht="16.5" customHeight="1">
      <c r="A80" s="476"/>
      <c r="B80" s="267"/>
      <c r="C80" s="267"/>
      <c r="D80" s="267"/>
      <c r="E80" s="199"/>
      <c r="F80" s="199"/>
      <c r="G80" s="199"/>
      <c r="H80" s="199"/>
      <c r="I80" s="199"/>
      <c r="J80" s="199"/>
      <c r="K80" s="403"/>
      <c r="L80" s="403"/>
      <c r="M80" s="403"/>
      <c r="N80" s="403"/>
      <c r="O80" s="403"/>
      <c r="P80" s="199"/>
      <c r="R80" s="204"/>
    </row>
    <row r="81" spans="1:18" ht="20.25" customHeight="1">
      <c r="A81" s="387">
        <f>A79+1</f>
        <v>40</v>
      </c>
      <c r="B81" s="259" t="s">
        <v>56</v>
      </c>
      <c r="C81" s="259"/>
      <c r="D81" s="202">
        <f>SUM(E81:P81)</f>
        <v>33842828</v>
      </c>
      <c r="E81" s="172">
        <f t="shared" ref="E81:P81" si="23">E23+E45+E62+E79</f>
        <v>12279099</v>
      </c>
      <c r="F81" s="172">
        <f t="shared" si="23"/>
        <v>11486119</v>
      </c>
      <c r="G81" s="172">
        <f t="shared" si="23"/>
        <v>10077610</v>
      </c>
      <c r="H81" s="172">
        <f t="shared" si="23"/>
        <v>0</v>
      </c>
      <c r="I81" s="172">
        <f t="shared" si="23"/>
        <v>0</v>
      </c>
      <c r="J81" s="172">
        <f t="shared" si="23"/>
        <v>0</v>
      </c>
      <c r="K81" s="172">
        <f t="shared" si="23"/>
        <v>0</v>
      </c>
      <c r="L81" s="172">
        <f t="shared" si="23"/>
        <v>0</v>
      </c>
      <c r="M81" s="172">
        <f t="shared" si="23"/>
        <v>0</v>
      </c>
      <c r="N81" s="172">
        <f t="shared" si="23"/>
        <v>0</v>
      </c>
      <c r="O81" s="172">
        <f t="shared" si="23"/>
        <v>0</v>
      </c>
      <c r="P81" s="172">
        <f t="shared" si="23"/>
        <v>0</v>
      </c>
      <c r="R81" s="477">
        <f>Q22-R45+R62+R79</f>
        <v>59815522</v>
      </c>
    </row>
    <row r="82" spans="1:18">
      <c r="C82" s="478" t="s">
        <v>30</v>
      </c>
      <c r="D82" s="478"/>
      <c r="E82" s="175"/>
      <c r="F82" s="175"/>
      <c r="G82" s="175"/>
      <c r="H82" s="175"/>
      <c r="I82" s="175"/>
      <c r="J82" s="175"/>
      <c r="K82" s="204"/>
      <c r="L82" s="204"/>
      <c r="M82" s="175"/>
      <c r="N82" s="175"/>
      <c r="O82" s="204"/>
      <c r="P82" s="175"/>
      <c r="R82" s="204"/>
    </row>
    <row r="83" spans="1:18" outlineLevel="2">
      <c r="B83" s="52" t="s">
        <v>30</v>
      </c>
      <c r="E83" s="419">
        <v>201801</v>
      </c>
      <c r="F83" s="419">
        <v>201802</v>
      </c>
      <c r="G83" s="419">
        <v>201803</v>
      </c>
      <c r="H83" s="419">
        <v>201804</v>
      </c>
      <c r="I83" s="419">
        <v>201805</v>
      </c>
      <c r="J83" s="419">
        <v>201806</v>
      </c>
      <c r="K83" s="419">
        <v>201807</v>
      </c>
      <c r="L83" s="419">
        <v>201808</v>
      </c>
      <c r="M83" s="419">
        <v>201809</v>
      </c>
      <c r="N83" s="419">
        <v>201810</v>
      </c>
      <c r="O83" s="419">
        <v>201811</v>
      </c>
      <c r="P83" s="419">
        <v>201812</v>
      </c>
      <c r="Q83" s="419">
        <v>201401</v>
      </c>
      <c r="R83" s="419">
        <v>201401</v>
      </c>
    </row>
    <row r="84" spans="1:18">
      <c r="B84" s="141" t="s">
        <v>238</v>
      </c>
      <c r="C84" s="478" t="s">
        <v>30</v>
      </c>
      <c r="D84" s="478"/>
      <c r="E84" s="175"/>
      <c r="F84" s="175"/>
      <c r="G84" s="479"/>
      <c r="H84" s="175"/>
      <c r="I84" s="175"/>
      <c r="J84" s="175"/>
      <c r="K84" s="204"/>
      <c r="L84" s="204"/>
      <c r="M84" s="175"/>
      <c r="N84" s="175"/>
      <c r="O84" s="204"/>
      <c r="P84" s="175"/>
      <c r="Q84" s="97"/>
      <c r="R84" s="204"/>
    </row>
    <row r="85" spans="1:18">
      <c r="A85" s="183">
        <f>A81+1</f>
        <v>41</v>
      </c>
      <c r="B85" s="52" t="s">
        <v>160</v>
      </c>
      <c r="C85" s="52" t="s">
        <v>30</v>
      </c>
      <c r="D85" s="204">
        <f t="shared" ref="D85:D92" si="24">SUM(E85:P85)</f>
        <v>-2485122</v>
      </c>
      <c r="E85" s="205">
        <f>_xll.Get_Balance(E$83,"PTD","USD","Total","A","","001","456100","ED","AN","DL")</f>
        <v>-903780</v>
      </c>
      <c r="F85" s="205">
        <f>_xll.Get_Balance(F$83,"PTD","USD","Total","A","","001","456100","ED","AN","DL")</f>
        <v>-922637</v>
      </c>
      <c r="G85" s="205">
        <f>_xll.Get_Balance(G$83,"PTD","USD","Total","A","","001","456100","ED","AN","DL")</f>
        <v>-658705</v>
      </c>
      <c r="H85" s="205">
        <f>_xll.Get_Balance(H$83,"PTD","USD","Total","A","","001","456100","ED","AN","DL")</f>
        <v>0</v>
      </c>
      <c r="I85" s="205">
        <f>_xll.Get_Balance(I$83,"PTD","USD","Total","A","","001","456100","ED","AN","DL")</f>
        <v>0</v>
      </c>
      <c r="J85" s="205">
        <f>_xll.Get_Balance(J$83,"PTD","USD","Total","A","","001","456100","ED","AN","DL")</f>
        <v>0</v>
      </c>
      <c r="K85" s="205">
        <f>_xll.Get_Balance(K$83,"PTD","USD","Total","A","","001","456100","ED","AN","DL")</f>
        <v>0</v>
      </c>
      <c r="L85" s="205">
        <f>_xll.Get_Balance(L$83,"PTD","USD","Total","A","","001","456100","ED","AN","DL")</f>
        <v>0</v>
      </c>
      <c r="M85" s="205">
        <f>_xll.Get_Balance(M$83,"PTD","USD","Total","A","","001","456100","ED","AN","DL")</f>
        <v>0</v>
      </c>
      <c r="N85" s="205">
        <f>_xll.Get_Balance(N$83,"PTD","USD","Total","A","","001","456100","ED","AN","DL")</f>
        <v>0</v>
      </c>
      <c r="O85" s="205">
        <f>_xll.Get_Balance(O$83,"PTD","USD","Total","A","","001","456100","ED","AN","DL")</f>
        <v>0</v>
      </c>
      <c r="P85" s="205">
        <f>_xll.Get_Balance(P$83,"PTD","USD","Total","A","","001","456100","ED","AN","DL")</f>
        <v>0</v>
      </c>
      <c r="Q85" s="398"/>
      <c r="R85" s="204">
        <f>SUM(E85:P85)</f>
        <v>-2485122</v>
      </c>
    </row>
    <row r="86" spans="1:18">
      <c r="A86" s="274">
        <f t="shared" ref="A86:A92" si="25">A85+1</f>
        <v>42</v>
      </c>
      <c r="B86" s="52" t="s">
        <v>364</v>
      </c>
      <c r="D86" s="204">
        <f t="shared" si="24"/>
        <v>-231000</v>
      </c>
      <c r="E86" s="205">
        <f>_xll.Get_Balance(E$83,"PTD","USD","Total","A","","001","456120","ED","AN","DL")</f>
        <v>-77000</v>
      </c>
      <c r="F86" s="205">
        <f>_xll.Get_Balance(F$83,"PTD","USD","Total","A","","001","456120","ED","AN","DL")</f>
        <v>-77000</v>
      </c>
      <c r="G86" s="205">
        <f>_xll.Get_Balance(G$83,"PTD","USD","Total","A","","001","456120","ED","AN","DL")</f>
        <v>-77000</v>
      </c>
      <c r="H86" s="205">
        <f>_xll.Get_Balance(H$83,"PTD","USD","Total","A","","001","456120","ED","AN","DL")</f>
        <v>0</v>
      </c>
      <c r="I86" s="205">
        <f>_xll.Get_Balance(I$83,"PTD","USD","Total","A","","001","456120","ED","AN","DL")</f>
        <v>0</v>
      </c>
      <c r="J86" s="205">
        <f>_xll.Get_Balance(J$83,"PTD","USD","Total","A","","001","456120","ED","AN","DL")</f>
        <v>0</v>
      </c>
      <c r="K86" s="205">
        <f>_xll.Get_Balance(K$83,"PTD","USD","Total","A","","001","456120","ED","AN","DL")</f>
        <v>0</v>
      </c>
      <c r="L86" s="205">
        <f>_xll.Get_Balance(L$83,"PTD","USD","Total","A","","001","456120","ED","AN","DL")</f>
        <v>0</v>
      </c>
      <c r="M86" s="205">
        <f>_xll.Get_Balance(M$83,"PTD","USD","Total","A","","001","456120","ED","AN","DL")</f>
        <v>0</v>
      </c>
      <c r="N86" s="205">
        <f>_xll.Get_Balance(N$83,"PTD","USD","Total","A","","001","456120","ED","AN","DL")</f>
        <v>0</v>
      </c>
      <c r="O86" s="205">
        <f>_xll.Get_Balance(O$83,"PTD","USD","Total","A","","001","456120","ED","AN","DL")</f>
        <v>0</v>
      </c>
      <c r="P86" s="205">
        <f>_xll.Get_Balance(P$83,"PTD","USD","Total","A","","001","456120","ED","AN","DL")</f>
        <v>0</v>
      </c>
      <c r="Q86" s="398"/>
      <c r="R86" s="204"/>
    </row>
    <row r="87" spans="1:18">
      <c r="A87" s="274">
        <f t="shared" si="25"/>
        <v>43</v>
      </c>
      <c r="B87" s="52" t="s">
        <v>428</v>
      </c>
      <c r="D87" s="204">
        <f t="shared" si="24"/>
        <v>-31903</v>
      </c>
      <c r="E87" s="205">
        <f>_xll.Get_Balance(E$83,"PTD","USD","Total","A","","001","456020","ED","AN","DL")</f>
        <v>0</v>
      </c>
      <c r="F87" s="205">
        <f>_xll.Get_Balance(F$83,"PTD","USD","Total","A","","001","456020","ED","AN","DL")</f>
        <v>-31909</v>
      </c>
      <c r="G87" s="205">
        <f>_xll.Get_Balance(G$83,"PTD","USD","Total","A","","001","456020","ED","AN","DL")</f>
        <v>6</v>
      </c>
      <c r="H87" s="205">
        <f>_xll.Get_Balance(H$83,"PTD","USD","Total","A","","001","456020","ED","AN","DL")</f>
        <v>0</v>
      </c>
      <c r="I87" s="205">
        <f>_xll.Get_Balance(I$83,"PTD","USD","Total","A","","001","456020","ED","AN","DL")</f>
        <v>0</v>
      </c>
      <c r="J87" s="205">
        <f>_xll.Get_Balance(J$83,"PTD","USD","Total","A","","001","456020","ED","AN","DL")</f>
        <v>0</v>
      </c>
      <c r="K87" s="205">
        <f>_xll.Get_Balance(K$83,"PTD","USD","Total","A","","001","456020","ED","AN","DL")</f>
        <v>0</v>
      </c>
      <c r="L87" s="205">
        <f>_xll.Get_Balance(L$83,"PTD","USD","Total","A","","001","456020","ED","AN","DL")</f>
        <v>0</v>
      </c>
      <c r="M87" s="205">
        <f>_xll.Get_Balance(M$83,"PTD","USD","Total","A","","001","456020","ED","AN","DL")</f>
        <v>0</v>
      </c>
      <c r="N87" s="205">
        <f>_xll.Get_Balance(N$83,"PTD","USD","Total","A","","001","456020","ED","AN","DL")</f>
        <v>0</v>
      </c>
      <c r="O87" s="205">
        <f>_xll.Get_Balance(O$83,"PTD","USD","Total","A","","001","456020","ED","AN","DL")</f>
        <v>0</v>
      </c>
      <c r="P87" s="205">
        <f>_xll.Get_Balance(P$83,"PTD","USD","Total","A","","001","456020","ED","AN","DL")</f>
        <v>0</v>
      </c>
      <c r="Q87" s="398"/>
      <c r="R87" s="204"/>
    </row>
    <row r="88" spans="1:18">
      <c r="A88" s="274">
        <f t="shared" si="25"/>
        <v>44</v>
      </c>
      <c r="B88" s="263" t="s">
        <v>445</v>
      </c>
      <c r="D88" s="204">
        <f t="shared" si="24"/>
        <v>-659247</v>
      </c>
      <c r="E88" s="205">
        <f>_xll.Get_Balance(E$83,"PTD","USD","Total","A","","001","456130","ED","AN","DL")</f>
        <v>-213305</v>
      </c>
      <c r="F88" s="205">
        <f>_xll.Get_Balance(F$83,"PTD","USD","Total","A","","001","456130","ED","AN","DL")</f>
        <v>-248240</v>
      </c>
      <c r="G88" s="205">
        <f>_xll.Get_Balance(G$83,"PTD","USD","Total","A","","001","456130","ED","AN","DL")</f>
        <v>-197702</v>
      </c>
      <c r="H88" s="205">
        <f>_xll.Get_Balance(H$83,"PTD","USD","Total","A","","001","456130","ED","AN","DL")</f>
        <v>0</v>
      </c>
      <c r="I88" s="205">
        <f>_xll.Get_Balance(I$83,"PTD","USD","Total","A","","001","456130","ED","AN","DL")</f>
        <v>0</v>
      </c>
      <c r="J88" s="205">
        <f>_xll.Get_Balance(J$83,"PTD","USD","Total","A","","001","456130","ED","AN","DL")</f>
        <v>0</v>
      </c>
      <c r="K88" s="205">
        <f>_xll.Get_Balance(K$83,"PTD","USD","Total","A","","001","456130","ED","AN","DL")</f>
        <v>0</v>
      </c>
      <c r="L88" s="205">
        <f>_xll.Get_Balance(L$83,"PTD","USD","Total","A","","001","456130","ED","AN","DL")</f>
        <v>0</v>
      </c>
      <c r="M88" s="205">
        <f>_xll.Get_Balance(M$83,"PTD","USD","Total","A","","001","456130","ED","AN","DL")</f>
        <v>0</v>
      </c>
      <c r="N88" s="205">
        <f>_xll.Get_Balance(N$83,"PTD","USD","Total","A","","001","456130","ED","AN","DL")</f>
        <v>0</v>
      </c>
      <c r="O88" s="205">
        <f>_xll.Get_Balance(O$83,"PTD","USD","Total","A","","001","456130","ED","AN","DL")</f>
        <v>0</v>
      </c>
      <c r="P88" s="205">
        <f>_xll.Get_Balance(P$83,"PTD","USD","Total","A","","001","456130","ED","AN","DL")</f>
        <v>0</v>
      </c>
      <c r="Q88" s="398"/>
      <c r="R88" s="204"/>
    </row>
    <row r="89" spans="1:18">
      <c r="A89" s="274">
        <f t="shared" si="25"/>
        <v>45</v>
      </c>
      <c r="B89" s="52" t="s">
        <v>366</v>
      </c>
      <c r="D89" s="204">
        <f t="shared" si="24"/>
        <v>-15060</v>
      </c>
      <c r="E89" s="205">
        <f>_xll.Get_Balance(E$83,"PTD","USD","Total","A","","001","456017","ED","AN","DL")</f>
        <v>-5020</v>
      </c>
      <c r="F89" s="205">
        <f>_xll.Get_Balance(F$83,"PTD","USD","Total","A","","001","456017","ED","AN","DL")</f>
        <v>-5020</v>
      </c>
      <c r="G89" s="205">
        <f>_xll.Get_Balance(G$83,"PTD","USD","Total","A","","001","456017","ED","AN","DL")</f>
        <v>-5020</v>
      </c>
      <c r="H89" s="205">
        <f>_xll.Get_Balance(H$83,"PTD","USD","Total","A","","001","456017","ED","AN","DL")</f>
        <v>0</v>
      </c>
      <c r="I89" s="205">
        <f>_xll.Get_Balance(I$83,"PTD","USD","Total","A","","001","456017","ED","AN","DL")</f>
        <v>0</v>
      </c>
      <c r="J89" s="205">
        <f>_xll.Get_Balance(J$83,"PTD","USD","Total","A","","001","456017","ED","AN","DL")</f>
        <v>0</v>
      </c>
      <c r="K89" s="205">
        <f>_xll.Get_Balance(K$83,"PTD","USD","Total","A","","001","456017","ED","AN","DL")</f>
        <v>0</v>
      </c>
      <c r="L89" s="205">
        <f>_xll.Get_Balance(L$83,"PTD","USD","Total","A","","001","456017","ED","AN","DL")</f>
        <v>0</v>
      </c>
      <c r="M89" s="205">
        <f>_xll.Get_Balance(M$83,"PTD","USD","Total","A","","001","456017","ED","AN","DL")</f>
        <v>0</v>
      </c>
      <c r="N89" s="205">
        <f>_xll.Get_Balance(N$83,"PTD","USD","Total","A","","001","456017","ED","AN","DL")</f>
        <v>0</v>
      </c>
      <c r="O89" s="205">
        <f>_xll.Get_Balance(O$83,"PTD","USD","Total","A","","001","456017","ED","AN","DL")</f>
        <v>0</v>
      </c>
      <c r="P89" s="205">
        <f>_xll.Get_Balance(P$83,"PTD","USD","Total","A","","001","456017","ED","AN","DL")</f>
        <v>0</v>
      </c>
      <c r="Q89" s="398"/>
      <c r="R89" s="403"/>
    </row>
    <row r="90" spans="1:18">
      <c r="A90" s="274">
        <f t="shared" si="25"/>
        <v>46</v>
      </c>
      <c r="B90" s="52" t="s">
        <v>367</v>
      </c>
      <c r="D90" s="204">
        <f t="shared" si="24"/>
        <v>-12696</v>
      </c>
      <c r="E90" s="205">
        <f>_xll.Get_Balance(E$83,"PTD","USD","Total","A","","001","456700","ED","ID","DL")</f>
        <v>-4232</v>
      </c>
      <c r="F90" s="205">
        <f>_xll.Get_Balance(F$83,"PTD","USD","Total","A","","001","456700","ED","ID","DL")</f>
        <v>-4232</v>
      </c>
      <c r="G90" s="205">
        <f>_xll.Get_Balance(G$83,"PTD","USD","Total","A","","001","456700","ED","ID","DL")</f>
        <v>-4232</v>
      </c>
      <c r="H90" s="205">
        <f>_xll.Get_Balance(H$83,"PTD","USD","Total","A","","001","456700","ED","ID","DL")</f>
        <v>0</v>
      </c>
      <c r="I90" s="205">
        <f>_xll.Get_Balance(I$83,"PTD","USD","Total","A","","001","456700","ED","ID","DL")</f>
        <v>0</v>
      </c>
      <c r="J90" s="205">
        <f>_xll.Get_Balance(J$83,"PTD","USD","Total","A","","001","456700","ED","ID","DL")</f>
        <v>0</v>
      </c>
      <c r="K90" s="205">
        <f>_xll.Get_Balance(K$83,"PTD","USD","Total","A","","001","456700","ED","ID","DL")</f>
        <v>0</v>
      </c>
      <c r="L90" s="205">
        <f>_xll.Get_Balance(L$83,"PTD","USD","Total","A","","001","456700","ED","ID","DL")</f>
        <v>0</v>
      </c>
      <c r="M90" s="205">
        <f>_xll.Get_Balance(M$83,"PTD","USD","Total","A","","001","456700","ED","ID","DL")</f>
        <v>0</v>
      </c>
      <c r="N90" s="205">
        <f>_xll.Get_Balance(N$83,"PTD","USD","Total","A","","001","456700","ED","ID","DL")</f>
        <v>0</v>
      </c>
      <c r="O90" s="205">
        <f>_xll.Get_Balance(O$83,"PTD","USD","Total","A","","001","456700","ED","ID","DL")</f>
        <v>0</v>
      </c>
      <c r="P90" s="205">
        <f>_xll.Get_Balance(P$83,"PTD","USD","Total","A","","001","456700","ED","ID","DL")</f>
        <v>0</v>
      </c>
      <c r="Q90" s="398"/>
      <c r="R90" s="403"/>
    </row>
    <row r="91" spans="1:18" ht="13.5" customHeight="1">
      <c r="A91" s="274">
        <f t="shared" si="25"/>
        <v>47</v>
      </c>
      <c r="B91" s="52" t="s">
        <v>368</v>
      </c>
      <c r="D91" s="204">
        <f t="shared" si="24"/>
        <v>-415734</v>
      </c>
      <c r="E91" s="205">
        <f>_xll.Get_Balance(E$83,"PTD","USD","Total","A","","001","456705","ED","AN","DL")</f>
        <v>-138578</v>
      </c>
      <c r="F91" s="205">
        <f>_xll.Get_Balance(F$83,"PTD","USD","Total","A","","001","456705","ED","AN","DL")</f>
        <v>-138578</v>
      </c>
      <c r="G91" s="205">
        <f>_xll.Get_Balance(G$83,"PTD","USD","Total","A","","001","456705","ED","AN","DL")</f>
        <v>-138578</v>
      </c>
      <c r="H91" s="205">
        <f>_xll.Get_Balance(H$83,"PTD","USD","Total","A","","001","456705","ED","AN","DL")</f>
        <v>0</v>
      </c>
      <c r="I91" s="205">
        <f>_xll.Get_Balance(I$83,"PTD","USD","Total","A","","001","456705","ED","AN","DL")</f>
        <v>0</v>
      </c>
      <c r="J91" s="205">
        <f>_xll.Get_Balance(J$83,"PTD","USD","Total","A","","001","456705","ED","AN","DL")</f>
        <v>0</v>
      </c>
      <c r="K91" s="205">
        <f>_xll.Get_Balance(K$83,"PTD","USD","Total","A","","001","456705","ED","AN","DL")</f>
        <v>0</v>
      </c>
      <c r="L91" s="205">
        <f>_xll.Get_Balance(L$83,"PTD","USD","Total","A","","001","456705","ED","AN","DL")</f>
        <v>0</v>
      </c>
      <c r="M91" s="205">
        <f>_xll.Get_Balance(M$83,"PTD","USD","Total","A","","001","456705","ED","AN","DL")</f>
        <v>0</v>
      </c>
      <c r="N91" s="205">
        <f>_xll.Get_Balance(N$83,"PTD","USD","Total","A","","001","456705","ED","AN","DL")</f>
        <v>0</v>
      </c>
      <c r="O91" s="205">
        <f>_xll.Get_Balance(O$83,"PTD","USD","Total","A","","001","456705","ED","AN","DL")</f>
        <v>0</v>
      </c>
      <c r="P91" s="205">
        <f>_xll.Get_Balance(P$83,"PTD","USD","Total","A","","001","456705","ED","AN","DL")</f>
        <v>0</v>
      </c>
      <c r="Q91" s="398"/>
      <c r="R91" s="403">
        <f>SUM(E91:P91)</f>
        <v>-415734</v>
      </c>
    </row>
    <row r="92" spans="1:18" ht="24.75" customHeight="1">
      <c r="A92" s="274">
        <f t="shared" si="25"/>
        <v>48</v>
      </c>
      <c r="B92" s="259" t="s">
        <v>237</v>
      </c>
      <c r="C92" s="259"/>
      <c r="D92" s="202">
        <f t="shared" si="24"/>
        <v>-3850762</v>
      </c>
      <c r="E92" s="206">
        <f>SUM(E85:E91)</f>
        <v>-1341915</v>
      </c>
      <c r="F92" s="206">
        <f t="shared" ref="F92:O92" si="26">SUM(F85:F91)</f>
        <v>-1427616</v>
      </c>
      <c r="G92" s="206">
        <f t="shared" si="26"/>
        <v>-1081231</v>
      </c>
      <c r="H92" s="206">
        <f t="shared" si="26"/>
        <v>0</v>
      </c>
      <c r="I92" s="206">
        <f t="shared" si="26"/>
        <v>0</v>
      </c>
      <c r="J92" s="206">
        <f>SUM(J85:J91)</f>
        <v>0</v>
      </c>
      <c r="K92" s="206">
        <f t="shared" si="26"/>
        <v>0</v>
      </c>
      <c r="L92" s="206">
        <f t="shared" si="26"/>
        <v>0</v>
      </c>
      <c r="M92" s="206">
        <f t="shared" si="26"/>
        <v>0</v>
      </c>
      <c r="N92" s="206">
        <f t="shared" si="26"/>
        <v>0</v>
      </c>
      <c r="O92" s="206">
        <f t="shared" si="26"/>
        <v>0</v>
      </c>
      <c r="P92" s="206">
        <f>SUM(P85:P91)</f>
        <v>0</v>
      </c>
      <c r="Q92" s="398"/>
      <c r="R92" s="202">
        <f>SUM(E92:P92)</f>
        <v>-3850762</v>
      </c>
    </row>
    <row r="93" spans="1:18">
      <c r="A93" s="430"/>
      <c r="E93" s="204"/>
      <c r="F93" s="204"/>
      <c r="G93" s="204"/>
      <c r="H93" s="204"/>
      <c r="I93" s="204"/>
      <c r="J93" s="204"/>
      <c r="K93" s="204"/>
      <c r="L93" s="204"/>
      <c r="M93" s="204"/>
      <c r="N93" s="175"/>
      <c r="O93" s="204"/>
      <c r="P93" s="175"/>
      <c r="Q93" s="97"/>
      <c r="R93" s="204"/>
    </row>
    <row r="94" spans="1:18">
      <c r="A94" s="430"/>
      <c r="B94" s="141" t="s">
        <v>239</v>
      </c>
      <c r="E94" s="204"/>
      <c r="F94" s="204"/>
      <c r="G94" s="204"/>
      <c r="H94" s="204"/>
      <c r="I94" s="204"/>
      <c r="J94" s="204"/>
      <c r="K94" s="204"/>
      <c r="L94" s="204"/>
      <c r="M94" s="204"/>
      <c r="N94" s="175"/>
      <c r="O94" s="204"/>
      <c r="P94" s="175"/>
      <c r="Q94" s="97"/>
      <c r="R94" s="204"/>
    </row>
    <row r="95" spans="1:18" ht="13.5" customHeight="1">
      <c r="A95" s="430">
        <f>+A92+1</f>
        <v>49</v>
      </c>
      <c r="B95" s="52" t="s">
        <v>161</v>
      </c>
      <c r="D95" s="204">
        <f>SUM(E95:P95)</f>
        <v>4520773</v>
      </c>
      <c r="E95" s="158">
        <f>_xll.Get_Balance(E$83,"PTD","USD","Total","A","","001","565000","ED","AN","DL")</f>
        <v>1532604</v>
      </c>
      <c r="F95" s="158">
        <f>_xll.Get_Balance(F$83,"PTD","USD","Total","A","","001","565000","ED","AN","DL")</f>
        <v>1475846</v>
      </c>
      <c r="G95" s="158">
        <f>_xll.Get_Balance(G$83,"PTD","USD","Total","A","","001","565000","ED","AN","DL")</f>
        <v>1512323</v>
      </c>
      <c r="H95" s="158">
        <f>_xll.Get_Balance(H$83,"PTD","USD","Total","A","","001","565000","ED","AN","DL")</f>
        <v>0</v>
      </c>
      <c r="I95" s="158">
        <f>_xll.Get_Balance(I$83,"PTD","USD","Total","A","","001","565000","ED","AN","DL")</f>
        <v>0</v>
      </c>
      <c r="J95" s="158">
        <f>_xll.Get_Balance(J$83,"PTD","USD","Total","A","","001","565000","ED","AN","DL")</f>
        <v>0</v>
      </c>
      <c r="K95" s="158">
        <f>_xll.Get_Balance(K$83,"PTD","USD","Total","A","","001","565000","ED","AN","DL")</f>
        <v>0</v>
      </c>
      <c r="L95" s="158">
        <f>_xll.Get_Balance(L$83,"PTD","USD","Total","A","","001","565000","ED","AN","DL")</f>
        <v>0</v>
      </c>
      <c r="M95" s="158">
        <f>_xll.Get_Balance(M$83,"PTD","USD","Total","A","","001","565000","ED","AN","DL")</f>
        <v>0</v>
      </c>
      <c r="N95" s="158">
        <f>_xll.Get_Balance(N$83,"PTD","USD","Total","A","","001","565000","ED","AN","DL")</f>
        <v>0</v>
      </c>
      <c r="O95" s="158">
        <f>_xll.Get_Balance(O$83,"PTD","USD","Total","A","","001","565000","ED","AN","DL")</f>
        <v>0</v>
      </c>
      <c r="P95" s="158">
        <f>_xll.Get_Balance(P$83,"PTD","USD","Total","A","","001","565000","ED","AN","DL")</f>
        <v>0</v>
      </c>
      <c r="Q95" s="97"/>
      <c r="R95" s="204">
        <f>SUM(E95:P95)</f>
        <v>4520773</v>
      </c>
    </row>
    <row r="96" spans="1:18" hidden="1">
      <c r="A96" s="430">
        <f>+A95+1</f>
        <v>50</v>
      </c>
      <c r="B96" s="52" t="s">
        <v>196</v>
      </c>
      <c r="C96" s="467"/>
      <c r="D96" s="204">
        <f>SUM(E96:P96)</f>
        <v>0</v>
      </c>
      <c r="E96" s="200">
        <f>_xll.Get_Balance(E$83,"PTD","USD","Total","A","","001","565312","ED","AN","DL")</f>
        <v>0</v>
      </c>
      <c r="F96" s="200">
        <f>_xll.Get_Balance(F$83,"PTD","USD","Total","A","","001","565312","ED","AN","DL")</f>
        <v>0</v>
      </c>
      <c r="G96" s="200">
        <f>_xll.Get_Balance(G$83,"PTD","USD","Total","A","","001","565312","ED","AN","DL")</f>
        <v>0</v>
      </c>
      <c r="H96" s="200">
        <f>_xll.Get_Balance(H$83,"PTD","USD","Total","A","","001","565312","ED","AN","DL")</f>
        <v>0</v>
      </c>
      <c r="I96" s="200">
        <f>_xll.Get_Balance(I$83,"PTD","USD","Total","A","","001","565312","ED","AN","DL")</f>
        <v>0</v>
      </c>
      <c r="J96" s="200">
        <f>_xll.Get_Balance(J$83,"PTD","USD","Total","A","","001","565312","ED","AN","DL")</f>
        <v>0</v>
      </c>
      <c r="K96" s="200">
        <f>_xll.Get_Balance(K$83,"PTD","USD","Total","A","","001","565312","ED","AN","DL")</f>
        <v>0</v>
      </c>
      <c r="L96" s="200">
        <f>_xll.Get_Balance(L$83,"PTD","USD","Total","A","","001","565312","ED","AN","DL")</f>
        <v>0</v>
      </c>
      <c r="M96" s="200">
        <f>_xll.Get_Balance(M$83,"PTD","USD","Total","A","","001","565312","ED","AN","DL")</f>
        <v>0</v>
      </c>
      <c r="N96" s="200">
        <f>_xll.Get_Balance(N$83,"PTD","USD","Total","A","","001","565312","ED","AN","DL")</f>
        <v>0</v>
      </c>
      <c r="O96" s="200">
        <f>_xll.Get_Balance(O$83,"PTD","USD","Total","A","","001","565312","ED","AN","DL")</f>
        <v>0</v>
      </c>
      <c r="P96" s="200">
        <f>_xll.Get_Balance(P$83,"PTD","USD","Total","A","","001","565312","ED","AN","DL")</f>
        <v>0</v>
      </c>
      <c r="Q96" s="97"/>
      <c r="R96" s="204">
        <f>SUM(E96:P96)</f>
        <v>0</v>
      </c>
    </row>
    <row r="97" spans="1:19">
      <c r="A97" s="430">
        <f>A95+1</f>
        <v>50</v>
      </c>
      <c r="B97" s="52" t="s">
        <v>162</v>
      </c>
      <c r="D97" s="204">
        <f>SUM(E97:P97)</f>
        <v>13608</v>
      </c>
      <c r="E97" s="158">
        <f>_xll.Get_Balance(E$83,"PTD","USD","Total","A","","001","565710","ED","AN","DL")</f>
        <v>4536</v>
      </c>
      <c r="F97" s="158">
        <f>_xll.Get_Balance(F$83,"PTD","USD","Total","A","","001","565710","ED","AN","DL")</f>
        <v>4536</v>
      </c>
      <c r="G97" s="158">
        <f>_xll.Get_Balance(G$83,"PTD","USD","Total","A","","001","565710","ED","AN","DL")</f>
        <v>4536</v>
      </c>
      <c r="H97" s="158">
        <f>_xll.Get_Balance(H$83,"PTD","USD","Total","A","","001","565710","ED","AN","DL")</f>
        <v>0</v>
      </c>
      <c r="I97" s="158">
        <f>_xll.Get_Balance(I$83,"PTD","USD","Total","A","","001","565710","ED","AN","DL")</f>
        <v>0</v>
      </c>
      <c r="J97" s="158">
        <f>_xll.Get_Balance(J$83,"PTD","USD","Total","A","","001","565710","ED","AN","DL")</f>
        <v>0</v>
      </c>
      <c r="K97" s="158">
        <f>_xll.Get_Balance(K$83,"PTD","USD","Total","A","","001","565710","ED","AN","DL")</f>
        <v>0</v>
      </c>
      <c r="L97" s="158">
        <f>_xll.Get_Balance(L$83,"PTD","USD","Total","A","","001","565710","ED","AN","DL")</f>
        <v>0</v>
      </c>
      <c r="M97" s="158">
        <f>_xll.Get_Balance(M$83,"PTD","USD","Total","A","","001","565710","ED","AN","DL")</f>
        <v>0</v>
      </c>
      <c r="N97" s="158">
        <f>_xll.Get_Balance(N$83,"PTD","USD","Total","A","","001","565710","ED","AN","DL")</f>
        <v>0</v>
      </c>
      <c r="O97" s="158">
        <f>_xll.Get_Balance(O$83,"PTD","USD","Total","A","","001","565710","ED","AN","DL")</f>
        <v>0</v>
      </c>
      <c r="P97" s="158">
        <f>_xll.Get_Balance(P$83,"PTD","USD","Total","A","","001","565710","ED","AN","DL")</f>
        <v>0</v>
      </c>
      <c r="Q97" s="97"/>
      <c r="R97" s="403">
        <f>SUM(E97:P97)</f>
        <v>13608</v>
      </c>
    </row>
    <row r="98" spans="1:19" ht="24" customHeight="1">
      <c r="A98" s="387">
        <f>+A97+1</f>
        <v>51</v>
      </c>
      <c r="B98" s="266" t="s">
        <v>236</v>
      </c>
      <c r="C98" s="259"/>
      <c r="D98" s="202">
        <f>SUM(E98:P98)</f>
        <v>4534381</v>
      </c>
      <c r="E98" s="202">
        <f t="shared" ref="E98:J98" si="27">SUM(E95:E97)</f>
        <v>1537140</v>
      </c>
      <c r="F98" s="202">
        <f t="shared" si="27"/>
        <v>1480382</v>
      </c>
      <c r="G98" s="202">
        <f t="shared" si="27"/>
        <v>1516859</v>
      </c>
      <c r="H98" s="202">
        <f t="shared" si="27"/>
        <v>0</v>
      </c>
      <c r="I98" s="202">
        <f t="shared" si="27"/>
        <v>0</v>
      </c>
      <c r="J98" s="202">
        <f t="shared" si="27"/>
        <v>0</v>
      </c>
      <c r="K98" s="202">
        <f t="shared" ref="K98:P98" si="28">SUM(K95:K97)</f>
        <v>0</v>
      </c>
      <c r="L98" s="202">
        <f t="shared" si="28"/>
        <v>0</v>
      </c>
      <c r="M98" s="202">
        <f t="shared" si="28"/>
        <v>0</v>
      </c>
      <c r="N98" s="202">
        <f t="shared" si="28"/>
        <v>0</v>
      </c>
      <c r="O98" s="202">
        <f t="shared" si="28"/>
        <v>0</v>
      </c>
      <c r="P98" s="202">
        <f t="shared" si="28"/>
        <v>0</v>
      </c>
      <c r="Q98" s="97"/>
      <c r="R98" s="327">
        <f>SUM(E98:P98)</f>
        <v>4534381</v>
      </c>
    </row>
    <row r="99" spans="1:19" ht="24" customHeight="1">
      <c r="A99" s="480"/>
      <c r="B99" s="313"/>
      <c r="C99" s="481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97"/>
      <c r="R99" s="234"/>
    </row>
    <row r="100" spans="1:19">
      <c r="A100" s="274"/>
      <c r="B100" s="258" t="s">
        <v>475</v>
      </c>
      <c r="C100" s="71"/>
      <c r="D100" s="71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410"/>
      <c r="R100" s="411"/>
      <c r="S100" s="71"/>
    </row>
    <row r="101" spans="1:19">
      <c r="A101" s="274">
        <f>A98+1</f>
        <v>52</v>
      </c>
      <c r="B101" s="273" t="s">
        <v>469</v>
      </c>
      <c r="C101" s="71" t="s">
        <v>470</v>
      </c>
      <c r="D101" s="390">
        <f>SUM(E101:P101)</f>
        <v>25659</v>
      </c>
      <c r="E101" s="158">
        <f>_xll.Get_Balance(E$83,"PTD","USD","Total","A","","001","557165","ED","AN","DL")</f>
        <v>13283</v>
      </c>
      <c r="F101" s="158">
        <f>_xll.Get_Balance(F$83,"PTD","USD","Total","A","","001","557165","ED","AN","DL")</f>
        <v>5453</v>
      </c>
      <c r="G101" s="158">
        <f>_xll.Get_Balance(G$83,"PTD","USD","Total","A","","001","557165","ED","AN","DL")</f>
        <v>6923</v>
      </c>
      <c r="H101" s="158">
        <f>_xll.Get_Balance(H$83,"PTD","USD","Total","A","","001","557165","ED","AN","DL")</f>
        <v>0</v>
      </c>
      <c r="I101" s="158">
        <f>_xll.Get_Balance(I$83,"PTD","USD","Total","A","","001","557165","ED","AN","DL")</f>
        <v>0</v>
      </c>
      <c r="J101" s="158">
        <f>_xll.Get_Balance(J$83,"PTD","USD","Total","A","","001","557165","ED","AN","DL")</f>
        <v>0</v>
      </c>
      <c r="K101" s="158">
        <f>_xll.Get_Balance(K$83,"PTD","USD","Total","A","","001","557165","ED","AN","DL")</f>
        <v>0</v>
      </c>
      <c r="L101" s="158">
        <f>_xll.Get_Balance(L$83,"PTD","USD","Total","A","","001","557165","ED","AN","DL")</f>
        <v>0</v>
      </c>
      <c r="M101" s="158">
        <f>_xll.Get_Balance(M$83,"PTD","USD","Total","A","","001","557165","ED","AN","DL")</f>
        <v>0</v>
      </c>
      <c r="N101" s="158">
        <f>_xll.Get_Balance(N$83,"PTD","USD","Total","A","","001","557165","ED","AN","DL")</f>
        <v>0</v>
      </c>
      <c r="O101" s="158">
        <f>_xll.Get_Balance(O$83,"PTD","USD","Total","A","","001","557165","ED","AN","DL")</f>
        <v>0</v>
      </c>
      <c r="P101" s="158">
        <f>_xll.Get_Balance(P$83,"PTD","USD","Total","A","","001","557165","ED","AN","DL")</f>
        <v>0</v>
      </c>
      <c r="Q101" s="410"/>
      <c r="R101" s="411"/>
      <c r="S101" s="71"/>
    </row>
    <row r="102" spans="1:19">
      <c r="A102" s="274">
        <f>A101+1</f>
        <v>53</v>
      </c>
      <c r="B102" s="273" t="s">
        <v>473</v>
      </c>
      <c r="C102" s="71" t="s">
        <v>474</v>
      </c>
      <c r="D102" s="390">
        <f>SUM(E102:P102)</f>
        <v>10514</v>
      </c>
      <c r="E102" s="158">
        <f>_xll.Get_Balance(E$83,"PTD","USD","Total","A","","001","557018","ED","AN","DL")</f>
        <v>3619</v>
      </c>
      <c r="F102" s="158">
        <f>_xll.Get_Balance(F$83,"PTD","USD","Total","A","","001","557018","ED","AN","DL")</f>
        <v>3280</v>
      </c>
      <c r="G102" s="158">
        <f>_xll.Get_Balance(G$83,"PTD","USD","Total","A","","001","557018","ED","AN","DL")</f>
        <v>3615</v>
      </c>
      <c r="H102" s="158">
        <f>_xll.Get_Balance(H$83,"PTD","USD","Total","A","","001","557018","ED","AN","DL")</f>
        <v>0</v>
      </c>
      <c r="I102" s="158">
        <f>_xll.Get_Balance(I$83,"PTD","USD","Total","A","","001","557018","ED","AN","DL")</f>
        <v>0</v>
      </c>
      <c r="J102" s="158">
        <f>_xll.Get_Balance(J$83,"PTD","USD","Total","A","","001","557018","ED","AN","DL")</f>
        <v>0</v>
      </c>
      <c r="K102" s="158">
        <f>_xll.Get_Balance(K$83,"PTD","USD","Total","A","","001","557018","ED","AN","DL")</f>
        <v>0</v>
      </c>
      <c r="L102" s="158">
        <f>_xll.Get_Balance(L$83,"PTD","USD","Total","A","","001","557018","ED","AN","DL")</f>
        <v>0</v>
      </c>
      <c r="M102" s="158">
        <f>_xll.Get_Balance(M$83,"PTD","USD","Total","A","","001","557018","ED","AN","DL")</f>
        <v>0</v>
      </c>
      <c r="N102" s="158">
        <f>_xll.Get_Balance(N$83,"PTD","USD","Total","A","","001","557018","ED","AN","DL")</f>
        <v>0</v>
      </c>
      <c r="O102" s="158">
        <f>_xll.Get_Balance(O$83,"PTD","USD","Total","A","","001","557018","ED","AN","DL")</f>
        <v>0</v>
      </c>
      <c r="P102" s="158">
        <f>_xll.Get_Balance(P$83,"PTD","USD","Total","A","","001","557018","ED","AN","DL")</f>
        <v>0</v>
      </c>
      <c r="Q102" s="410"/>
      <c r="R102" s="411"/>
      <c r="S102" s="71"/>
    </row>
    <row r="103" spans="1:19" s="185" customFormat="1" ht="20.25" customHeight="1">
      <c r="A103" s="213">
        <f>A102+1</f>
        <v>54</v>
      </c>
      <c r="B103" s="266" t="s">
        <v>438</v>
      </c>
      <c r="C103" s="266"/>
      <c r="D103" s="202">
        <f>SUM(D101:D102)</f>
        <v>36173</v>
      </c>
      <c r="E103" s="202">
        <f t="shared" ref="E103:P103" si="29">SUM(E101:E102)</f>
        <v>16902</v>
      </c>
      <c r="F103" s="202">
        <f t="shared" si="29"/>
        <v>8733</v>
      </c>
      <c r="G103" s="202">
        <f t="shared" si="29"/>
        <v>10538</v>
      </c>
      <c r="H103" s="202">
        <f t="shared" si="29"/>
        <v>0</v>
      </c>
      <c r="I103" s="202">
        <f t="shared" si="29"/>
        <v>0</v>
      </c>
      <c r="J103" s="202">
        <f t="shared" si="29"/>
        <v>0</v>
      </c>
      <c r="K103" s="202">
        <f t="shared" si="29"/>
        <v>0</v>
      </c>
      <c r="L103" s="202">
        <f t="shared" si="29"/>
        <v>0</v>
      </c>
      <c r="M103" s="202">
        <f t="shared" si="29"/>
        <v>0</v>
      </c>
      <c r="N103" s="202">
        <f t="shared" si="29"/>
        <v>0</v>
      </c>
      <c r="O103" s="202">
        <f t="shared" si="29"/>
        <v>0</v>
      </c>
      <c r="P103" s="202">
        <f t="shared" si="29"/>
        <v>0</v>
      </c>
      <c r="Q103" s="413"/>
      <c r="R103" s="414"/>
    </row>
    <row r="104" spans="1:19" s="185" customFormat="1" ht="20.25" customHeight="1">
      <c r="A104" s="319"/>
      <c r="B104" s="313"/>
      <c r="C104" s="313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13"/>
      <c r="R104" s="483"/>
    </row>
    <row r="105" spans="1:19" s="185" customFormat="1">
      <c r="A105" s="319"/>
      <c r="B105" s="314" t="s">
        <v>485</v>
      </c>
      <c r="C105" s="313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13"/>
      <c r="R105" s="483"/>
    </row>
    <row r="106" spans="1:19" s="185" customFormat="1">
      <c r="A106" s="315">
        <f>A103+1</f>
        <v>55</v>
      </c>
      <c r="B106" s="316" t="s">
        <v>486</v>
      </c>
      <c r="C106" s="313"/>
      <c r="D106" s="390">
        <f>SUM(E106:P106)</f>
        <v>388332</v>
      </c>
      <c r="E106" s="484">
        <v>129444</v>
      </c>
      <c r="F106" s="484">
        <v>129444</v>
      </c>
      <c r="G106" s="484">
        <v>129444</v>
      </c>
      <c r="H106" s="482"/>
      <c r="I106" s="482"/>
      <c r="J106" s="482"/>
      <c r="K106" s="482"/>
      <c r="L106" s="482"/>
      <c r="M106" s="482"/>
      <c r="N106" s="482"/>
      <c r="O106" s="482"/>
      <c r="P106" s="482"/>
      <c r="Q106" s="413"/>
      <c r="R106" s="483"/>
    </row>
    <row r="107" spans="1:19" s="185" customFormat="1" ht="20.25" customHeight="1">
      <c r="A107" s="213">
        <f>A106+1</f>
        <v>56</v>
      </c>
      <c r="B107" s="266" t="s">
        <v>487</v>
      </c>
      <c r="C107" s="266"/>
      <c r="D107" s="202">
        <f>SUM(D105:D106)</f>
        <v>388332</v>
      </c>
      <c r="E107" s="202">
        <f t="shared" ref="E107:P107" si="30">SUM(E105:E106)</f>
        <v>129444</v>
      </c>
      <c r="F107" s="202">
        <f t="shared" si="30"/>
        <v>129444</v>
      </c>
      <c r="G107" s="202">
        <f t="shared" si="30"/>
        <v>129444</v>
      </c>
      <c r="H107" s="202">
        <f t="shared" si="30"/>
        <v>0</v>
      </c>
      <c r="I107" s="202">
        <f t="shared" si="30"/>
        <v>0</v>
      </c>
      <c r="J107" s="202">
        <f t="shared" si="30"/>
        <v>0</v>
      </c>
      <c r="K107" s="202">
        <f t="shared" si="30"/>
        <v>0</v>
      </c>
      <c r="L107" s="202">
        <f t="shared" si="30"/>
        <v>0</v>
      </c>
      <c r="M107" s="202">
        <f t="shared" si="30"/>
        <v>0</v>
      </c>
      <c r="N107" s="202">
        <f t="shared" si="30"/>
        <v>0</v>
      </c>
      <c r="O107" s="202">
        <f t="shared" si="30"/>
        <v>0</v>
      </c>
      <c r="P107" s="202">
        <f t="shared" si="30"/>
        <v>0</v>
      </c>
      <c r="Q107" s="413"/>
      <c r="R107" s="414"/>
    </row>
    <row r="108" spans="1:19">
      <c r="A108" s="430"/>
      <c r="E108" s="175"/>
      <c r="F108" s="175"/>
      <c r="G108" s="175"/>
      <c r="H108" s="175"/>
      <c r="I108" s="175"/>
      <c r="J108" s="175"/>
      <c r="K108" s="204"/>
      <c r="L108" s="204"/>
      <c r="M108" s="204"/>
      <c r="N108" s="204"/>
      <c r="O108" s="204"/>
      <c r="P108" s="175"/>
      <c r="Q108" s="97"/>
      <c r="R108" s="204"/>
    </row>
    <row r="109" spans="1:19">
      <c r="A109" s="430"/>
      <c r="B109" s="141" t="s">
        <v>190</v>
      </c>
      <c r="E109" s="175"/>
      <c r="F109" s="175"/>
      <c r="G109" s="175"/>
      <c r="H109" s="175"/>
      <c r="I109" s="175"/>
      <c r="J109" s="175"/>
      <c r="K109" s="204"/>
      <c r="L109" s="204"/>
      <c r="M109" s="204"/>
      <c r="N109" s="204"/>
      <c r="O109" s="204"/>
      <c r="P109" s="175"/>
      <c r="Q109" s="97"/>
      <c r="R109" s="204"/>
    </row>
    <row r="110" spans="1:19">
      <c r="A110" s="274">
        <f>A107+1</f>
        <v>57</v>
      </c>
      <c r="B110" s="71" t="s">
        <v>214</v>
      </c>
      <c r="D110" s="204">
        <f>SUM(E110:P110)</f>
        <v>4106778</v>
      </c>
      <c r="E110" s="200">
        <f>_xll.Get_Balance(E$83,"PTD","USD","Total","A","","001","557010","ED","AN","DL")</f>
        <v>1083619</v>
      </c>
      <c r="F110" s="200">
        <f>_xll.Get_Balance(F$83,"PTD","USD","Total","A","","001","557010","ED","AN","DL")</f>
        <v>1645941</v>
      </c>
      <c r="G110" s="200">
        <f>_xll.Get_Balance(G$83,"PTD","USD","Total","A","","001","557010","ED","AN","DL")</f>
        <v>1377218</v>
      </c>
      <c r="H110" s="200">
        <f>_xll.Get_Balance(H$83,"PTD","USD","Total","A","","001","557010","ED","AN","DL")</f>
        <v>0</v>
      </c>
      <c r="I110" s="200">
        <f>_xll.Get_Balance(I$83,"PTD","USD","Total","A","","001","557010","ED","AN","DL")</f>
        <v>0</v>
      </c>
      <c r="J110" s="200">
        <f>_xll.Get_Balance(J$83,"PTD","USD","Total","A","","001","557010","ED","AN","DL")</f>
        <v>0</v>
      </c>
      <c r="K110" s="200">
        <f>_xll.Get_Balance(K$83,"PTD","USD","Total","A","","001","557010","ED","AN","DL")</f>
        <v>0</v>
      </c>
      <c r="L110" s="200">
        <f>_xll.Get_Balance(L$83,"PTD","USD","Total","A","","001","557010","ED","AN","DL")</f>
        <v>0</v>
      </c>
      <c r="M110" s="200">
        <f>_xll.Get_Balance(M$83,"PTD","USD","Total","A","","001","557010","ED","AN","DL")</f>
        <v>0</v>
      </c>
      <c r="N110" s="200">
        <f>_xll.Get_Balance(N$83,"PTD","USD","Total","A","","001","557010","ED","AN","DL")</f>
        <v>0</v>
      </c>
      <c r="O110" s="200">
        <f>_xll.Get_Balance(O$83,"PTD","USD","Total","A","","001","557010","ED","AN","DL")</f>
        <v>0</v>
      </c>
      <c r="P110" s="200">
        <f>_xll.Get_Balance(P$83,"PTD","USD","Total","A","","001","557010","ED","AN","DL")</f>
        <v>0</v>
      </c>
      <c r="Q110" s="97"/>
      <c r="R110" s="204">
        <f t="shared" ref="R110:R121" si="31">SUM(E110:P110)</f>
        <v>4106778</v>
      </c>
    </row>
    <row r="111" spans="1:19">
      <c r="A111" s="274">
        <f>+A110+1</f>
        <v>58</v>
      </c>
      <c r="B111" s="71" t="s">
        <v>183</v>
      </c>
      <c r="C111" s="52" t="s">
        <v>30</v>
      </c>
      <c r="D111" s="204">
        <f t="shared" ref="D111:D120" si="32">SUM(E111:P111)</f>
        <v>-2463231</v>
      </c>
      <c r="E111" s="200">
        <f>_xll.Get_Balance(E$83,"PTD","USD","Total","A","","001","557150","ED","AN","DL")</f>
        <v>-2490169</v>
      </c>
      <c r="F111" s="200">
        <f>_xll.Get_Balance(F$83,"PTD","USD","Total","A","","001","557150","ED","AN","DL")</f>
        <v>-336824</v>
      </c>
      <c r="G111" s="200">
        <f>_xll.Get_Balance(G$83,"PTD","USD","Total","A","","001","557150","ED","AN","DL")</f>
        <v>363762</v>
      </c>
      <c r="H111" s="200">
        <f>_xll.Get_Balance(H$83,"PTD","USD","Total","A","","001","557150","ED","AN","DL")</f>
        <v>0</v>
      </c>
      <c r="I111" s="200">
        <f>_xll.Get_Balance(I$83,"PTD","USD","Total","A","","001","557150","ED","AN","DL")</f>
        <v>0</v>
      </c>
      <c r="J111" s="200">
        <f>_xll.Get_Balance(J$83,"PTD","USD","Total","A","","001","557150","ED","AN","DL")</f>
        <v>0</v>
      </c>
      <c r="K111" s="200">
        <f>_xll.Get_Balance(K$83,"PTD","USD","Total","A","","001","557150","ED","AN","DL")</f>
        <v>0</v>
      </c>
      <c r="L111" s="200">
        <f>_xll.Get_Balance(L$83,"PTD","USD","Total","A","","001","557150","ED","AN","DL")</f>
        <v>0</v>
      </c>
      <c r="M111" s="200">
        <f>_xll.Get_Balance(M$83,"PTD","USD","Total","A","","001","557150","ED","AN","DL")</f>
        <v>0</v>
      </c>
      <c r="N111" s="200">
        <f>_xll.Get_Balance(N$83,"PTD","USD","Total","A","","001","557150","ED","AN","DL")</f>
        <v>0</v>
      </c>
      <c r="O111" s="200">
        <f>_xll.Get_Balance(O$83,"PTD","USD","Total","A","","001","557150","ED","AN","DL")</f>
        <v>0</v>
      </c>
      <c r="P111" s="200">
        <f>_xll.Get_Balance(P$83,"PTD","USD","Total","A","","001","557150","ED","AN","DL")</f>
        <v>0</v>
      </c>
      <c r="Q111" s="97"/>
      <c r="R111" s="204">
        <f t="shared" si="31"/>
        <v>-2463231</v>
      </c>
    </row>
    <row r="112" spans="1:19">
      <c r="A112" s="274">
        <f t="shared" ref="A112:A120" si="33">+A111+1</f>
        <v>59</v>
      </c>
      <c r="B112" s="71" t="s">
        <v>184</v>
      </c>
      <c r="C112" s="52" t="s">
        <v>30</v>
      </c>
      <c r="D112" s="204">
        <f t="shared" si="32"/>
        <v>668193</v>
      </c>
      <c r="E112" s="200">
        <f>_xll.Get_Balance(E$83,"PTD","USD","Total","A","","001","557700","ED","AN","DL")</f>
        <v>414178</v>
      </c>
      <c r="F112" s="200">
        <f>_xll.Get_Balance(F$83,"PTD","USD","Total","A","","001","557700","ED","AN","DL")</f>
        <v>204400</v>
      </c>
      <c r="G112" s="200">
        <f>_xll.Get_Balance(G$83,"PTD","USD","Total","A","","001","557700","ED","AN","DL")</f>
        <v>49615</v>
      </c>
      <c r="H112" s="200">
        <f>_xll.Get_Balance(H$83,"PTD","USD","Total","A","","001","557700","ED","AN","DL")</f>
        <v>0</v>
      </c>
      <c r="I112" s="200">
        <f>_xll.Get_Balance(I$83,"PTD","USD","Total","A","","001","557700","ED","AN","DL")</f>
        <v>0</v>
      </c>
      <c r="J112" s="200">
        <f>_xll.Get_Balance(J$83,"PTD","USD","Total","A","","001","557700","ED","AN","DL")</f>
        <v>0</v>
      </c>
      <c r="K112" s="200">
        <f>_xll.Get_Balance(K$83,"PTD","USD","Total","A","","001","557700","ED","AN","DL")</f>
        <v>0</v>
      </c>
      <c r="L112" s="200">
        <f>_xll.Get_Balance(L$83,"PTD","USD","Total","A","","001","557700","ED","AN","DL")</f>
        <v>0</v>
      </c>
      <c r="M112" s="200">
        <f>_xll.Get_Balance(M$83,"PTD","USD","Total","A","","001","557700","ED","AN","DL")</f>
        <v>0</v>
      </c>
      <c r="N112" s="200">
        <f>_xll.Get_Balance(N$83,"PTD","USD","Total","A","","001","557700","ED","AN","DL")</f>
        <v>0</v>
      </c>
      <c r="O112" s="200">
        <f>_xll.Get_Balance(O$83,"PTD","USD","Total","A","","001","557700","ED","AN","DL")</f>
        <v>0</v>
      </c>
      <c r="P112" s="200">
        <f>_xll.Get_Balance(P$83,"PTD","USD","Total","A","","001","557700","ED","AN","DL")</f>
        <v>0</v>
      </c>
      <c r="Q112" s="97"/>
      <c r="R112" s="204">
        <f>SUM(E112:P112)</f>
        <v>668193</v>
      </c>
    </row>
    <row r="113" spans="1:20">
      <c r="A113" s="274">
        <f t="shared" si="33"/>
        <v>60</v>
      </c>
      <c r="B113" s="52" t="s">
        <v>224</v>
      </c>
      <c r="C113" s="52" t="s">
        <v>30</v>
      </c>
      <c r="D113" s="204">
        <f t="shared" si="32"/>
        <v>-668193</v>
      </c>
      <c r="E113" s="200">
        <f>_xll.Get_Balance(E$83,"PTD","USD","Total","A","","001","557711","ED","AN","DL")</f>
        <v>-414178</v>
      </c>
      <c r="F113" s="200">
        <f>_xll.Get_Balance(F$83,"PTD","USD","Total","A","","001","557711","ED","AN","DL")</f>
        <v>-204400</v>
      </c>
      <c r="G113" s="200">
        <f>_xll.Get_Balance(G$83,"PTD","USD","Total","A","","001","557711","ED","AN","DL")</f>
        <v>-49615</v>
      </c>
      <c r="H113" s="200">
        <f>_xll.Get_Balance(H$83,"PTD","USD","Total","A","","001","557711","ED","AN","DL")</f>
        <v>0</v>
      </c>
      <c r="I113" s="200">
        <f>_xll.Get_Balance(I$83,"PTD","USD","Total","A","","001","557711","ED","AN","DL")</f>
        <v>0</v>
      </c>
      <c r="J113" s="200">
        <f>_xll.Get_Balance(J$83,"PTD","USD","Total","A","","001","557711","ED","AN","DL")</f>
        <v>0</v>
      </c>
      <c r="K113" s="200">
        <f>_xll.Get_Balance(K$83,"PTD","USD","Total","A","","001","557711","ED","AN","DL")</f>
        <v>0</v>
      </c>
      <c r="L113" s="200">
        <f>_xll.Get_Balance(L$83,"PTD","USD","Total","A","","001","557711","ED","AN","DL")</f>
        <v>0</v>
      </c>
      <c r="M113" s="200">
        <f>_xll.Get_Balance(M$83,"PTD","USD","Total","A","","001","557711","ED","AN","DL")</f>
        <v>0</v>
      </c>
      <c r="N113" s="200">
        <f>_xll.Get_Balance(N$83,"PTD","USD","Total","A","","001","557711","ED","AN","DL")</f>
        <v>0</v>
      </c>
      <c r="O113" s="200">
        <f>_xll.Get_Balance(O$83,"PTD","USD","Total","A","","001","557711","ED","AN","DL")</f>
        <v>0</v>
      </c>
      <c r="P113" s="200">
        <f>_xll.Get_Balance(P$83,"PTD","USD","Total","A","","001","557711","ED","AN","DL")</f>
        <v>0</v>
      </c>
      <c r="Q113" s="97"/>
      <c r="R113" s="204">
        <f t="shared" si="31"/>
        <v>-668193</v>
      </c>
    </row>
    <row r="114" spans="1:20">
      <c r="A114" s="274">
        <f t="shared" si="33"/>
        <v>61</v>
      </c>
      <c r="B114" s="71" t="s">
        <v>219</v>
      </c>
      <c r="D114" s="204">
        <f t="shared" si="32"/>
        <v>10314423</v>
      </c>
      <c r="E114" s="200">
        <f>_xll.Get_Balance(E$83,"PTD","USD","Total","A","","001","557730","ED","AN","DL")</f>
        <v>5812837</v>
      </c>
      <c r="F114" s="200">
        <f>_xll.Get_Balance(F$83,"PTD","USD","Total","A","","001","557730","ED","AN","DL")</f>
        <v>2658645</v>
      </c>
      <c r="G114" s="200">
        <f>_xll.Get_Balance(G$83,"PTD","USD","Total","A","","001","557730","ED","AN","DL")</f>
        <v>1842941</v>
      </c>
      <c r="H114" s="200">
        <f>_xll.Get_Balance(H$83,"PTD","USD","Total","A","","001","557730","ED","AN","DL")</f>
        <v>0</v>
      </c>
      <c r="I114" s="200">
        <f>_xll.Get_Balance(I$83,"PTD","USD","Total","A","","001","557730","ED","AN","DL")</f>
        <v>0</v>
      </c>
      <c r="J114" s="200">
        <f>_xll.Get_Balance(J$83,"PTD","USD","Total","A","","001","557730","ED","AN","DL")</f>
        <v>0</v>
      </c>
      <c r="K114" s="200">
        <f>_xll.Get_Balance(K$83,"PTD","USD","Total","A","","001","557730","ED","AN","DL")</f>
        <v>0</v>
      </c>
      <c r="L114" s="200">
        <f>_xll.Get_Balance(L$83,"PTD","USD","Total","A","","001","557730","ED","AN","DL")</f>
        <v>0</v>
      </c>
      <c r="M114" s="200">
        <f>_xll.Get_Balance(M$83,"PTD","USD","Total","A","","001","557730","ED","AN","DL")</f>
        <v>0</v>
      </c>
      <c r="N114" s="200">
        <f>_xll.Get_Balance(N$83,"PTD","USD","Total","A","","001","557730","ED","AN","DL")</f>
        <v>0</v>
      </c>
      <c r="O114" s="200">
        <f>_xll.Get_Balance(O$83,"PTD","USD","Total","A","","001","557730","ED","AN","DL")</f>
        <v>0</v>
      </c>
      <c r="P114" s="200">
        <f>_xll.Get_Balance(P$83,"PTD","USD","Total","A","","001","557730","ED","AN","DL")</f>
        <v>0</v>
      </c>
      <c r="Q114" s="97"/>
      <c r="R114" s="204">
        <f t="shared" si="31"/>
        <v>10314423</v>
      </c>
    </row>
    <row r="115" spans="1:20">
      <c r="A115" s="274">
        <f t="shared" si="33"/>
        <v>62</v>
      </c>
      <c r="B115" s="71" t="s">
        <v>215</v>
      </c>
      <c r="D115" s="204">
        <f t="shared" si="32"/>
        <v>-2161948</v>
      </c>
      <c r="E115" s="200">
        <f>_xll.Get_Balance(E$83,"PTD","USD","Total","A","","001","456010","ED","AN","DL")</f>
        <v>-168836</v>
      </c>
      <c r="F115" s="200">
        <f>_xll.Get_Balance(F$83,"PTD","USD","Total","A","","001","456010","ED","AN","DL")</f>
        <v>-1280368</v>
      </c>
      <c r="G115" s="200">
        <f>_xll.Get_Balance(G$83,"PTD","USD","Total","A","","001","456010","ED","AN","DL")</f>
        <v>-712744</v>
      </c>
      <c r="H115" s="200">
        <f>_xll.Get_Balance(H$83,"PTD","USD","Total","A","","001","456010","ED","AN","DL")</f>
        <v>0</v>
      </c>
      <c r="I115" s="200">
        <f>_xll.Get_Balance(I$83,"PTD","USD","Total","A","","001","456010","ED","AN","DL")</f>
        <v>0</v>
      </c>
      <c r="J115" s="200">
        <f>_xll.Get_Balance(J$83,"PTD","USD","Total","A","","001","456010","ED","AN","DL")</f>
        <v>0</v>
      </c>
      <c r="K115" s="200">
        <f>_xll.Get_Balance(K$83,"PTD","USD","Total","A","","001","456010","ED","AN","DL")</f>
        <v>0</v>
      </c>
      <c r="L115" s="200">
        <f>_xll.Get_Balance(L$83,"PTD","USD","Total","A","","001","456010","ED","AN","DL")</f>
        <v>0</v>
      </c>
      <c r="M115" s="200">
        <f>_xll.Get_Balance(M$83,"PTD","USD","Total","A","","001","456010","ED","AN","DL")</f>
        <v>0</v>
      </c>
      <c r="N115" s="200">
        <f>_xll.Get_Balance(N$83,"PTD","USD","Total","A","","001","456010","ED","AN","DL")</f>
        <v>0</v>
      </c>
      <c r="O115" s="200">
        <f>_xll.Get_Balance(O$83,"PTD","USD","Total","A","","001","456010","ED","AN","DL")</f>
        <v>0</v>
      </c>
      <c r="P115" s="200">
        <f>_xll.Get_Balance(P$83,"PTD","USD","Total","A","","001","456010","ED","AN","DL")</f>
        <v>0</v>
      </c>
      <c r="Q115" s="97"/>
      <c r="R115" s="204">
        <f t="shared" si="31"/>
        <v>-2161948</v>
      </c>
    </row>
    <row r="116" spans="1:20">
      <c r="A116" s="274">
        <f t="shared" si="33"/>
        <v>63</v>
      </c>
      <c r="B116" s="71" t="s">
        <v>185</v>
      </c>
      <c r="D116" s="204">
        <f t="shared" si="32"/>
        <v>-5312213</v>
      </c>
      <c r="E116" s="200">
        <f>_xll.Get_Balance(E$83,"PTD","USD","Total","A","","001","456015","ED","AN","DL")</f>
        <v>-364889</v>
      </c>
      <c r="F116" s="200">
        <f>_xll.Get_Balance(F$83,"PTD","USD","Total","A","","001","456015","ED","AN","DL")</f>
        <v>-2477540</v>
      </c>
      <c r="G116" s="200">
        <f>_xll.Get_Balance(G$83,"PTD","USD","Total","A","","001","456015","ED","AN","DL")</f>
        <v>-2469784</v>
      </c>
      <c r="H116" s="200">
        <f>_xll.Get_Balance(H$83,"PTD","USD","Total","A","","001","456015","ED","AN","DL")</f>
        <v>0</v>
      </c>
      <c r="I116" s="200">
        <f>_xll.Get_Balance(I$83,"PTD","USD","Total","A","","001","456015","ED","AN","DL")</f>
        <v>0</v>
      </c>
      <c r="J116" s="200">
        <f>_xll.Get_Balance(J$83,"PTD","USD","Total","A","","001","456015","ED","AN","DL")</f>
        <v>0</v>
      </c>
      <c r="K116" s="200">
        <f>_xll.Get_Balance(K$83,"PTD","USD","Total","A","","001","456015","ED","AN","DL")</f>
        <v>0</v>
      </c>
      <c r="L116" s="200">
        <f>_xll.Get_Balance(L$83,"PTD","USD","Total","A","","001","456015","ED","AN","DL")</f>
        <v>0</v>
      </c>
      <c r="M116" s="200">
        <f>_xll.Get_Balance(M$83,"PTD","USD","Total","A","","001","456015","ED","AN","DL")</f>
        <v>0</v>
      </c>
      <c r="N116" s="200">
        <f>_xll.Get_Balance(N$83,"PTD","USD","Total","A","","001","456015","ED","AN","DL")</f>
        <v>0</v>
      </c>
      <c r="O116" s="200">
        <f>_xll.Get_Balance(O$83,"PTD","USD","Total","A","","001","456015","ED","AN","DL")</f>
        <v>0</v>
      </c>
      <c r="P116" s="200">
        <f>_xll.Get_Balance(P$83,"PTD","USD","Total","A","","001","456015","ED","AN","DL")</f>
        <v>0</v>
      </c>
      <c r="Q116" s="97"/>
      <c r="R116" s="204">
        <f t="shared" si="31"/>
        <v>-5312213</v>
      </c>
    </row>
    <row r="117" spans="1:20">
      <c r="A117" s="274">
        <f t="shared" si="33"/>
        <v>64</v>
      </c>
      <c r="B117" s="71" t="s">
        <v>491</v>
      </c>
      <c r="D117" s="204">
        <f t="shared" ref="D117" si="34">SUM(E117:P117)</f>
        <v>-182104</v>
      </c>
      <c r="E117" s="200">
        <f>_xll.Get_Balance(E$83,"PTD","USD","Total","A","","001","456018","ED","AN","DL")</f>
        <v>0</v>
      </c>
      <c r="F117" s="200">
        <f>_xll.Get_Balance(F$83,"PTD","USD","Total","A","","001","456018","ED","AN","DL")</f>
        <v>0</v>
      </c>
      <c r="G117" s="200">
        <f>_xll.Get_Balance(G$83,"PTD","USD","Total","A","","001","456018","ED","AN","DL")</f>
        <v>-182104</v>
      </c>
      <c r="H117" s="200">
        <f>_xll.Get_Balance(H$83,"PTD","USD","Total","A","","001","456018","ED","AN","DL")</f>
        <v>0</v>
      </c>
      <c r="I117" s="200">
        <f>_xll.Get_Balance(I$83,"PTD","USD","Total","A","","001","456018","ED","AN","DL")</f>
        <v>0</v>
      </c>
      <c r="J117" s="200">
        <f>_xll.Get_Balance(J$83,"PTD","USD","Total","A","","001","456018","ED","AN","DL")</f>
        <v>0</v>
      </c>
      <c r="K117" s="200">
        <f>_xll.Get_Balance(K$83,"PTD","USD","Total","A","","001","456018","ED","AN","DL")</f>
        <v>0</v>
      </c>
      <c r="L117" s="200">
        <f>_xll.Get_Balance(L$83,"PTD","USD","Total","A","","001","456018","ED","AN","DL")</f>
        <v>0</v>
      </c>
      <c r="M117" s="200">
        <f>_xll.Get_Balance(M$83,"PTD","USD","Total","A","","001","456018","ED","AN","DL")</f>
        <v>0</v>
      </c>
      <c r="N117" s="200">
        <f>_xll.Get_Balance(N$83,"PTD","USD","Total","A","","001","456018","ED","AN","DL")</f>
        <v>0</v>
      </c>
      <c r="O117" s="200">
        <f>_xll.Get_Balance(O$83,"PTD","USD","Total","A","","001","456018","ED","AN","DL")</f>
        <v>0</v>
      </c>
      <c r="P117" s="200">
        <f>_xll.Get_Balance(P$83,"PTD","USD","Total","A","","001","456018","ED","AN","DL")</f>
        <v>0</v>
      </c>
      <c r="Q117" s="97"/>
      <c r="R117" s="204"/>
    </row>
    <row r="118" spans="1:20">
      <c r="A118" s="274">
        <f t="shared" si="33"/>
        <v>65</v>
      </c>
      <c r="B118" s="71" t="s">
        <v>220</v>
      </c>
      <c r="D118" s="204">
        <f t="shared" si="32"/>
        <v>-6856424</v>
      </c>
      <c r="E118" s="200">
        <f>_xll.Get_Balance(E$83,"PTD","USD","Total","A","","001","456730","ED","AN","DL")</f>
        <v>-4514484</v>
      </c>
      <c r="F118" s="200">
        <f>_xll.Get_Balance(F$83,"PTD","USD","Total","A","","001","456730","ED","AN","DL")</f>
        <v>-1324718</v>
      </c>
      <c r="G118" s="200">
        <f>_xll.Get_Balance(G$83,"PTD","USD","Total","A","","001","456730","ED","AN","DL")</f>
        <v>-1017222</v>
      </c>
      <c r="H118" s="200">
        <f>_xll.Get_Balance(H$83,"PTD","USD","Total","A","","001","456730","ED","AN","DL")</f>
        <v>0</v>
      </c>
      <c r="I118" s="200">
        <f>_xll.Get_Balance(I$83,"PTD","USD","Total","A","","001","456730","ED","AN","DL")</f>
        <v>0</v>
      </c>
      <c r="J118" s="200">
        <f>_xll.Get_Balance(J$83,"PTD","USD","Total","A","","001","456730","ED","AN","DL")</f>
        <v>0</v>
      </c>
      <c r="K118" s="200">
        <f>_xll.Get_Balance(K$83,"PTD","USD","Total","A","","001","456730","ED","AN","DL")</f>
        <v>0</v>
      </c>
      <c r="L118" s="200">
        <f>_xll.Get_Balance(L$83,"PTD","USD","Total","A","","001","456730","ED","AN","DL")</f>
        <v>0</v>
      </c>
      <c r="M118" s="200">
        <f>_xll.Get_Balance(M$83,"PTD","USD","Total","A","","001","456730","ED","AN","DL")</f>
        <v>0</v>
      </c>
      <c r="N118" s="200">
        <f>_xll.Get_Balance(N$83,"PTD","USD","Total","A","","001","456730","ED","AN","DL")</f>
        <v>0</v>
      </c>
      <c r="O118" s="200">
        <f>_xll.Get_Balance(O$83,"PTD","USD","Total","A","","001","456730","ED","AN","DL")</f>
        <v>0</v>
      </c>
      <c r="P118" s="200">
        <f>_xll.Get_Balance(P$83,"PTD","USD","Total","A","","001","456730","ED","AN","DL")</f>
        <v>0</v>
      </c>
      <c r="Q118" s="97"/>
      <c r="R118" s="204">
        <f t="shared" si="31"/>
        <v>-6856424</v>
      </c>
    </row>
    <row r="119" spans="1:20">
      <c r="A119" s="274">
        <f t="shared" si="33"/>
        <v>66</v>
      </c>
      <c r="B119" s="52" t="s">
        <v>223</v>
      </c>
      <c r="D119" s="204">
        <f t="shared" si="32"/>
        <v>453009</v>
      </c>
      <c r="E119" s="158">
        <f>_xll.Get_Balance(E$83,"PTD","USD","Total","A","","001","456711","ED","AN","DL")</f>
        <v>187589</v>
      </c>
      <c r="F119" s="158">
        <f>_xll.Get_Balance(F$83,"PTD","USD","Total","A","","001","456711","ED","AN","DL")</f>
        <v>238295</v>
      </c>
      <c r="G119" s="158">
        <f>_xll.Get_Balance(G$83,"PTD","USD","Total","A","","001","456711","ED","AN","DL")</f>
        <v>27125</v>
      </c>
      <c r="H119" s="158">
        <f>_xll.Get_Balance(H$83,"PTD","USD","Total","A","","001","456711","ED","AN","DL")</f>
        <v>0</v>
      </c>
      <c r="I119" s="158">
        <f>_xll.Get_Balance(I$83,"PTD","USD","Total","A","","001","456711","ED","AN","DL")</f>
        <v>0</v>
      </c>
      <c r="J119" s="158">
        <f>_xll.Get_Balance(J$83,"PTD","USD","Total","A","","001","456711","ED","AN","DL")</f>
        <v>0</v>
      </c>
      <c r="K119" s="158">
        <f>_xll.Get_Balance(K$83,"PTD","USD","Total","A","","001","456711","ED","AN","DL")</f>
        <v>0</v>
      </c>
      <c r="L119" s="158">
        <f>_xll.Get_Balance(L$83,"PTD","USD","Total","A","","001","456711","ED","AN","DL")</f>
        <v>0</v>
      </c>
      <c r="M119" s="158">
        <f>_xll.Get_Balance(M$83,"PTD","USD","Total","A","","001","456711","ED","AN","DL")</f>
        <v>0</v>
      </c>
      <c r="N119" s="158">
        <f>_xll.Get_Balance(N$83,"PTD","USD","Total","A","","001","456711","ED","AN","DL")</f>
        <v>0</v>
      </c>
      <c r="O119" s="158">
        <f>_xll.Get_Balance(O$83,"PTD","USD","Total","A","","001","456711","ED","AN","DL")</f>
        <v>0</v>
      </c>
      <c r="P119" s="158">
        <f>_xll.Get_Balance(P$83,"PTD","USD","Total","A","","001","456711","ED","AN","DL")</f>
        <v>0</v>
      </c>
      <c r="Q119" s="97"/>
      <c r="R119" s="148">
        <f>SUM(E119:P119)</f>
        <v>453009</v>
      </c>
    </row>
    <row r="120" spans="1:20">
      <c r="A120" s="274">
        <f t="shared" si="33"/>
        <v>67</v>
      </c>
      <c r="B120" s="71" t="s">
        <v>186</v>
      </c>
      <c r="D120" s="204">
        <f t="shared" si="32"/>
        <v>-453009</v>
      </c>
      <c r="E120" s="158">
        <f>_xll.Get_Balance(E$83,"PTD","USD","Total","A","","001","456720","ED","AN","DL")</f>
        <v>-187589</v>
      </c>
      <c r="F120" s="158">
        <f>_xll.Get_Balance(F$83,"PTD","USD","Total","A","","001","456720","ED","AN","DL")</f>
        <v>-238295</v>
      </c>
      <c r="G120" s="158">
        <f>_xll.Get_Balance(G$83,"PTD","USD","Total","A","","001","456720","ED","AN","DL")</f>
        <v>-27125</v>
      </c>
      <c r="H120" s="158">
        <f>_xll.Get_Balance(H$83,"PTD","USD","Total","A","","001","456720","ED","AN","DL")</f>
        <v>0</v>
      </c>
      <c r="I120" s="158">
        <f>_xll.Get_Balance(I$83,"PTD","USD","Total","A","","001","456720","ED","AN","DL")</f>
        <v>0</v>
      </c>
      <c r="J120" s="158">
        <f>_xll.Get_Balance(J$83,"PTD","USD","Total","A","","001","456720","ED","AN","DL")</f>
        <v>0</v>
      </c>
      <c r="K120" s="158">
        <f>_xll.Get_Balance(K$83,"PTD","USD","Total","A","","001","456720","ED","AN","DL")</f>
        <v>0</v>
      </c>
      <c r="L120" s="158">
        <f>_xll.Get_Balance(L$83,"PTD","USD","Total","A","","001","456720","ED","AN","DL")</f>
        <v>0</v>
      </c>
      <c r="M120" s="158">
        <f>_xll.Get_Balance(M$83,"PTD","USD","Total","A","","001","456720","ED","AN","DL")</f>
        <v>0</v>
      </c>
      <c r="N120" s="158">
        <f>_xll.Get_Balance(N$83,"PTD","USD","Total","A","","001","456720","ED","AN","DL")</f>
        <v>0</v>
      </c>
      <c r="O120" s="158">
        <f>_xll.Get_Balance(O$83,"PTD","USD","Total","A","","001","456720","ED","AN","DL")</f>
        <v>0</v>
      </c>
      <c r="P120" s="158">
        <f>_xll.Get_Balance(P$83,"PTD","USD","Total","A","","001","456720","ED","AN","DL")</f>
        <v>0</v>
      </c>
      <c r="Q120" s="97"/>
      <c r="R120" s="403">
        <f t="shared" si="31"/>
        <v>-453009</v>
      </c>
    </row>
    <row r="121" spans="1:20" ht="24" customHeight="1">
      <c r="A121" s="387">
        <f>+A120+1</f>
        <v>68</v>
      </c>
      <c r="B121" s="266" t="s">
        <v>248</v>
      </c>
      <c r="C121" s="259"/>
      <c r="D121" s="202">
        <f>SUM(E121:P121)</f>
        <v>-2554719</v>
      </c>
      <c r="E121" s="172">
        <f>SUM(E110:E120)</f>
        <v>-641922</v>
      </c>
      <c r="F121" s="172">
        <f t="shared" ref="F121:O121" si="35">SUM(F110:F120)</f>
        <v>-1114864</v>
      </c>
      <c r="G121" s="172">
        <f t="shared" si="35"/>
        <v>-797933</v>
      </c>
      <c r="H121" s="172">
        <f t="shared" si="35"/>
        <v>0</v>
      </c>
      <c r="I121" s="172">
        <f t="shared" si="35"/>
        <v>0</v>
      </c>
      <c r="J121" s="172">
        <f t="shared" si="35"/>
        <v>0</v>
      </c>
      <c r="K121" s="172">
        <f>SUM(K110:K120)</f>
        <v>0</v>
      </c>
      <c r="L121" s="172">
        <f>SUM(L110:L120)</f>
        <v>0</v>
      </c>
      <c r="M121" s="172">
        <f>SUM(M110:M120)</f>
        <v>0</v>
      </c>
      <c r="N121" s="172">
        <f>SUM(N110:N120)</f>
        <v>0</v>
      </c>
      <c r="O121" s="172">
        <f t="shared" si="35"/>
        <v>0</v>
      </c>
      <c r="P121" s="172">
        <f>SUM(P110:P120)</f>
        <v>0</v>
      </c>
      <c r="Q121" s="97"/>
      <c r="R121" s="202">
        <f t="shared" si="31"/>
        <v>-2554719</v>
      </c>
      <c r="T121" s="72"/>
    </row>
    <row r="122" spans="1:20" ht="9" customHeight="1">
      <c r="A122" s="480"/>
      <c r="B122" s="313"/>
      <c r="C122" s="481"/>
      <c r="D122" s="48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97"/>
      <c r="R122" s="204"/>
      <c r="T122" s="72"/>
    </row>
    <row r="123" spans="1:20">
      <c r="A123" s="394">
        <f>A121+1</f>
        <v>69</v>
      </c>
      <c r="B123" s="185" t="s">
        <v>269</v>
      </c>
      <c r="C123" s="185"/>
      <c r="D123" s="148">
        <f>SUM(E123:P123)</f>
        <v>-2155251</v>
      </c>
      <c r="E123" s="182">
        <f>_xll.Get_Balance(E$83,"PTD","USD","Total","A","","001","456016","ED","AN","DL")</f>
        <v>-1551698</v>
      </c>
      <c r="F123" s="182">
        <f>_xll.Get_Balance(F$83,"PTD","USD","Total","A","","001","456016","ED","AN","DL")</f>
        <v>-257622</v>
      </c>
      <c r="G123" s="182">
        <f>_xll.Get_Balance(G$83,"PTD","USD","Total","A","","001","456016","ED","AN","DL")</f>
        <v>-345931</v>
      </c>
      <c r="H123" s="182">
        <f>_xll.Get_Balance(H$83,"PTD","USD","Total","A","","001","456016","ED","AN","DL")</f>
        <v>0</v>
      </c>
      <c r="I123" s="182">
        <f>_xll.Get_Balance(I$83,"PTD","USD","Total","A","","001","456016","ED","AN","DL")</f>
        <v>0</v>
      </c>
      <c r="J123" s="182">
        <f>_xll.Get_Balance(J$83,"PTD","USD","Total","A","","001","456016","ED","AN","DL")</f>
        <v>0</v>
      </c>
      <c r="K123" s="182">
        <f>_xll.Get_Balance(K$83,"PTD","USD","Total","A","","001","456016","ED","AN","DL")</f>
        <v>0</v>
      </c>
      <c r="L123" s="182">
        <f>_xll.Get_Balance(L$83,"PTD","USD","Total","A","","001","456016","ED","AN","DL")</f>
        <v>0</v>
      </c>
      <c r="M123" s="182">
        <f>_xll.Get_Balance(M$83,"PTD","USD","Total","A","","001","456016","ED","AN","DL")</f>
        <v>0</v>
      </c>
      <c r="N123" s="182">
        <f>_xll.Get_Balance(N$83,"PTD","USD","Total","A","","001","456016","ED","AN","DL")</f>
        <v>0</v>
      </c>
      <c r="O123" s="182">
        <f>_xll.Get_Balance(O$83,"PTD","USD","Total","A","","001","456016","ED","AN","DL")</f>
        <v>0</v>
      </c>
      <c r="P123" s="182">
        <f>_xll.Get_Balance(P$83,"PTD","USD","Total","A","","001","456016","ED","AN","DL")</f>
        <v>0</v>
      </c>
      <c r="Q123" s="97"/>
      <c r="R123" s="204">
        <f>SUM(E123:P123)</f>
        <v>-2155251</v>
      </c>
    </row>
    <row r="124" spans="1:20">
      <c r="A124" s="213">
        <f>A123+1</f>
        <v>70</v>
      </c>
      <c r="B124" s="266" t="s">
        <v>335</v>
      </c>
      <c r="C124" s="321"/>
      <c r="D124" s="327">
        <f>SUM(E124:P124)</f>
        <v>-2155251</v>
      </c>
      <c r="E124" s="157">
        <f>IF(E23=0, " ",E123)</f>
        <v>-1551698</v>
      </c>
      <c r="F124" s="157">
        <f t="shared" ref="F124:P124" si="36">IF(F23=0, " ",F123)</f>
        <v>-257622</v>
      </c>
      <c r="G124" s="157">
        <f t="shared" si="36"/>
        <v>-345931</v>
      </c>
      <c r="H124" s="157" t="str">
        <f t="shared" si="36"/>
        <v xml:space="preserve"> </v>
      </c>
      <c r="I124" s="157" t="str">
        <f t="shared" si="36"/>
        <v xml:space="preserve"> </v>
      </c>
      <c r="J124" s="157" t="str">
        <f t="shared" si="36"/>
        <v xml:space="preserve"> </v>
      </c>
      <c r="K124" s="157" t="str">
        <f t="shared" si="36"/>
        <v xml:space="preserve"> </v>
      </c>
      <c r="L124" s="157" t="str">
        <f t="shared" si="36"/>
        <v xml:space="preserve"> </v>
      </c>
      <c r="M124" s="157" t="str">
        <f t="shared" si="36"/>
        <v xml:space="preserve"> </v>
      </c>
      <c r="N124" s="157" t="str">
        <f t="shared" si="36"/>
        <v xml:space="preserve"> </v>
      </c>
      <c r="O124" s="157" t="str">
        <f t="shared" si="36"/>
        <v xml:space="preserve"> </v>
      </c>
      <c r="P124" s="157" t="str">
        <f t="shared" si="36"/>
        <v xml:space="preserve"> </v>
      </c>
      <c r="Q124" s="97"/>
      <c r="R124" s="327">
        <f>SUM(E124:P124)</f>
        <v>-2155251</v>
      </c>
    </row>
    <row r="125" spans="1:20">
      <c r="A125" s="430"/>
      <c r="E125" s="175"/>
      <c r="F125" s="175"/>
      <c r="G125" s="175"/>
      <c r="H125" s="175"/>
      <c r="I125" s="175"/>
      <c r="J125" s="175"/>
      <c r="K125" s="204"/>
      <c r="L125" s="204"/>
      <c r="M125" s="175"/>
      <c r="N125" s="175"/>
      <c r="O125" s="204"/>
      <c r="P125" s="175"/>
      <c r="Q125" s="97"/>
      <c r="R125" s="204"/>
    </row>
    <row r="126" spans="1:20">
      <c r="A126" s="430">
        <f>A124+1</f>
        <v>71</v>
      </c>
      <c r="B126" s="269" t="s">
        <v>353</v>
      </c>
      <c r="C126" s="485"/>
      <c r="D126" s="200">
        <f>SUM(E126:P126)</f>
        <v>176</v>
      </c>
      <c r="E126" s="158">
        <f>_xll.Get_Balance(E83,"PTD","USD","Total","A","","001","557160","ED","AN","DL")</f>
        <v>0</v>
      </c>
      <c r="F126" s="158">
        <f>_xll.Get_Balance(F83,"PTD","USD","Total","A","","001","557160","ED","AN","DL")</f>
        <v>0</v>
      </c>
      <c r="G126" s="158">
        <f>_xll.Get_Balance(G83,"PTD","USD","Total","A","","001","557160","ED","AN","DL")</f>
        <v>176</v>
      </c>
      <c r="H126" s="158">
        <f>_xll.Get_Balance(H83,"PTD","USD","Total","A","","001","557160","ED","AN","DL")</f>
        <v>0</v>
      </c>
      <c r="I126" s="158">
        <f>_xll.Get_Balance(I83,"PTD","USD","Total","A","","001","557160","ED","AN","DL")</f>
        <v>0</v>
      </c>
      <c r="J126" s="158">
        <f>_xll.Get_Balance(J83,"PTD","USD","Total","A","","001","557160","ED","AN","DL")</f>
        <v>0</v>
      </c>
      <c r="K126" s="158">
        <f>_xll.Get_Balance(K83,"PTD","USD","Total","A","","001","557160","ED","AN","DL")</f>
        <v>0</v>
      </c>
      <c r="L126" s="158">
        <f>_xll.Get_Balance(L83,"PTD","USD","Total","A","","001","557160","ED","AN","DL")</f>
        <v>0</v>
      </c>
      <c r="M126" s="158">
        <f>_xll.Get_Balance(M83,"PTD","USD","Total","A","","001","557160","ED","AN","DL")</f>
        <v>0</v>
      </c>
      <c r="N126" s="158">
        <f>_xll.Get_Balance(N83,"PTD","USD","Total","A","","001","557160","ED","AN","DL")</f>
        <v>0</v>
      </c>
      <c r="O126" s="158">
        <f>_xll.Get_Balance(O83,"PTD","USD","Total","A","","001","557160","ED","AN","DL")</f>
        <v>0</v>
      </c>
      <c r="P126" s="158">
        <f>_xll.Get_Balance(P83,"PTD","USD","Total","A","","001","557160","ED","AN","DL")</f>
        <v>0</v>
      </c>
      <c r="Q126" s="97"/>
      <c r="R126" s="403">
        <f>SUM(E126:P126)</f>
        <v>176</v>
      </c>
    </row>
    <row r="127" spans="1:20" ht="23.25" customHeight="1">
      <c r="A127" s="387">
        <f>A126+1</f>
        <v>72</v>
      </c>
      <c r="B127" s="266" t="s">
        <v>271</v>
      </c>
      <c r="C127" s="486"/>
      <c r="D127" s="172">
        <f>SUM(E127:P127)</f>
        <v>176</v>
      </c>
      <c r="E127" s="172">
        <f t="shared" ref="E127:P127" si="37">IF(E23=0," ",E126)</f>
        <v>0</v>
      </c>
      <c r="F127" s="172">
        <f t="shared" si="37"/>
        <v>0</v>
      </c>
      <c r="G127" s="172">
        <f t="shared" si="37"/>
        <v>176</v>
      </c>
      <c r="H127" s="172" t="str">
        <f t="shared" si="37"/>
        <v xml:space="preserve"> </v>
      </c>
      <c r="I127" s="172" t="str">
        <f t="shared" si="37"/>
        <v xml:space="preserve"> </v>
      </c>
      <c r="J127" s="172" t="str">
        <f t="shared" si="37"/>
        <v xml:space="preserve"> </v>
      </c>
      <c r="K127" s="172" t="str">
        <f t="shared" si="37"/>
        <v xml:space="preserve"> </v>
      </c>
      <c r="L127" s="172" t="str">
        <f t="shared" si="37"/>
        <v xml:space="preserve"> </v>
      </c>
      <c r="M127" s="172" t="str">
        <f t="shared" si="37"/>
        <v xml:space="preserve"> </v>
      </c>
      <c r="N127" s="172" t="str">
        <f t="shared" si="37"/>
        <v xml:space="preserve"> </v>
      </c>
      <c r="O127" s="172" t="str">
        <f t="shared" si="37"/>
        <v xml:space="preserve"> </v>
      </c>
      <c r="P127" s="172" t="str">
        <f t="shared" si="37"/>
        <v xml:space="preserve"> </v>
      </c>
      <c r="Q127" s="97"/>
      <c r="R127" s="202">
        <f>SUM(E127:P127)</f>
        <v>176</v>
      </c>
    </row>
    <row r="128" spans="1:20">
      <c r="A128" s="430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204"/>
      <c r="P128" s="175"/>
      <c r="Q128" s="97"/>
      <c r="R128" s="204"/>
    </row>
    <row r="129" spans="1:18">
      <c r="A129" s="430">
        <f>A127+1</f>
        <v>73</v>
      </c>
      <c r="B129" s="52" t="s">
        <v>218</v>
      </c>
      <c r="C129" s="487" t="s">
        <v>30</v>
      </c>
      <c r="D129" s="158">
        <f>SUM(E129:P129)</f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200">
        <v>0</v>
      </c>
      <c r="Q129" s="97"/>
      <c r="R129" s="204">
        <f>SUM(E129:P129)</f>
        <v>0</v>
      </c>
    </row>
    <row r="130" spans="1:18">
      <c r="A130" s="430">
        <f>A129+1</f>
        <v>74</v>
      </c>
      <c r="B130" s="268" t="s">
        <v>229</v>
      </c>
      <c r="C130" s="487"/>
      <c r="D130" s="158">
        <f>SUM(E130:P130)</f>
        <v>59</v>
      </c>
      <c r="E130" s="158">
        <f>_xll.Get_Balance(E$83,"PTD","USD","Total","A","","001","557395","ED","AN","DL")</f>
        <v>10</v>
      </c>
      <c r="F130" s="158">
        <f>_xll.Get_Balance(F$83,"PTD","USD","Total","A","","001","557395","ED","AN","DL")</f>
        <v>15</v>
      </c>
      <c r="G130" s="158">
        <f>_xll.Get_Balance(G$83,"PTD","USD","Total","A","","001","557395","ED","AN","DL")</f>
        <v>34</v>
      </c>
      <c r="H130" s="158">
        <f>_xll.Get_Balance(H$83,"PTD","USD","Total","A","","001","557395","ED","AN","DL")</f>
        <v>0</v>
      </c>
      <c r="I130" s="158">
        <f>_xll.Get_Balance(I$83,"PTD","USD","Total","A","","001","557395","ED","AN","DL")</f>
        <v>0</v>
      </c>
      <c r="J130" s="158">
        <f>_xll.Get_Balance(J$83,"PTD","USD","Total","A","","001","557395","ED","AN","DL")</f>
        <v>0</v>
      </c>
      <c r="K130" s="158">
        <f>_xll.Get_Balance(K$83,"PTD","USD","Total","A","","001","557395","ED","AN","DL")</f>
        <v>0</v>
      </c>
      <c r="L130" s="158">
        <f>_xll.Get_Balance(L$83,"PTD","USD","Total","A","","001","557395","ED","AN","DL")</f>
        <v>0</v>
      </c>
      <c r="M130" s="158">
        <f>_xll.Get_Balance(M$83,"PTD","USD","Total","A","","001","557395","ED","AN","DL")</f>
        <v>0</v>
      </c>
      <c r="N130" s="158">
        <f>_xll.Get_Balance(N$83,"PTD","USD","Total","A","","001","557395","ED","AN","DL")</f>
        <v>0</v>
      </c>
      <c r="O130" s="158">
        <f>_xll.Get_Balance(O$83,"PTD","USD","Total","A","","001","557395","ED","AN","DL")</f>
        <v>0</v>
      </c>
      <c r="P130" s="158">
        <f>_xll.Get_Balance(P$83,"PTD","USD","Total","A","","001","557395","ED","AN","DL")</f>
        <v>0</v>
      </c>
      <c r="Q130" s="97"/>
      <c r="R130" s="403">
        <f>SUM(E130:P130)</f>
        <v>59</v>
      </c>
    </row>
    <row r="131" spans="1:18" ht="23.25" customHeight="1">
      <c r="A131" s="387">
        <f>A130+1</f>
        <v>75</v>
      </c>
      <c r="B131" s="266" t="s">
        <v>230</v>
      </c>
      <c r="C131" s="488"/>
      <c r="D131" s="172">
        <f>SUM(E131:P131)</f>
        <v>59</v>
      </c>
      <c r="E131" s="172">
        <f t="shared" ref="E131:P131" si="38">IF(E23=0," ",(SUM(E129:E130)))</f>
        <v>10</v>
      </c>
      <c r="F131" s="172">
        <f t="shared" si="38"/>
        <v>15</v>
      </c>
      <c r="G131" s="172">
        <f t="shared" si="38"/>
        <v>34</v>
      </c>
      <c r="H131" s="172" t="str">
        <f t="shared" si="38"/>
        <v xml:space="preserve"> </v>
      </c>
      <c r="I131" s="172" t="str">
        <f t="shared" si="38"/>
        <v xml:space="preserve"> </v>
      </c>
      <c r="J131" s="172" t="str">
        <f t="shared" si="38"/>
        <v xml:space="preserve"> </v>
      </c>
      <c r="K131" s="172" t="str">
        <f t="shared" si="38"/>
        <v xml:space="preserve"> </v>
      </c>
      <c r="L131" s="172" t="str">
        <f t="shared" si="38"/>
        <v xml:space="preserve"> </v>
      </c>
      <c r="M131" s="172" t="str">
        <f t="shared" si="38"/>
        <v xml:space="preserve"> </v>
      </c>
      <c r="N131" s="172" t="str">
        <f t="shared" si="38"/>
        <v xml:space="preserve"> </v>
      </c>
      <c r="O131" s="172" t="str">
        <f t="shared" si="38"/>
        <v xml:space="preserve"> </v>
      </c>
      <c r="P131" s="172" t="str">
        <f t="shared" si="38"/>
        <v xml:space="preserve"> </v>
      </c>
      <c r="Q131" s="97"/>
      <c r="R131" s="202">
        <f>SUM(E131:P131)</f>
        <v>59</v>
      </c>
    </row>
    <row r="132" spans="1:18" ht="24.75" customHeight="1">
      <c r="A132" s="387">
        <f>A131+1</f>
        <v>76</v>
      </c>
      <c r="B132" s="259" t="s">
        <v>249</v>
      </c>
      <c r="C132" s="488"/>
      <c r="D132" s="172">
        <f>SUM(E132:P132)</f>
        <v>-4709735</v>
      </c>
      <c r="E132" s="172">
        <f t="shared" ref="E132:P132" si="39">IF(E23=0," ",E121+E124+E127+E131)</f>
        <v>-2193610</v>
      </c>
      <c r="F132" s="172">
        <f t="shared" si="39"/>
        <v>-1372471</v>
      </c>
      <c r="G132" s="172">
        <f t="shared" si="39"/>
        <v>-1143654</v>
      </c>
      <c r="H132" s="172" t="str">
        <f t="shared" si="39"/>
        <v xml:space="preserve"> </v>
      </c>
      <c r="I132" s="172" t="str">
        <f t="shared" si="39"/>
        <v xml:space="preserve"> </v>
      </c>
      <c r="J132" s="172" t="str">
        <f t="shared" si="39"/>
        <v xml:space="preserve"> </v>
      </c>
      <c r="K132" s="172" t="str">
        <f t="shared" si="39"/>
        <v xml:space="preserve"> </v>
      </c>
      <c r="L132" s="172" t="str">
        <f t="shared" si="39"/>
        <v xml:space="preserve"> </v>
      </c>
      <c r="M132" s="172" t="str">
        <f t="shared" si="39"/>
        <v xml:space="preserve"> </v>
      </c>
      <c r="N132" s="172" t="str">
        <f t="shared" si="39"/>
        <v xml:space="preserve"> </v>
      </c>
      <c r="O132" s="172" t="str">
        <f t="shared" si="39"/>
        <v xml:space="preserve"> </v>
      </c>
      <c r="P132" s="172" t="str">
        <f t="shared" si="39"/>
        <v xml:space="preserve"> </v>
      </c>
      <c r="Q132" s="97"/>
      <c r="R132" s="202">
        <f>SUM(E132:P132)</f>
        <v>-4709735</v>
      </c>
    </row>
    <row r="133" spans="1:18">
      <c r="B133" s="337"/>
      <c r="C133" s="487"/>
      <c r="D133" s="487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97"/>
      <c r="R133" s="489"/>
    </row>
    <row r="134" spans="1:18" ht="25.5" customHeight="1" thickBot="1">
      <c r="A134" s="427">
        <f>A132+1</f>
        <v>77</v>
      </c>
      <c r="B134" s="272" t="s">
        <v>11</v>
      </c>
      <c r="C134" s="272"/>
      <c r="D134" s="174">
        <f>SUM(E134:P134)</f>
        <v>30241217</v>
      </c>
      <c r="E134" s="174">
        <f>IF(E23=0," ",E81+E92+E98+E103+E107+E132)</f>
        <v>10427060</v>
      </c>
      <c r="F134" s="174">
        <f t="shared" ref="F134:P134" si="40">IF(F23=0," ",F81+F92+F98+F103+F107+F132)</f>
        <v>10304591</v>
      </c>
      <c r="G134" s="174">
        <f t="shared" si="40"/>
        <v>9509566</v>
      </c>
      <c r="H134" s="174" t="str">
        <f t="shared" si="40"/>
        <v xml:space="preserve"> </v>
      </c>
      <c r="I134" s="174" t="str">
        <f t="shared" si="40"/>
        <v xml:space="preserve"> </v>
      </c>
      <c r="J134" s="174" t="str">
        <f t="shared" si="40"/>
        <v xml:space="preserve"> </v>
      </c>
      <c r="K134" s="174" t="str">
        <f t="shared" si="40"/>
        <v xml:space="preserve"> </v>
      </c>
      <c r="L134" s="174" t="str">
        <f t="shared" si="40"/>
        <v xml:space="preserve"> </v>
      </c>
      <c r="M134" s="174" t="str">
        <f t="shared" si="40"/>
        <v xml:space="preserve"> </v>
      </c>
      <c r="N134" s="174" t="str">
        <f t="shared" si="40"/>
        <v xml:space="preserve"> </v>
      </c>
      <c r="O134" s="174" t="str">
        <f t="shared" si="40"/>
        <v xml:space="preserve"> </v>
      </c>
      <c r="P134" s="174" t="str">
        <f t="shared" si="40"/>
        <v xml:space="preserve"> </v>
      </c>
      <c r="Q134" s="97"/>
      <c r="R134" s="202">
        <f>SUM(E134:P134)</f>
        <v>30241217</v>
      </c>
    </row>
    <row r="135" spans="1:18" ht="13.5" thickTop="1">
      <c r="E135" s="490"/>
      <c r="F135" s="490"/>
      <c r="G135" s="490"/>
      <c r="H135" s="490"/>
      <c r="I135" s="490"/>
      <c r="J135" s="490"/>
      <c r="K135" s="490"/>
      <c r="L135" s="490"/>
      <c r="M135" s="490"/>
      <c r="N135" s="490"/>
      <c r="O135" s="490"/>
      <c r="P135" s="490"/>
      <c r="Q135" s="97"/>
      <c r="R135" s="491"/>
    </row>
    <row r="136" spans="1:18">
      <c r="E136" s="113"/>
      <c r="F136" s="113"/>
      <c r="G136" s="113"/>
      <c r="I136" s="113"/>
      <c r="P136" s="113"/>
      <c r="R136" s="491"/>
    </row>
    <row r="137" spans="1:18">
      <c r="E137" s="113"/>
      <c r="F137" s="113"/>
      <c r="G137" s="113"/>
      <c r="I137" s="113"/>
      <c r="P137" s="113"/>
      <c r="R137" s="491"/>
    </row>
    <row r="138" spans="1:18">
      <c r="E138" s="113"/>
      <c r="F138" s="113"/>
      <c r="G138" s="113"/>
      <c r="I138" s="113"/>
      <c r="P138" s="113"/>
      <c r="R138" s="491"/>
    </row>
    <row r="139" spans="1:18">
      <c r="E139" s="113"/>
      <c r="F139" s="113"/>
      <c r="G139" s="113"/>
      <c r="I139" s="113"/>
      <c r="P139" s="113"/>
      <c r="R139" s="491"/>
    </row>
    <row r="140" spans="1:18">
      <c r="E140" s="113"/>
      <c r="F140" s="113"/>
      <c r="G140" s="113"/>
      <c r="I140" s="113"/>
      <c r="P140" s="113"/>
      <c r="R140" s="491"/>
    </row>
    <row r="141" spans="1:18">
      <c r="E141" s="113"/>
      <c r="F141" s="113"/>
      <c r="G141" s="113"/>
      <c r="I141" s="113"/>
      <c r="P141" s="113"/>
      <c r="R141" s="491"/>
    </row>
    <row r="142" spans="1:18">
      <c r="E142" s="113"/>
      <c r="F142" s="113"/>
      <c r="G142" s="113"/>
      <c r="I142" s="113"/>
      <c r="P142" s="113"/>
      <c r="R142" s="491"/>
    </row>
    <row r="143" spans="1:18">
      <c r="E143" s="113"/>
      <c r="F143" s="113"/>
      <c r="G143" s="113"/>
      <c r="I143" s="113"/>
      <c r="P143" s="113"/>
      <c r="R143" s="491"/>
    </row>
    <row r="144" spans="1:18">
      <c r="E144" s="113"/>
      <c r="F144" s="113"/>
      <c r="G144" s="113"/>
      <c r="I144" s="113"/>
      <c r="P144" s="113"/>
      <c r="R144" s="491"/>
    </row>
    <row r="145" spans="5:18">
      <c r="E145" s="113"/>
      <c r="F145" s="113"/>
      <c r="G145" s="113"/>
      <c r="I145" s="113"/>
      <c r="P145" s="113"/>
      <c r="R145" s="491"/>
    </row>
    <row r="146" spans="5:18">
      <c r="E146" s="113"/>
      <c r="F146" s="113"/>
      <c r="G146" s="113"/>
      <c r="I146" s="113"/>
      <c r="P146" s="113"/>
      <c r="R146" s="491"/>
    </row>
    <row r="147" spans="5:18">
      <c r="E147" s="113"/>
      <c r="F147" s="113"/>
      <c r="G147" s="113"/>
      <c r="I147" s="113"/>
      <c r="P147" s="113"/>
      <c r="R147" s="491"/>
    </row>
    <row r="148" spans="5:18">
      <c r="E148" s="113"/>
      <c r="F148" s="113"/>
      <c r="G148" s="113"/>
      <c r="I148" s="113"/>
      <c r="P148" s="113"/>
      <c r="R148" s="491"/>
    </row>
    <row r="149" spans="5:18">
      <c r="E149" s="113"/>
      <c r="F149" s="113"/>
      <c r="G149" s="113"/>
      <c r="I149" s="113"/>
      <c r="P149" s="113"/>
      <c r="R149" s="491"/>
    </row>
    <row r="150" spans="5:18">
      <c r="E150" s="113"/>
      <c r="F150" s="113"/>
      <c r="G150" s="113"/>
      <c r="I150" s="113"/>
      <c r="P150" s="113"/>
      <c r="R150" s="491"/>
    </row>
    <row r="151" spans="5:18">
      <c r="E151" s="113"/>
      <c r="F151" s="113"/>
      <c r="G151" s="113"/>
      <c r="I151" s="113"/>
      <c r="P151" s="113"/>
      <c r="R151" s="491"/>
    </row>
    <row r="152" spans="5:18">
      <c r="E152" s="113"/>
      <c r="F152" s="113"/>
      <c r="G152" s="113"/>
      <c r="I152" s="113"/>
      <c r="P152" s="113"/>
      <c r="R152" s="491"/>
    </row>
    <row r="153" spans="5:18">
      <c r="E153" s="113"/>
      <c r="F153" s="113"/>
      <c r="G153" s="113"/>
      <c r="I153" s="113"/>
      <c r="P153" s="113"/>
      <c r="R153" s="491"/>
    </row>
    <row r="154" spans="5:18">
      <c r="E154" s="113"/>
      <c r="F154" s="113"/>
      <c r="G154" s="113"/>
      <c r="I154" s="113"/>
      <c r="P154" s="113"/>
      <c r="R154" s="491"/>
    </row>
    <row r="155" spans="5:18">
      <c r="E155" s="113"/>
      <c r="F155" s="113"/>
      <c r="G155" s="113"/>
      <c r="I155" s="113"/>
      <c r="P155" s="113"/>
      <c r="R155" s="491"/>
    </row>
    <row r="156" spans="5:18">
      <c r="E156" s="113"/>
      <c r="F156" s="113"/>
      <c r="G156" s="113"/>
      <c r="I156" s="113"/>
      <c r="P156" s="113"/>
      <c r="R156" s="491"/>
    </row>
    <row r="157" spans="5:18">
      <c r="E157" s="113"/>
      <c r="F157" s="113"/>
      <c r="G157" s="113"/>
      <c r="I157" s="113"/>
      <c r="P157" s="113"/>
      <c r="R157" s="491"/>
    </row>
    <row r="158" spans="5:18">
      <c r="E158" s="113"/>
      <c r="F158" s="113"/>
      <c r="G158" s="113"/>
      <c r="I158" s="113"/>
      <c r="P158" s="113"/>
      <c r="R158" s="491"/>
    </row>
    <row r="159" spans="5:18">
      <c r="E159" s="113"/>
      <c r="F159" s="113"/>
      <c r="G159" s="113"/>
      <c r="I159" s="113"/>
      <c r="P159" s="113"/>
      <c r="R159" s="491"/>
    </row>
    <row r="160" spans="5:18">
      <c r="E160" s="113"/>
      <c r="F160" s="113"/>
      <c r="G160" s="113"/>
      <c r="I160" s="113"/>
      <c r="P160" s="113"/>
      <c r="R160" s="491"/>
    </row>
    <row r="161" spans="5:18">
      <c r="E161" s="113"/>
      <c r="F161" s="113"/>
      <c r="G161" s="113"/>
      <c r="I161" s="113"/>
      <c r="P161" s="113"/>
      <c r="R161" s="491"/>
    </row>
    <row r="162" spans="5:18">
      <c r="E162" s="113"/>
      <c r="F162" s="113"/>
      <c r="G162" s="113"/>
      <c r="I162" s="113"/>
      <c r="P162" s="113"/>
      <c r="R162" s="491"/>
    </row>
    <row r="163" spans="5:18">
      <c r="E163" s="113"/>
      <c r="F163" s="113"/>
      <c r="G163" s="113"/>
      <c r="I163" s="113"/>
      <c r="P163" s="113"/>
      <c r="R163" s="491"/>
    </row>
    <row r="164" spans="5:18">
      <c r="E164" s="113"/>
      <c r="F164" s="113"/>
      <c r="G164" s="113"/>
      <c r="I164" s="113"/>
      <c r="P164" s="113"/>
      <c r="R164" s="491"/>
    </row>
    <row r="165" spans="5:18">
      <c r="E165" s="113"/>
      <c r="F165" s="113"/>
      <c r="G165" s="113"/>
      <c r="I165" s="113"/>
      <c r="P165" s="113"/>
      <c r="R165" s="491"/>
    </row>
    <row r="166" spans="5:18">
      <c r="E166" s="113"/>
      <c r="F166" s="113"/>
      <c r="G166" s="113"/>
      <c r="I166" s="113"/>
      <c r="P166" s="113"/>
      <c r="R166" s="491"/>
    </row>
    <row r="167" spans="5:18">
      <c r="E167" s="113"/>
      <c r="F167" s="113"/>
      <c r="G167" s="113"/>
      <c r="I167" s="113"/>
      <c r="P167" s="113"/>
      <c r="R167" s="491"/>
    </row>
    <row r="168" spans="5:18">
      <c r="E168" s="113"/>
      <c r="F168" s="113"/>
      <c r="G168" s="113"/>
      <c r="I168" s="113"/>
      <c r="P168" s="113"/>
      <c r="R168" s="491"/>
    </row>
    <row r="169" spans="5:18">
      <c r="E169" s="113"/>
      <c r="F169" s="113"/>
      <c r="G169" s="113"/>
      <c r="I169" s="113"/>
      <c r="P169" s="113"/>
      <c r="R169" s="491"/>
    </row>
    <row r="170" spans="5:18">
      <c r="E170" s="113"/>
      <c r="F170" s="113"/>
      <c r="G170" s="113"/>
      <c r="I170" s="113"/>
      <c r="P170" s="113"/>
      <c r="R170" s="491"/>
    </row>
    <row r="171" spans="5:18">
      <c r="E171" s="113"/>
      <c r="F171" s="113"/>
      <c r="G171" s="113"/>
      <c r="I171" s="113"/>
      <c r="P171" s="113"/>
      <c r="R171" s="491"/>
    </row>
    <row r="172" spans="5:18">
      <c r="E172" s="113"/>
      <c r="F172" s="113"/>
      <c r="G172" s="113"/>
      <c r="I172" s="113"/>
      <c r="P172" s="113"/>
      <c r="R172" s="491"/>
    </row>
    <row r="173" spans="5:18">
      <c r="E173" s="113"/>
      <c r="F173" s="113"/>
      <c r="G173" s="113"/>
      <c r="I173" s="113"/>
      <c r="P173" s="113"/>
      <c r="R173" s="491"/>
    </row>
    <row r="174" spans="5:18">
      <c r="E174" s="113"/>
      <c r="F174" s="113"/>
      <c r="G174" s="113"/>
      <c r="I174" s="113"/>
      <c r="P174" s="113"/>
      <c r="R174" s="491"/>
    </row>
    <row r="175" spans="5:18">
      <c r="E175" s="113"/>
      <c r="F175" s="113"/>
      <c r="G175" s="113"/>
      <c r="I175" s="113"/>
      <c r="P175" s="113"/>
      <c r="R175" s="491"/>
    </row>
    <row r="176" spans="5:18">
      <c r="E176" s="113"/>
      <c r="F176" s="113"/>
      <c r="G176" s="113"/>
      <c r="I176" s="113"/>
      <c r="P176" s="113"/>
      <c r="R176" s="491"/>
    </row>
    <row r="177" spans="5:18">
      <c r="E177" s="113"/>
      <c r="F177" s="113"/>
      <c r="G177" s="113"/>
      <c r="I177" s="113"/>
      <c r="P177" s="113"/>
      <c r="R177" s="491"/>
    </row>
    <row r="178" spans="5:18">
      <c r="E178" s="113"/>
      <c r="F178" s="113"/>
      <c r="G178" s="113"/>
      <c r="I178" s="113"/>
      <c r="P178" s="113"/>
      <c r="R178" s="491"/>
    </row>
    <row r="179" spans="5:18">
      <c r="E179" s="113"/>
      <c r="F179" s="113"/>
      <c r="G179" s="113"/>
      <c r="I179" s="113"/>
      <c r="P179" s="113"/>
      <c r="R179" s="491"/>
    </row>
    <row r="180" spans="5:18">
      <c r="E180" s="113"/>
      <c r="F180" s="113"/>
      <c r="G180" s="113"/>
      <c r="I180" s="113"/>
      <c r="P180" s="113"/>
      <c r="R180" s="491"/>
    </row>
    <row r="181" spans="5:18">
      <c r="E181" s="113"/>
      <c r="F181" s="113"/>
      <c r="G181" s="113"/>
      <c r="I181" s="113"/>
      <c r="P181" s="113"/>
      <c r="R181" s="491"/>
    </row>
    <row r="182" spans="5:18">
      <c r="E182" s="113"/>
      <c r="F182" s="113"/>
      <c r="G182" s="113"/>
      <c r="I182" s="113"/>
      <c r="P182" s="113"/>
      <c r="R182" s="491"/>
    </row>
    <row r="183" spans="5:18">
      <c r="E183" s="113"/>
      <c r="F183" s="113"/>
      <c r="G183" s="113"/>
      <c r="I183" s="113"/>
      <c r="P183" s="113"/>
      <c r="R183" s="491"/>
    </row>
    <row r="184" spans="5:18">
      <c r="E184" s="113"/>
      <c r="F184" s="113"/>
      <c r="G184" s="113"/>
      <c r="I184" s="113"/>
      <c r="P184" s="113"/>
      <c r="R184" s="491"/>
    </row>
    <row r="185" spans="5:18">
      <c r="E185" s="113"/>
      <c r="F185" s="113"/>
      <c r="G185" s="113"/>
      <c r="I185" s="113"/>
      <c r="P185" s="113"/>
      <c r="R185" s="491"/>
    </row>
    <row r="186" spans="5:18">
      <c r="E186" s="113"/>
      <c r="F186" s="113"/>
      <c r="G186" s="113"/>
      <c r="I186" s="113"/>
      <c r="P186" s="113"/>
      <c r="R186" s="491"/>
    </row>
    <row r="187" spans="5:18">
      <c r="E187" s="113"/>
      <c r="F187" s="113"/>
      <c r="G187" s="113"/>
      <c r="I187" s="113"/>
      <c r="P187" s="113"/>
      <c r="R187" s="491"/>
    </row>
    <row r="188" spans="5:18">
      <c r="E188" s="113"/>
      <c r="F188" s="113"/>
      <c r="G188" s="113"/>
      <c r="I188" s="113"/>
      <c r="P188" s="113"/>
      <c r="R188" s="491"/>
    </row>
    <row r="189" spans="5:18">
      <c r="E189" s="113"/>
      <c r="F189" s="113"/>
      <c r="G189" s="113"/>
      <c r="I189" s="113"/>
      <c r="P189" s="113"/>
      <c r="R189" s="491"/>
    </row>
    <row r="190" spans="5:18">
      <c r="E190" s="113"/>
      <c r="F190" s="113"/>
      <c r="G190" s="113"/>
      <c r="I190" s="113"/>
      <c r="P190" s="113"/>
      <c r="R190" s="491"/>
    </row>
    <row r="191" spans="5:18">
      <c r="E191" s="113"/>
      <c r="F191" s="113"/>
      <c r="G191" s="113"/>
      <c r="I191" s="113"/>
      <c r="P191" s="113"/>
      <c r="R191" s="491"/>
    </row>
    <row r="192" spans="5:18">
      <c r="E192" s="113"/>
      <c r="F192" s="113"/>
      <c r="G192" s="113"/>
      <c r="I192" s="113"/>
      <c r="P192" s="113"/>
      <c r="R192" s="491"/>
    </row>
    <row r="193" spans="5:18">
      <c r="E193" s="113"/>
      <c r="F193" s="113"/>
      <c r="G193" s="113"/>
      <c r="I193" s="113"/>
      <c r="P193" s="113"/>
      <c r="R193" s="491"/>
    </row>
    <row r="194" spans="5:18">
      <c r="E194" s="113"/>
      <c r="F194" s="113"/>
      <c r="G194" s="113"/>
      <c r="I194" s="113"/>
      <c r="P194" s="113"/>
      <c r="R194" s="491"/>
    </row>
    <row r="195" spans="5:18">
      <c r="E195" s="113"/>
      <c r="F195" s="113"/>
      <c r="G195" s="113"/>
      <c r="I195" s="113"/>
      <c r="P195" s="113"/>
      <c r="R195" s="491"/>
    </row>
    <row r="196" spans="5:18">
      <c r="E196" s="113"/>
      <c r="F196" s="113"/>
      <c r="G196" s="113"/>
      <c r="I196" s="113"/>
      <c r="P196" s="113"/>
      <c r="R196" s="491"/>
    </row>
    <row r="197" spans="5:18">
      <c r="E197" s="113"/>
      <c r="F197" s="113"/>
      <c r="G197" s="113"/>
      <c r="I197" s="113"/>
      <c r="P197" s="113"/>
      <c r="R197" s="491"/>
    </row>
    <row r="198" spans="5:18">
      <c r="E198" s="113"/>
      <c r="F198" s="113"/>
      <c r="G198" s="113"/>
      <c r="I198" s="113"/>
      <c r="P198" s="113"/>
      <c r="R198" s="491"/>
    </row>
    <row r="199" spans="5:18">
      <c r="E199" s="113"/>
      <c r="F199" s="113"/>
      <c r="G199" s="113"/>
      <c r="I199" s="113"/>
      <c r="P199" s="113"/>
      <c r="R199" s="491"/>
    </row>
    <row r="200" spans="5:18">
      <c r="E200" s="113"/>
      <c r="F200" s="113"/>
      <c r="G200" s="113"/>
      <c r="I200" s="113"/>
      <c r="P200" s="113"/>
      <c r="R200" s="491"/>
    </row>
    <row r="201" spans="5:18">
      <c r="E201" s="113"/>
      <c r="F201" s="113"/>
      <c r="G201" s="113"/>
      <c r="I201" s="113"/>
      <c r="P201" s="113"/>
      <c r="R201" s="491"/>
    </row>
    <row r="202" spans="5:18">
      <c r="E202" s="113"/>
      <c r="F202" s="113"/>
      <c r="G202" s="113"/>
      <c r="I202" s="113"/>
      <c r="P202" s="113"/>
      <c r="R202" s="491"/>
    </row>
    <row r="203" spans="5:18">
      <c r="E203" s="113"/>
      <c r="F203" s="113"/>
      <c r="G203" s="113"/>
      <c r="I203" s="113"/>
      <c r="P203" s="113"/>
      <c r="R203" s="491"/>
    </row>
    <row r="204" spans="5:18">
      <c r="E204" s="113"/>
      <c r="F204" s="113"/>
      <c r="G204" s="113"/>
      <c r="I204" s="113"/>
      <c r="P204" s="113"/>
      <c r="R204" s="491"/>
    </row>
    <row r="205" spans="5:18">
      <c r="E205" s="113"/>
      <c r="F205" s="113"/>
      <c r="G205" s="113"/>
      <c r="I205" s="113"/>
      <c r="P205" s="113"/>
      <c r="R205" s="491"/>
    </row>
    <row r="206" spans="5:18">
      <c r="E206" s="113"/>
      <c r="F206" s="113"/>
      <c r="G206" s="113"/>
      <c r="I206" s="113"/>
      <c r="P206" s="113"/>
      <c r="R206" s="491"/>
    </row>
    <row r="207" spans="5:18">
      <c r="E207" s="113"/>
      <c r="F207" s="113"/>
      <c r="G207" s="113"/>
      <c r="I207" s="113"/>
      <c r="P207" s="113"/>
      <c r="R207" s="491"/>
    </row>
    <row r="208" spans="5:18">
      <c r="E208" s="113"/>
      <c r="F208" s="113"/>
      <c r="G208" s="113"/>
      <c r="I208" s="113"/>
      <c r="P208" s="113"/>
      <c r="R208" s="491"/>
    </row>
    <row r="209" spans="5:18">
      <c r="E209" s="113"/>
      <c r="F209" s="113"/>
      <c r="G209" s="113"/>
      <c r="I209" s="113"/>
      <c r="P209" s="113"/>
      <c r="R209" s="491"/>
    </row>
    <row r="210" spans="5:18">
      <c r="E210" s="113"/>
      <c r="F210" s="113"/>
      <c r="G210" s="113"/>
      <c r="I210" s="113"/>
      <c r="P210" s="113"/>
      <c r="R210" s="491"/>
    </row>
    <row r="211" spans="5:18">
      <c r="E211" s="113"/>
      <c r="F211" s="113"/>
      <c r="G211" s="113"/>
      <c r="I211" s="113"/>
      <c r="P211" s="113"/>
      <c r="R211" s="491"/>
    </row>
    <row r="212" spans="5:18">
      <c r="E212" s="113"/>
      <c r="F212" s="113"/>
      <c r="G212" s="113"/>
      <c r="I212" s="113"/>
      <c r="P212" s="113"/>
      <c r="R212" s="491"/>
    </row>
    <row r="213" spans="5:18">
      <c r="E213" s="113"/>
      <c r="F213" s="113"/>
      <c r="G213" s="113"/>
      <c r="I213" s="113"/>
      <c r="P213" s="113"/>
      <c r="R213" s="491"/>
    </row>
    <row r="214" spans="5:18">
      <c r="E214" s="113"/>
      <c r="F214" s="113"/>
      <c r="G214" s="113"/>
      <c r="I214" s="113"/>
      <c r="P214" s="113"/>
      <c r="R214" s="491"/>
    </row>
    <row r="215" spans="5:18">
      <c r="E215" s="113"/>
      <c r="F215" s="113"/>
      <c r="G215" s="113"/>
      <c r="I215" s="113"/>
      <c r="P215" s="113"/>
      <c r="R215" s="491"/>
    </row>
    <row r="216" spans="5:18">
      <c r="E216" s="113"/>
      <c r="F216" s="113"/>
      <c r="G216" s="113"/>
      <c r="I216" s="113"/>
      <c r="P216" s="113"/>
      <c r="R216" s="491"/>
    </row>
    <row r="217" spans="5:18">
      <c r="E217" s="113"/>
      <c r="F217" s="113"/>
      <c r="G217" s="113"/>
      <c r="I217" s="113"/>
      <c r="P217" s="113"/>
      <c r="R217" s="491"/>
    </row>
    <row r="218" spans="5:18">
      <c r="E218" s="113"/>
      <c r="F218" s="113"/>
      <c r="G218" s="113"/>
      <c r="I218" s="113"/>
      <c r="P218" s="113"/>
      <c r="R218" s="491"/>
    </row>
    <row r="219" spans="5:18">
      <c r="E219" s="113"/>
      <c r="G219" s="113"/>
      <c r="I219" s="113"/>
      <c r="P219" s="113"/>
      <c r="R219" s="491"/>
    </row>
    <row r="220" spans="5:18">
      <c r="E220" s="113"/>
      <c r="G220" s="113"/>
      <c r="I220" s="113"/>
      <c r="P220" s="113"/>
      <c r="R220" s="491"/>
    </row>
    <row r="221" spans="5:18">
      <c r="I221" s="113"/>
      <c r="P221" s="113"/>
      <c r="R221" s="491"/>
    </row>
    <row r="222" spans="5:18">
      <c r="I222" s="113"/>
      <c r="P222" s="113"/>
      <c r="R222" s="491"/>
    </row>
    <row r="223" spans="5:18">
      <c r="I223" s="113"/>
      <c r="P223" s="113"/>
      <c r="R223" s="491"/>
    </row>
    <row r="224" spans="5:18">
      <c r="I224" s="113"/>
      <c r="P224" s="113"/>
      <c r="R224" s="491"/>
    </row>
    <row r="225" spans="9:16">
      <c r="I225" s="113"/>
      <c r="P225" s="113"/>
    </row>
    <row r="226" spans="9:16">
      <c r="I226" s="113"/>
      <c r="P226" s="113"/>
    </row>
    <row r="227" spans="9:16">
      <c r="I227" s="113"/>
      <c r="P227" s="113"/>
    </row>
    <row r="228" spans="9:16">
      <c r="I228" s="113"/>
      <c r="P228" s="113"/>
    </row>
    <row r="229" spans="9:16">
      <c r="I229" s="113"/>
      <c r="P229" s="113"/>
    </row>
    <row r="230" spans="9:16">
      <c r="I230" s="113"/>
      <c r="P230" s="113"/>
    </row>
    <row r="231" spans="9:16">
      <c r="I231" s="113"/>
      <c r="P231" s="113"/>
    </row>
    <row r="232" spans="9:16">
      <c r="I232" s="113"/>
      <c r="P232" s="113"/>
    </row>
    <row r="233" spans="9:16">
      <c r="I233" s="113"/>
      <c r="P233" s="113"/>
    </row>
    <row r="234" spans="9:16">
      <c r="I234" s="113"/>
      <c r="P234" s="113"/>
    </row>
    <row r="235" spans="9:16">
      <c r="I235" s="113"/>
      <c r="P235" s="113"/>
    </row>
    <row r="236" spans="9:16">
      <c r="I236" s="113"/>
      <c r="P236" s="113"/>
    </row>
    <row r="237" spans="9:16">
      <c r="I237" s="113"/>
      <c r="P237" s="113"/>
    </row>
    <row r="238" spans="9:16">
      <c r="I238" s="113"/>
      <c r="P238" s="113"/>
    </row>
    <row r="239" spans="9:16">
      <c r="I239" s="113"/>
      <c r="P239" s="113"/>
    </row>
    <row r="240" spans="9:16">
      <c r="I240" s="113"/>
      <c r="P240" s="113"/>
    </row>
    <row r="241" spans="9:16">
      <c r="I241" s="113"/>
      <c r="P241" s="113"/>
    </row>
    <row r="242" spans="9:16">
      <c r="I242" s="113"/>
      <c r="P242" s="113"/>
    </row>
    <row r="243" spans="9:16">
      <c r="I243" s="113"/>
      <c r="P243" s="113"/>
    </row>
    <row r="244" spans="9:16">
      <c r="I244" s="113"/>
      <c r="P244" s="113"/>
    </row>
    <row r="245" spans="9:16">
      <c r="I245" s="113"/>
      <c r="P245" s="113"/>
    </row>
    <row r="246" spans="9:16">
      <c r="I246" s="113"/>
      <c r="P246" s="113"/>
    </row>
    <row r="247" spans="9:16">
      <c r="I247" s="113"/>
      <c r="P247" s="113"/>
    </row>
    <row r="248" spans="9:16">
      <c r="I248" s="113"/>
      <c r="P248" s="113"/>
    </row>
    <row r="249" spans="9:16">
      <c r="I249" s="113"/>
      <c r="P249" s="113"/>
    </row>
    <row r="250" spans="9:16">
      <c r="I250" s="113"/>
      <c r="P250" s="113"/>
    </row>
    <row r="251" spans="9:16">
      <c r="I251" s="113"/>
      <c r="P251" s="113"/>
    </row>
    <row r="252" spans="9:16">
      <c r="I252" s="113"/>
      <c r="P252" s="113"/>
    </row>
    <row r="253" spans="9:16">
      <c r="I253" s="113"/>
      <c r="P253" s="113"/>
    </row>
    <row r="254" spans="9:16">
      <c r="I254" s="113"/>
      <c r="P254" s="113"/>
    </row>
    <row r="255" spans="9:16">
      <c r="I255" s="113"/>
      <c r="P255" s="113"/>
    </row>
    <row r="256" spans="9:16">
      <c r="I256" s="113"/>
      <c r="P256" s="113"/>
    </row>
    <row r="257" spans="9:16">
      <c r="I257" s="113"/>
      <c r="P257" s="113"/>
    </row>
    <row r="258" spans="9:16">
      <c r="I258" s="113"/>
      <c r="P258" s="113"/>
    </row>
    <row r="259" spans="9:16">
      <c r="I259" s="113"/>
      <c r="P259" s="113"/>
    </row>
    <row r="260" spans="9:16">
      <c r="I260" s="113"/>
      <c r="P260" s="113"/>
    </row>
    <row r="261" spans="9:16">
      <c r="I261" s="113"/>
      <c r="P261" s="113"/>
    </row>
    <row r="262" spans="9:16">
      <c r="I262" s="113"/>
      <c r="P262" s="113"/>
    </row>
    <row r="263" spans="9:16">
      <c r="I263" s="113"/>
      <c r="P263" s="113"/>
    </row>
    <row r="264" spans="9:16">
      <c r="I264" s="113"/>
      <c r="P264" s="113"/>
    </row>
    <row r="265" spans="9:16">
      <c r="I265" s="113"/>
      <c r="P265" s="113"/>
    </row>
    <row r="266" spans="9:16">
      <c r="I266" s="113"/>
      <c r="P266" s="113"/>
    </row>
    <row r="267" spans="9:16">
      <c r="I267" s="113"/>
      <c r="P267" s="113"/>
    </row>
    <row r="268" spans="9:16">
      <c r="I268" s="113"/>
      <c r="P268" s="113"/>
    </row>
    <row r="269" spans="9:16">
      <c r="I269" s="113"/>
      <c r="P269" s="113"/>
    </row>
    <row r="270" spans="9:16">
      <c r="I270" s="113"/>
      <c r="P270" s="113"/>
    </row>
    <row r="271" spans="9:16">
      <c r="I271" s="113"/>
      <c r="P271" s="113"/>
    </row>
    <row r="272" spans="9:16">
      <c r="I272" s="113"/>
      <c r="P272" s="113"/>
    </row>
    <row r="273" spans="9:16">
      <c r="I273" s="113"/>
      <c r="P273" s="113"/>
    </row>
    <row r="274" spans="9:16">
      <c r="I274" s="113"/>
      <c r="P274" s="113"/>
    </row>
    <row r="275" spans="9:16">
      <c r="I275" s="113"/>
      <c r="P275" s="113"/>
    </row>
    <row r="276" spans="9:16">
      <c r="I276" s="113"/>
      <c r="P276" s="113"/>
    </row>
    <row r="277" spans="9:16">
      <c r="I277" s="113"/>
      <c r="P277" s="113"/>
    </row>
    <row r="278" spans="9:16">
      <c r="I278" s="113"/>
      <c r="P278" s="113"/>
    </row>
    <row r="279" spans="9:16">
      <c r="I279" s="113"/>
      <c r="P279" s="113"/>
    </row>
    <row r="280" spans="9:16">
      <c r="I280" s="113"/>
      <c r="P280" s="113"/>
    </row>
    <row r="281" spans="9:16">
      <c r="I281" s="113"/>
      <c r="P281" s="113"/>
    </row>
    <row r="282" spans="9:16">
      <c r="I282" s="113"/>
      <c r="P282" s="113"/>
    </row>
    <row r="283" spans="9:16">
      <c r="I283" s="113"/>
      <c r="P283" s="113"/>
    </row>
    <row r="284" spans="9:16">
      <c r="I284" s="113"/>
      <c r="P284" s="113"/>
    </row>
    <row r="285" spans="9:16">
      <c r="I285" s="113"/>
      <c r="P285" s="113"/>
    </row>
    <row r="286" spans="9:16">
      <c r="I286" s="113"/>
      <c r="P286" s="113"/>
    </row>
    <row r="287" spans="9:16">
      <c r="I287" s="113"/>
      <c r="P287" s="113"/>
    </row>
    <row r="288" spans="9:16">
      <c r="I288" s="113"/>
      <c r="P288" s="113"/>
    </row>
    <row r="289" spans="9:16">
      <c r="I289" s="113"/>
      <c r="P289" s="113"/>
    </row>
    <row r="290" spans="9:16">
      <c r="I290" s="113"/>
      <c r="P290" s="113"/>
    </row>
    <row r="291" spans="9:16">
      <c r="I291" s="113"/>
      <c r="P291" s="113"/>
    </row>
    <row r="292" spans="9:16">
      <c r="I292" s="113"/>
      <c r="P292" s="113"/>
    </row>
    <row r="293" spans="9:16">
      <c r="I293" s="113"/>
      <c r="P293" s="113"/>
    </row>
    <row r="294" spans="9:16">
      <c r="I294" s="113"/>
      <c r="P294" s="113"/>
    </row>
    <row r="295" spans="9:16">
      <c r="I295" s="113"/>
      <c r="P295" s="113"/>
    </row>
    <row r="296" spans="9:16">
      <c r="I296" s="113"/>
      <c r="P296" s="113"/>
    </row>
    <row r="297" spans="9:16">
      <c r="I297" s="113"/>
      <c r="P297" s="113"/>
    </row>
    <row r="298" spans="9:16">
      <c r="I298" s="113"/>
      <c r="P298" s="113"/>
    </row>
    <row r="299" spans="9:16">
      <c r="I299" s="113"/>
      <c r="P299" s="113"/>
    </row>
    <row r="300" spans="9:16">
      <c r="I300" s="113"/>
      <c r="P300" s="113"/>
    </row>
    <row r="301" spans="9:16">
      <c r="I301" s="113"/>
      <c r="P301" s="113"/>
    </row>
    <row r="302" spans="9:16">
      <c r="I302" s="113"/>
      <c r="P302" s="113"/>
    </row>
    <row r="303" spans="9:16">
      <c r="I303" s="113"/>
      <c r="P303" s="113"/>
    </row>
    <row r="304" spans="9:16">
      <c r="I304" s="113"/>
      <c r="P304" s="113"/>
    </row>
    <row r="305" spans="9:16">
      <c r="I305" s="113"/>
      <c r="P305" s="113"/>
    </row>
    <row r="306" spans="9:16">
      <c r="I306" s="113"/>
      <c r="P306" s="113"/>
    </row>
    <row r="307" spans="9:16">
      <c r="I307" s="113"/>
      <c r="P307" s="113"/>
    </row>
    <row r="308" spans="9:16">
      <c r="I308" s="113"/>
      <c r="P308" s="113"/>
    </row>
    <row r="309" spans="9:16">
      <c r="I309" s="113"/>
      <c r="P309" s="113"/>
    </row>
    <row r="310" spans="9:16">
      <c r="I310" s="113"/>
      <c r="P310" s="113"/>
    </row>
    <row r="311" spans="9:16">
      <c r="I311" s="113"/>
      <c r="P311" s="113"/>
    </row>
    <row r="312" spans="9:16">
      <c r="I312" s="113"/>
      <c r="P312" s="113"/>
    </row>
    <row r="313" spans="9:16">
      <c r="I313" s="113"/>
      <c r="P313" s="113"/>
    </row>
    <row r="314" spans="9:16">
      <c r="I314" s="113"/>
      <c r="P314" s="113"/>
    </row>
    <row r="315" spans="9:16">
      <c r="I315" s="113"/>
      <c r="P315" s="113"/>
    </row>
    <row r="316" spans="9:16">
      <c r="I316" s="113"/>
      <c r="P316" s="113"/>
    </row>
    <row r="317" spans="9:16">
      <c r="I317" s="113"/>
      <c r="P317" s="113"/>
    </row>
    <row r="318" spans="9:16">
      <c r="I318" s="113"/>
      <c r="P318" s="113"/>
    </row>
    <row r="319" spans="9:16">
      <c r="I319" s="113"/>
      <c r="P319" s="113"/>
    </row>
    <row r="320" spans="9:16">
      <c r="I320" s="113"/>
      <c r="P320" s="113"/>
    </row>
    <row r="321" spans="9:16">
      <c r="I321" s="113"/>
      <c r="P321" s="113"/>
    </row>
    <row r="322" spans="9:16">
      <c r="I322" s="113"/>
      <c r="P322" s="113"/>
    </row>
    <row r="323" spans="9:16">
      <c r="I323" s="113"/>
      <c r="P323" s="113"/>
    </row>
    <row r="324" spans="9:16">
      <c r="I324" s="113"/>
      <c r="P324" s="113"/>
    </row>
    <row r="325" spans="9:16">
      <c r="I325" s="113"/>
      <c r="P325" s="113"/>
    </row>
    <row r="326" spans="9:16">
      <c r="I326" s="113"/>
      <c r="P326" s="113"/>
    </row>
    <row r="327" spans="9:16">
      <c r="I327" s="113"/>
      <c r="P327" s="113"/>
    </row>
    <row r="328" spans="9:16">
      <c r="I328" s="113"/>
      <c r="P328" s="113"/>
    </row>
    <row r="329" spans="9:16">
      <c r="I329" s="113"/>
      <c r="P329" s="113"/>
    </row>
    <row r="330" spans="9:16">
      <c r="I330" s="113"/>
      <c r="P330" s="113"/>
    </row>
    <row r="331" spans="9:16">
      <c r="I331" s="113"/>
      <c r="P331" s="113"/>
    </row>
    <row r="332" spans="9:16">
      <c r="I332" s="113"/>
      <c r="P332" s="113"/>
    </row>
    <row r="333" spans="9:16">
      <c r="I333" s="113"/>
      <c r="P333" s="113"/>
    </row>
    <row r="334" spans="9:16">
      <c r="I334" s="113"/>
      <c r="P334" s="113"/>
    </row>
    <row r="335" spans="9:16">
      <c r="I335" s="113"/>
      <c r="P335" s="113"/>
    </row>
    <row r="336" spans="9:16">
      <c r="I336" s="113"/>
      <c r="P336" s="113"/>
    </row>
    <row r="337" spans="9:16">
      <c r="I337" s="113"/>
      <c r="P337" s="113"/>
    </row>
    <row r="338" spans="9:16">
      <c r="I338" s="113"/>
      <c r="P338" s="113"/>
    </row>
    <row r="339" spans="9:16">
      <c r="I339" s="113"/>
      <c r="P339" s="113"/>
    </row>
    <row r="340" spans="9:16">
      <c r="I340" s="113"/>
      <c r="P340" s="113"/>
    </row>
    <row r="341" spans="9:16">
      <c r="I341" s="113"/>
      <c r="P341" s="113"/>
    </row>
    <row r="342" spans="9:16">
      <c r="I342" s="113"/>
      <c r="P342" s="113"/>
    </row>
    <row r="343" spans="9:16">
      <c r="I343" s="113"/>
      <c r="P343" s="113"/>
    </row>
    <row r="344" spans="9:16">
      <c r="I344" s="113"/>
      <c r="P344" s="113"/>
    </row>
    <row r="345" spans="9:16">
      <c r="I345" s="113"/>
      <c r="P345" s="113"/>
    </row>
    <row r="346" spans="9:16">
      <c r="I346" s="113"/>
      <c r="P346" s="113"/>
    </row>
    <row r="347" spans="9:16">
      <c r="I347" s="113"/>
      <c r="P347" s="113"/>
    </row>
    <row r="348" spans="9:16">
      <c r="I348" s="113"/>
      <c r="P348" s="113"/>
    </row>
    <row r="349" spans="9:16">
      <c r="I349" s="113"/>
      <c r="P349" s="113"/>
    </row>
    <row r="350" spans="9:16">
      <c r="I350" s="113"/>
      <c r="P350" s="113"/>
    </row>
    <row r="351" spans="9:16">
      <c r="I351" s="113"/>
      <c r="P351" s="113"/>
    </row>
    <row r="352" spans="9:16">
      <c r="I352" s="113"/>
      <c r="P352" s="113"/>
    </row>
    <row r="353" spans="9:16">
      <c r="I353" s="113"/>
      <c r="P353" s="113"/>
    </row>
    <row r="354" spans="9:16">
      <c r="I354" s="113"/>
      <c r="P354" s="113"/>
    </row>
    <row r="355" spans="9:16">
      <c r="I355" s="113"/>
      <c r="P355" s="113"/>
    </row>
    <row r="356" spans="9:16">
      <c r="I356" s="113"/>
      <c r="P356" s="113"/>
    </row>
    <row r="357" spans="9:16">
      <c r="I357" s="113"/>
      <c r="P357" s="113"/>
    </row>
    <row r="358" spans="9:16">
      <c r="I358" s="113"/>
      <c r="P358" s="113"/>
    </row>
    <row r="359" spans="9:16">
      <c r="I359" s="113"/>
      <c r="P359" s="113"/>
    </row>
    <row r="360" spans="9:16">
      <c r="I360" s="113"/>
      <c r="P360" s="113"/>
    </row>
    <row r="361" spans="9:16">
      <c r="I361" s="113"/>
      <c r="P361" s="113"/>
    </row>
    <row r="362" spans="9:16">
      <c r="I362" s="113"/>
      <c r="P362" s="113"/>
    </row>
    <row r="363" spans="9:16">
      <c r="I363" s="113"/>
      <c r="P363" s="113"/>
    </row>
    <row r="364" spans="9:16">
      <c r="I364" s="113"/>
      <c r="P364" s="113"/>
    </row>
    <row r="365" spans="9:16">
      <c r="I365" s="113"/>
      <c r="P365" s="113"/>
    </row>
    <row r="366" spans="9:16">
      <c r="I366" s="113"/>
      <c r="P366" s="113"/>
    </row>
    <row r="367" spans="9:16">
      <c r="I367" s="113"/>
      <c r="P367" s="113"/>
    </row>
    <row r="368" spans="9:16">
      <c r="I368" s="113"/>
      <c r="P368" s="113"/>
    </row>
    <row r="369" spans="9:16">
      <c r="I369" s="113"/>
      <c r="P369" s="113"/>
    </row>
    <row r="370" spans="9:16">
      <c r="I370" s="113"/>
      <c r="P370" s="113"/>
    </row>
    <row r="371" spans="9:16">
      <c r="I371" s="113"/>
      <c r="P371" s="113"/>
    </row>
    <row r="372" spans="9:16">
      <c r="I372" s="113"/>
      <c r="P372" s="113"/>
    </row>
    <row r="373" spans="9:16">
      <c r="I373" s="113"/>
      <c r="P373" s="113"/>
    </row>
    <row r="374" spans="9:16">
      <c r="I374" s="113"/>
      <c r="P374" s="113"/>
    </row>
    <row r="375" spans="9:16">
      <c r="I375" s="113"/>
      <c r="P375" s="113"/>
    </row>
    <row r="376" spans="9:16">
      <c r="I376" s="113"/>
      <c r="P376" s="113"/>
    </row>
    <row r="377" spans="9:16">
      <c r="I377" s="113"/>
      <c r="P377" s="113"/>
    </row>
    <row r="378" spans="9:16">
      <c r="I378" s="113"/>
      <c r="P378" s="113"/>
    </row>
    <row r="379" spans="9:16">
      <c r="I379" s="113"/>
      <c r="P379" s="113"/>
    </row>
    <row r="380" spans="9:16">
      <c r="I380" s="113"/>
      <c r="P380" s="113"/>
    </row>
    <row r="381" spans="9:16">
      <c r="I381" s="113"/>
      <c r="P381" s="113"/>
    </row>
    <row r="382" spans="9:16">
      <c r="I382" s="113"/>
      <c r="P382" s="113"/>
    </row>
    <row r="383" spans="9:16">
      <c r="I383" s="113"/>
      <c r="P383" s="113"/>
    </row>
    <row r="384" spans="9:16">
      <c r="I384" s="113"/>
      <c r="P384" s="113"/>
    </row>
    <row r="385" spans="9:16">
      <c r="I385" s="113"/>
      <c r="P385" s="113"/>
    </row>
    <row r="386" spans="9:16">
      <c r="I386" s="113"/>
      <c r="P386" s="113"/>
    </row>
    <row r="387" spans="9:16">
      <c r="I387" s="113"/>
      <c r="P387" s="113"/>
    </row>
    <row r="388" spans="9:16">
      <c r="I388" s="113"/>
      <c r="P388" s="113"/>
    </row>
    <row r="389" spans="9:16">
      <c r="I389" s="113"/>
      <c r="P389" s="113"/>
    </row>
    <row r="390" spans="9:16">
      <c r="I390" s="113"/>
      <c r="P390" s="113"/>
    </row>
    <row r="391" spans="9:16">
      <c r="I391" s="113"/>
      <c r="P391" s="113"/>
    </row>
    <row r="392" spans="9:16">
      <c r="I392" s="113"/>
      <c r="P392" s="113"/>
    </row>
    <row r="393" spans="9:16">
      <c r="I393" s="113"/>
      <c r="P393" s="113"/>
    </row>
    <row r="394" spans="9:16">
      <c r="I394" s="113"/>
      <c r="P394" s="113"/>
    </row>
    <row r="395" spans="9:16">
      <c r="I395" s="113"/>
      <c r="P395" s="113"/>
    </row>
    <row r="396" spans="9:16">
      <c r="I396" s="113"/>
      <c r="P396" s="113"/>
    </row>
    <row r="397" spans="9:16">
      <c r="I397" s="113"/>
      <c r="P397" s="113"/>
    </row>
    <row r="398" spans="9:16">
      <c r="I398" s="113"/>
      <c r="P398" s="113"/>
    </row>
    <row r="399" spans="9:16">
      <c r="I399" s="113"/>
      <c r="P399" s="113"/>
    </row>
    <row r="400" spans="9:16">
      <c r="I400" s="113"/>
      <c r="P400" s="113"/>
    </row>
    <row r="401" spans="9:16">
      <c r="I401" s="113"/>
      <c r="P401" s="113"/>
    </row>
    <row r="402" spans="9:16">
      <c r="I402" s="113"/>
      <c r="P402" s="113"/>
    </row>
    <row r="403" spans="9:16">
      <c r="I403" s="113"/>
      <c r="P403" s="113"/>
    </row>
    <row r="404" spans="9:16">
      <c r="I404" s="113"/>
      <c r="P404" s="113"/>
    </row>
    <row r="405" spans="9:16">
      <c r="I405" s="113"/>
      <c r="P405" s="113"/>
    </row>
    <row r="406" spans="9:16">
      <c r="I406" s="113"/>
      <c r="P406" s="113"/>
    </row>
    <row r="407" spans="9:16">
      <c r="I407" s="113"/>
      <c r="P407" s="113"/>
    </row>
    <row r="408" spans="9:16">
      <c r="I408" s="113"/>
      <c r="P408" s="113"/>
    </row>
    <row r="409" spans="9:16">
      <c r="I409" s="113"/>
      <c r="P409" s="113"/>
    </row>
    <row r="410" spans="9:16">
      <c r="I410" s="113"/>
      <c r="P410" s="113"/>
    </row>
    <row r="411" spans="9:16">
      <c r="I411" s="113"/>
      <c r="P411" s="113"/>
    </row>
    <row r="412" spans="9:16">
      <c r="I412" s="113"/>
      <c r="P412" s="113"/>
    </row>
    <row r="413" spans="9:16">
      <c r="I413" s="113"/>
      <c r="P413" s="113"/>
    </row>
    <row r="414" spans="9:16">
      <c r="I414" s="113"/>
      <c r="P414" s="113"/>
    </row>
    <row r="415" spans="9:16">
      <c r="I415" s="113"/>
      <c r="P415" s="113"/>
    </row>
    <row r="416" spans="9:16">
      <c r="I416" s="113"/>
      <c r="P416" s="113"/>
    </row>
    <row r="417" spans="9:16">
      <c r="I417" s="113"/>
      <c r="P417" s="113"/>
    </row>
    <row r="418" spans="9:16">
      <c r="I418" s="113"/>
      <c r="P418" s="113"/>
    </row>
    <row r="419" spans="9:16">
      <c r="I419" s="113"/>
      <c r="P419" s="113"/>
    </row>
    <row r="420" spans="9:16">
      <c r="P420" s="113"/>
    </row>
    <row r="421" spans="9:16">
      <c r="P421" s="113"/>
    </row>
    <row r="422" spans="9:16">
      <c r="P422" s="113"/>
    </row>
    <row r="423" spans="9:16">
      <c r="P423" s="113"/>
    </row>
    <row r="424" spans="9:16">
      <c r="P424" s="113"/>
    </row>
    <row r="425" spans="9:16">
      <c r="P425" s="113"/>
    </row>
    <row r="426" spans="9:16">
      <c r="P426" s="113"/>
    </row>
    <row r="427" spans="9:16">
      <c r="P427" s="113"/>
    </row>
    <row r="428" spans="9:16">
      <c r="P428" s="113"/>
    </row>
    <row r="429" spans="9:16">
      <c r="P429" s="113"/>
    </row>
    <row r="430" spans="9:16">
      <c r="P430" s="113"/>
    </row>
    <row r="431" spans="9:16">
      <c r="P431" s="113"/>
    </row>
    <row r="432" spans="9:16">
      <c r="P432" s="113"/>
    </row>
    <row r="433" spans="16:16">
      <c r="P433" s="113"/>
    </row>
    <row r="434" spans="16:16">
      <c r="P434" s="113"/>
    </row>
    <row r="435" spans="16:16">
      <c r="P435" s="113"/>
    </row>
    <row r="436" spans="16:16">
      <c r="P436" s="113"/>
    </row>
    <row r="437" spans="16:16">
      <c r="P437" s="113"/>
    </row>
    <row r="438" spans="16:16">
      <c r="P438" s="113"/>
    </row>
    <row r="439" spans="16:16">
      <c r="P439" s="113"/>
    </row>
    <row r="440" spans="16:16">
      <c r="P440" s="113"/>
    </row>
    <row r="441" spans="16:16">
      <c r="P441" s="113"/>
    </row>
    <row r="442" spans="16:16">
      <c r="P442" s="113"/>
    </row>
    <row r="443" spans="16:16">
      <c r="P443" s="113"/>
    </row>
    <row r="444" spans="16:16">
      <c r="P444" s="113"/>
    </row>
    <row r="445" spans="16:16">
      <c r="P445" s="113"/>
    </row>
    <row r="446" spans="16:16">
      <c r="P446" s="113"/>
    </row>
    <row r="447" spans="16:16">
      <c r="P447" s="113"/>
    </row>
    <row r="448" spans="16:16">
      <c r="P448" s="113"/>
    </row>
    <row r="449" spans="16:16">
      <c r="P449" s="113"/>
    </row>
    <row r="450" spans="16:16">
      <c r="P450" s="113"/>
    </row>
    <row r="451" spans="16:16">
      <c r="P451" s="113"/>
    </row>
    <row r="452" spans="16:16">
      <c r="P452" s="113"/>
    </row>
    <row r="453" spans="16:16">
      <c r="P453" s="113"/>
    </row>
    <row r="454" spans="16:16">
      <c r="P454" s="113"/>
    </row>
    <row r="455" spans="16:16">
      <c r="P455" s="113"/>
    </row>
    <row r="456" spans="16:16">
      <c r="P456" s="113"/>
    </row>
    <row r="457" spans="16:16">
      <c r="P457" s="113"/>
    </row>
    <row r="458" spans="16:16">
      <c r="P458" s="113"/>
    </row>
    <row r="459" spans="16:16">
      <c r="P459" s="113"/>
    </row>
    <row r="460" spans="16:16">
      <c r="P460" s="113"/>
    </row>
    <row r="461" spans="16:16">
      <c r="P461" s="113"/>
    </row>
    <row r="462" spans="16:16">
      <c r="P462" s="113"/>
    </row>
    <row r="463" spans="16:16">
      <c r="P463" s="113"/>
    </row>
    <row r="464" spans="16:16">
      <c r="P464" s="113"/>
    </row>
    <row r="465" spans="16:16">
      <c r="P465" s="113"/>
    </row>
    <row r="466" spans="16:16">
      <c r="P466" s="113"/>
    </row>
    <row r="467" spans="16:16">
      <c r="P467" s="113"/>
    </row>
    <row r="468" spans="16:16">
      <c r="P468" s="113"/>
    </row>
    <row r="469" spans="16:16">
      <c r="P469" s="113"/>
    </row>
    <row r="470" spans="16:16">
      <c r="P470" s="113"/>
    </row>
    <row r="471" spans="16:16">
      <c r="P471" s="113"/>
    </row>
    <row r="472" spans="16:16">
      <c r="P472" s="113"/>
    </row>
    <row r="473" spans="16:16">
      <c r="P473" s="113"/>
    </row>
    <row r="474" spans="16:16">
      <c r="P474" s="113"/>
    </row>
    <row r="475" spans="16:16">
      <c r="P475" s="113"/>
    </row>
    <row r="476" spans="16:16">
      <c r="P476" s="113"/>
    </row>
    <row r="477" spans="16:16">
      <c r="P477" s="113"/>
    </row>
    <row r="478" spans="16:16">
      <c r="P478" s="113"/>
    </row>
    <row r="479" spans="16:16">
      <c r="P479" s="113"/>
    </row>
    <row r="480" spans="16:16">
      <c r="P480" s="113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P1"/>
    </sheetView>
  </sheetViews>
  <sheetFormatPr defaultRowHeight="12.75"/>
  <cols>
    <col min="1" max="1" width="1.42578125" style="71" customWidth="1"/>
    <col min="2" max="2" width="33.7109375" style="71" customWidth="1"/>
    <col min="3" max="3" width="0.7109375" style="71" customWidth="1"/>
    <col min="4" max="4" width="13.7109375" style="71" customWidth="1"/>
    <col min="5" max="6" width="15.140625" style="71" bestFit="1" customWidth="1"/>
    <col min="7" max="7" width="16.28515625" style="71" bestFit="1" customWidth="1"/>
    <col min="8" max="8" width="15.5703125" style="71" bestFit="1" customWidth="1"/>
    <col min="9" max="9" width="12" style="71" customWidth="1"/>
    <col min="10" max="10" width="13.7109375" style="71" bestFit="1" customWidth="1"/>
    <col min="11" max="11" width="13.42578125" style="71" bestFit="1" customWidth="1"/>
    <col min="12" max="14" width="11.85546875" style="71" bestFit="1" customWidth="1"/>
    <col min="15" max="15" width="10.85546875" style="71" bestFit="1" customWidth="1"/>
    <col min="16" max="16" width="13.5703125" style="71" bestFit="1" customWidth="1"/>
    <col min="17" max="17" width="3.42578125" style="71" bestFit="1" customWidth="1"/>
    <col min="18" max="18" width="10.85546875" style="71" bestFit="1" customWidth="1"/>
    <col min="19" max="19" width="6.140625" style="71" bestFit="1" customWidth="1"/>
    <col min="20" max="16384" width="9.140625" style="71"/>
  </cols>
  <sheetData>
    <row r="1" spans="1:19">
      <c r="B1" s="513" t="s">
        <v>227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</row>
    <row r="2" spans="1:19" ht="20.25">
      <c r="B2" s="515" t="s">
        <v>397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</row>
    <row r="3" spans="1:19" ht="23.25">
      <c r="B3" s="516" t="s">
        <v>478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9">
      <c r="B4" s="440"/>
      <c r="C4" s="441"/>
    </row>
    <row r="5" spans="1:19">
      <c r="B5" s="440"/>
      <c r="C5" s="441"/>
      <c r="D5" s="358"/>
    </row>
    <row r="6" spans="1:19">
      <c r="K6" s="185"/>
    </row>
    <row r="7" spans="1:19" ht="29.25" customHeight="1">
      <c r="A7" s="520" t="s">
        <v>398</v>
      </c>
      <c r="B7" s="520"/>
      <c r="C7" s="261"/>
      <c r="D7" s="320">
        <v>43131</v>
      </c>
      <c r="E7" s="320">
        <f>EOMONTH(D7,1)</f>
        <v>43159</v>
      </c>
      <c r="F7" s="320">
        <f t="shared" ref="F7:O7" si="0">EOMONTH(E7,1)</f>
        <v>43190</v>
      </c>
      <c r="G7" s="320">
        <f t="shared" si="0"/>
        <v>43220</v>
      </c>
      <c r="H7" s="320">
        <f t="shared" si="0"/>
        <v>43251</v>
      </c>
      <c r="I7" s="320">
        <f t="shared" si="0"/>
        <v>43281</v>
      </c>
      <c r="J7" s="320">
        <f t="shared" si="0"/>
        <v>43312</v>
      </c>
      <c r="K7" s="320">
        <f t="shared" si="0"/>
        <v>43343</v>
      </c>
      <c r="L7" s="320">
        <f t="shared" si="0"/>
        <v>43373</v>
      </c>
      <c r="M7" s="320">
        <f t="shared" si="0"/>
        <v>43404</v>
      </c>
      <c r="N7" s="320">
        <f t="shared" si="0"/>
        <v>43434</v>
      </c>
      <c r="O7" s="320">
        <f t="shared" si="0"/>
        <v>43465</v>
      </c>
      <c r="P7" s="378" t="s">
        <v>399</v>
      </c>
    </row>
    <row r="8" spans="1:19" ht="20.100000000000001" customHeight="1">
      <c r="B8" s="442" t="s">
        <v>374</v>
      </c>
      <c r="C8" s="443"/>
      <c r="D8" s="444">
        <f>'Input Tab'!C79</f>
        <v>297624</v>
      </c>
      <c r="E8" s="444">
        <f>'Input Tab'!D79</f>
        <v>260888</v>
      </c>
      <c r="F8" s="444">
        <f>'Input Tab'!E79</f>
        <v>262754</v>
      </c>
      <c r="G8" s="444">
        <f>'Input Tab'!F79</f>
        <v>0</v>
      </c>
      <c r="H8" s="444">
        <f>'Input Tab'!G79</f>
        <v>0</v>
      </c>
      <c r="I8" s="444">
        <f>'Input Tab'!H79</f>
        <v>0</v>
      </c>
      <c r="J8" s="444">
        <f>'Input Tab'!I79</f>
        <v>0</v>
      </c>
      <c r="K8" s="444">
        <f>'Input Tab'!J79</f>
        <v>0</v>
      </c>
      <c r="L8" s="444">
        <f>'Input Tab'!K79</f>
        <v>0</v>
      </c>
      <c r="M8" s="444">
        <f>'Input Tab'!L79</f>
        <v>0</v>
      </c>
      <c r="N8" s="444">
        <f>'Input Tab'!M79</f>
        <v>0</v>
      </c>
      <c r="O8" s="444">
        <f>'Input Tab'!N79</f>
        <v>0</v>
      </c>
      <c r="P8" s="231">
        <f t="shared" ref="P8:P13" si="1">SUM(D8:O8)</f>
        <v>821266</v>
      </c>
      <c r="R8" s="358"/>
    </row>
    <row r="9" spans="1:19" ht="20.100000000000001" customHeight="1">
      <c r="B9" s="442" t="s">
        <v>400</v>
      </c>
      <c r="C9" s="443"/>
      <c r="D9" s="444">
        <f>-131339705/1000</f>
        <v>-131340</v>
      </c>
      <c r="E9" s="445">
        <f>IF(E8=0,0,-D10)</f>
        <v>-107600</v>
      </c>
      <c r="F9" s="445">
        <f t="shared" ref="F9:O9" si="2">IF(F8=0,0,-E10)</f>
        <v>-108135</v>
      </c>
      <c r="G9" s="445">
        <f t="shared" si="2"/>
        <v>0</v>
      </c>
      <c r="H9" s="445">
        <f t="shared" si="2"/>
        <v>0</v>
      </c>
      <c r="I9" s="445">
        <f t="shared" si="2"/>
        <v>0</v>
      </c>
      <c r="J9" s="445">
        <f t="shared" si="2"/>
        <v>0</v>
      </c>
      <c r="K9" s="445">
        <f t="shared" si="2"/>
        <v>0</v>
      </c>
      <c r="L9" s="445">
        <f t="shared" si="2"/>
        <v>0</v>
      </c>
      <c r="M9" s="445">
        <f t="shared" si="2"/>
        <v>0</v>
      </c>
      <c r="N9" s="445">
        <f t="shared" si="2"/>
        <v>0</v>
      </c>
      <c r="O9" s="445">
        <f t="shared" si="2"/>
        <v>0</v>
      </c>
      <c r="P9" s="231">
        <f t="shared" si="1"/>
        <v>-347075</v>
      </c>
    </row>
    <row r="10" spans="1:19" ht="20.100000000000001" customHeight="1">
      <c r="B10" s="442" t="s">
        <v>401</v>
      </c>
      <c r="C10" s="443"/>
      <c r="D10" s="444">
        <f>'Input Tab'!C80</f>
        <v>107600</v>
      </c>
      <c r="E10" s="444">
        <f>'Input Tab'!D80</f>
        <v>108135</v>
      </c>
      <c r="F10" s="444">
        <f>'Input Tab'!E80</f>
        <v>103776</v>
      </c>
      <c r="G10" s="444">
        <f>'Input Tab'!F80</f>
        <v>0</v>
      </c>
      <c r="H10" s="444">
        <f>'Input Tab'!G80</f>
        <v>0</v>
      </c>
      <c r="I10" s="444">
        <f>'Input Tab'!H80</f>
        <v>0</v>
      </c>
      <c r="J10" s="444">
        <f>'Input Tab'!I80</f>
        <v>0</v>
      </c>
      <c r="K10" s="444">
        <f>'Input Tab'!J80</f>
        <v>0</v>
      </c>
      <c r="L10" s="444">
        <f>'Input Tab'!K80</f>
        <v>0</v>
      </c>
      <c r="M10" s="444">
        <f>'Input Tab'!L80</f>
        <v>0</v>
      </c>
      <c r="N10" s="444">
        <f>'Input Tab'!M80</f>
        <v>0</v>
      </c>
      <c r="O10" s="444">
        <f>'Input Tab'!N80</f>
        <v>0</v>
      </c>
      <c r="P10" s="231">
        <f t="shared" si="1"/>
        <v>319511</v>
      </c>
    </row>
    <row r="11" spans="1:19" ht="26.25" customHeight="1">
      <c r="B11" s="446" t="s">
        <v>411</v>
      </c>
      <c r="C11" s="194"/>
      <c r="D11" s="232">
        <f t="shared" ref="D11:O11" si="3">SUM(D8:D10)</f>
        <v>273884</v>
      </c>
      <c r="E11" s="232">
        <f t="shared" si="3"/>
        <v>261423</v>
      </c>
      <c r="F11" s="232">
        <f t="shared" si="3"/>
        <v>258395</v>
      </c>
      <c r="G11" s="232">
        <f t="shared" si="3"/>
        <v>0</v>
      </c>
      <c r="H11" s="232">
        <f t="shared" si="3"/>
        <v>0</v>
      </c>
      <c r="I11" s="232">
        <f>SUM(I8:I10)</f>
        <v>0</v>
      </c>
      <c r="J11" s="232">
        <f t="shared" si="3"/>
        <v>0</v>
      </c>
      <c r="K11" s="232">
        <f t="shared" si="3"/>
        <v>0</v>
      </c>
      <c r="L11" s="232">
        <f t="shared" si="3"/>
        <v>0</v>
      </c>
      <c r="M11" s="232">
        <f t="shared" si="3"/>
        <v>0</v>
      </c>
      <c r="N11" s="232">
        <f t="shared" si="3"/>
        <v>0</v>
      </c>
      <c r="O11" s="232">
        <f t="shared" si="3"/>
        <v>0</v>
      </c>
      <c r="P11" s="447">
        <f t="shared" si="1"/>
        <v>793702</v>
      </c>
      <c r="Q11" s="448" t="s">
        <v>30</v>
      </c>
      <c r="R11" s="358"/>
      <c r="S11" s="52"/>
    </row>
    <row r="12" spans="1:19" ht="26.25" customHeight="1">
      <c r="B12" s="446" t="s">
        <v>416</v>
      </c>
      <c r="C12" s="194"/>
      <c r="D12" s="449">
        <f>'Input Tab'!C81</f>
        <v>294914</v>
      </c>
      <c r="E12" s="449">
        <f>'Input Tab'!D81</f>
        <v>261971</v>
      </c>
      <c r="F12" s="449">
        <f>'Input Tab'!E81</f>
        <v>251422</v>
      </c>
      <c r="G12" s="449">
        <f>'Input Tab'!F81</f>
        <v>228917</v>
      </c>
      <c r="H12" s="449">
        <f>'Input Tab'!G81</f>
        <v>211441</v>
      </c>
      <c r="I12" s="449">
        <f>'Input Tab'!H81</f>
        <v>204736</v>
      </c>
      <c r="J12" s="449">
        <f>'Input Tab'!I81</f>
        <v>252026</v>
      </c>
      <c r="K12" s="449">
        <f>'Input Tab'!J81</f>
        <v>245232</v>
      </c>
      <c r="L12" s="449">
        <f>'Input Tab'!K81</f>
        <v>206024</v>
      </c>
      <c r="M12" s="449">
        <f>'Input Tab'!L81</f>
        <v>240501</v>
      </c>
      <c r="N12" s="449">
        <f>'Input Tab'!M81</f>
        <v>257717</v>
      </c>
      <c r="O12" s="449">
        <f>'Input Tab'!N81</f>
        <v>298131</v>
      </c>
      <c r="P12" s="447">
        <f>SUM(D12:F12)</f>
        <v>808307</v>
      </c>
      <c r="Q12" s="448"/>
      <c r="R12" s="358" t="s">
        <v>429</v>
      </c>
      <c r="S12" s="52"/>
    </row>
    <row r="13" spans="1:19" ht="27.75" customHeight="1">
      <c r="B13" s="259" t="s">
        <v>402</v>
      </c>
      <c r="C13" s="194"/>
      <c r="D13" s="233">
        <f>IF(D11=0," ",D11-D12)</f>
        <v>-21030</v>
      </c>
      <c r="E13" s="233">
        <f t="shared" ref="E13:O13" si="4">IF(E11=0," ",E11-E12)</f>
        <v>-548</v>
      </c>
      <c r="F13" s="233">
        <f t="shared" si="4"/>
        <v>6973</v>
      </c>
      <c r="G13" s="233" t="str">
        <f t="shared" si="4"/>
        <v xml:space="preserve"> </v>
      </c>
      <c r="H13" s="233" t="str">
        <f t="shared" si="4"/>
        <v xml:space="preserve"> </v>
      </c>
      <c r="I13" s="233" t="str">
        <f>IF(I11=0," ",I11-I12)</f>
        <v xml:space="preserve"> </v>
      </c>
      <c r="J13" s="233" t="str">
        <f t="shared" si="4"/>
        <v xml:space="preserve"> </v>
      </c>
      <c r="K13" s="233" t="str">
        <f t="shared" si="4"/>
        <v xml:space="preserve"> </v>
      </c>
      <c r="L13" s="233" t="str">
        <f t="shared" si="4"/>
        <v xml:space="preserve"> </v>
      </c>
      <c r="M13" s="233" t="str">
        <f t="shared" si="4"/>
        <v xml:space="preserve"> </v>
      </c>
      <c r="N13" s="233" t="str">
        <f t="shared" si="4"/>
        <v xml:space="preserve"> </v>
      </c>
      <c r="O13" s="233" t="str">
        <f t="shared" si="4"/>
        <v xml:space="preserve"> </v>
      </c>
      <c r="P13" s="447">
        <f t="shared" si="1"/>
        <v>-14605</v>
      </c>
    </row>
    <row r="14" spans="1:19" ht="30.75" customHeight="1">
      <c r="B14" s="450" t="s">
        <v>403</v>
      </c>
      <c r="C14" s="442"/>
      <c r="D14" s="451">
        <f>'Input Tab'!C83</f>
        <v>24.73</v>
      </c>
      <c r="E14" s="451">
        <f>'Input Tab'!D83</f>
        <v>24.73</v>
      </c>
      <c r="F14" s="451">
        <f>'Input Tab'!E83</f>
        <v>24.73</v>
      </c>
      <c r="G14" s="451">
        <f>'Input Tab'!F83</f>
        <v>24.73</v>
      </c>
      <c r="H14" s="451">
        <f>'Input Tab'!G83</f>
        <v>24.73</v>
      </c>
      <c r="I14" s="451">
        <f>'Input Tab'!H83</f>
        <v>24.73</v>
      </c>
      <c r="J14" s="451">
        <f>'Input Tab'!I83</f>
        <v>24.73</v>
      </c>
      <c r="K14" s="451">
        <f>'Input Tab'!J83</f>
        <v>24.73</v>
      </c>
      <c r="L14" s="451">
        <f>'Input Tab'!K83</f>
        <v>24.73</v>
      </c>
      <c r="M14" s="451">
        <f>'Input Tab'!L83</f>
        <v>24.73</v>
      </c>
      <c r="N14" s="451">
        <f>'Input Tab'!M83</f>
        <v>24.73</v>
      </c>
      <c r="O14" s="451">
        <f>'Input Tab'!N83</f>
        <v>24.73</v>
      </c>
      <c r="P14" s="452"/>
    </row>
    <row r="15" spans="1:19" ht="31.5" customHeight="1" thickBot="1">
      <c r="B15" s="453" t="s">
        <v>417</v>
      </c>
      <c r="C15" s="454"/>
      <c r="D15" s="207">
        <f>IF(D11=0," ",D13*D14)</f>
        <v>-520072</v>
      </c>
      <c r="E15" s="207">
        <f t="shared" ref="E15:O15" si="5">IF(E11=0," ",E13*E14)</f>
        <v>-13552</v>
      </c>
      <c r="F15" s="207">
        <f t="shared" si="5"/>
        <v>172442</v>
      </c>
      <c r="G15" s="207" t="str">
        <f t="shared" si="5"/>
        <v xml:space="preserve"> </v>
      </c>
      <c r="H15" s="207" t="str">
        <f t="shared" si="5"/>
        <v xml:space="preserve"> </v>
      </c>
      <c r="I15" s="207" t="str">
        <f>IF(I11=0," ",I13*I14)</f>
        <v xml:space="preserve"> </v>
      </c>
      <c r="J15" s="207" t="str">
        <f t="shared" si="5"/>
        <v xml:space="preserve"> </v>
      </c>
      <c r="K15" s="207" t="str">
        <f t="shared" si="5"/>
        <v xml:space="preserve"> </v>
      </c>
      <c r="L15" s="207" t="str">
        <f t="shared" si="5"/>
        <v xml:space="preserve"> </v>
      </c>
      <c r="M15" s="207" t="str">
        <f t="shared" si="5"/>
        <v xml:space="preserve"> </v>
      </c>
      <c r="N15" s="207" t="str">
        <f t="shared" si="5"/>
        <v xml:space="preserve"> </v>
      </c>
      <c r="O15" s="207" t="str">
        <f t="shared" si="5"/>
        <v xml:space="preserve"> </v>
      </c>
      <c r="P15" s="428">
        <f>SUM(D15:O15)</f>
        <v>-361182</v>
      </c>
    </row>
    <row r="16" spans="1:19" ht="32.25" customHeight="1" thickTop="1">
      <c r="B16" s="185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</row>
    <row r="17" spans="1:18" ht="29.25" customHeight="1">
      <c r="A17" s="455"/>
      <c r="B17" s="455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394"/>
    </row>
    <row r="18" spans="1:18" s="73" customFormat="1" ht="25.5">
      <c r="B18" s="318" t="s">
        <v>405</v>
      </c>
      <c r="C18" s="436"/>
      <c r="D18" s="457">
        <f>D7</f>
        <v>43131</v>
      </c>
      <c r="E18" s="457">
        <f t="shared" ref="E18:O18" si="6">E7</f>
        <v>43159</v>
      </c>
      <c r="F18" s="457">
        <f t="shared" si="6"/>
        <v>43190</v>
      </c>
      <c r="G18" s="457">
        <f t="shared" si="6"/>
        <v>43220</v>
      </c>
      <c r="H18" s="457">
        <f t="shared" si="6"/>
        <v>43251</v>
      </c>
      <c r="I18" s="457">
        <f t="shared" si="6"/>
        <v>43281</v>
      </c>
      <c r="J18" s="457">
        <f t="shared" si="6"/>
        <v>43312</v>
      </c>
      <c r="K18" s="457">
        <f t="shared" si="6"/>
        <v>43343</v>
      </c>
      <c r="L18" s="457">
        <f t="shared" si="6"/>
        <v>43373</v>
      </c>
      <c r="M18" s="457">
        <f t="shared" si="6"/>
        <v>43404</v>
      </c>
      <c r="N18" s="457">
        <f t="shared" si="6"/>
        <v>43434</v>
      </c>
      <c r="O18" s="457">
        <f t="shared" si="6"/>
        <v>43465</v>
      </c>
      <c r="P18" s="458" t="s">
        <v>399</v>
      </c>
    </row>
    <row r="19" spans="1:18" s="73" customFormat="1" ht="27" customHeight="1">
      <c r="B19" s="459" t="s">
        <v>406</v>
      </c>
      <c r="D19" s="234">
        <f t="shared" ref="D19:O19" si="7">IF(D8=0,0,-D15)</f>
        <v>520072</v>
      </c>
      <c r="E19" s="234">
        <f t="shared" si="7"/>
        <v>13552</v>
      </c>
      <c r="F19" s="234">
        <f t="shared" si="7"/>
        <v>-172442</v>
      </c>
      <c r="G19" s="234">
        <f t="shared" si="7"/>
        <v>0</v>
      </c>
      <c r="H19" s="234">
        <f t="shared" si="7"/>
        <v>0</v>
      </c>
      <c r="I19" s="234">
        <f t="shared" si="7"/>
        <v>0</v>
      </c>
      <c r="J19" s="234">
        <f t="shared" si="7"/>
        <v>0</v>
      </c>
      <c r="K19" s="234">
        <f t="shared" si="7"/>
        <v>0</v>
      </c>
      <c r="L19" s="234">
        <f t="shared" si="7"/>
        <v>0</v>
      </c>
      <c r="M19" s="234">
        <f t="shared" si="7"/>
        <v>0</v>
      </c>
      <c r="N19" s="234">
        <f t="shared" si="7"/>
        <v>0</v>
      </c>
      <c r="O19" s="234">
        <f t="shared" si="7"/>
        <v>0</v>
      </c>
      <c r="P19" s="234">
        <f>SUM(D19:O19)</f>
        <v>361182</v>
      </c>
    </row>
    <row r="20" spans="1:18" s="73" customFormat="1" ht="21.75" customHeight="1">
      <c r="B20" s="459"/>
      <c r="D20" s="460" t="str">
        <f>IF(D19&lt;0,"Rebate","Surcharge")</f>
        <v>Surcharge</v>
      </c>
      <c r="E20" s="460" t="str">
        <f t="shared" ref="E20:P20" si="8">IF(E19&lt;0,"Rebate","Surcharge")</f>
        <v>Surcharge</v>
      </c>
      <c r="F20" s="460" t="str">
        <f t="shared" si="8"/>
        <v>Rebate</v>
      </c>
      <c r="G20" s="460" t="str">
        <f t="shared" si="8"/>
        <v>Surcharge</v>
      </c>
      <c r="H20" s="460" t="str">
        <f t="shared" si="8"/>
        <v>Surcharge</v>
      </c>
      <c r="I20" s="460" t="str">
        <f t="shared" si="8"/>
        <v>Surcharge</v>
      </c>
      <c r="J20" s="460" t="str">
        <f t="shared" si="8"/>
        <v>Surcharge</v>
      </c>
      <c r="K20" s="460" t="str">
        <f t="shared" si="8"/>
        <v>Surcharge</v>
      </c>
      <c r="L20" s="460" t="str">
        <f t="shared" si="8"/>
        <v>Surcharge</v>
      </c>
      <c r="M20" s="460" t="str">
        <f t="shared" si="8"/>
        <v>Surcharge</v>
      </c>
      <c r="N20" s="460" t="str">
        <f t="shared" si="8"/>
        <v>Surcharge</v>
      </c>
      <c r="O20" s="460" t="str">
        <f t="shared" si="8"/>
        <v>Surcharge</v>
      </c>
      <c r="P20" s="460" t="str">
        <f t="shared" si="8"/>
        <v>Surcharge</v>
      </c>
    </row>
    <row r="21" spans="1:18" s="73" customFormat="1" ht="20.100000000000001" hidden="1" customHeight="1">
      <c r="B21" s="461" t="s">
        <v>407</v>
      </c>
      <c r="D21" s="234" t="e">
        <f>-#REF!</f>
        <v>#REF!</v>
      </c>
      <c r="E21" s="234" t="e">
        <f>-#REF!</f>
        <v>#REF!</v>
      </c>
      <c r="F21" s="234" t="e">
        <f>-#REF!</f>
        <v>#REF!</v>
      </c>
      <c r="G21" s="234" t="e">
        <f>-#REF!</f>
        <v>#REF!</v>
      </c>
      <c r="H21" s="234" t="e">
        <f>-#REF!</f>
        <v>#REF!</v>
      </c>
      <c r="I21" s="234" t="e">
        <f>-#REF!</f>
        <v>#REF!</v>
      </c>
      <c r="J21" s="234" t="e">
        <f>-#REF!</f>
        <v>#REF!</v>
      </c>
      <c r="K21" s="234" t="e">
        <f>-#REF!</f>
        <v>#REF!</v>
      </c>
      <c r="L21" s="234" t="e">
        <f>-#REF!</f>
        <v>#REF!</v>
      </c>
      <c r="M21" s="234" t="e">
        <f>-#REF!</f>
        <v>#REF!</v>
      </c>
      <c r="N21" s="234" t="e">
        <f>-#REF!</f>
        <v>#REF!</v>
      </c>
      <c r="O21" s="234" t="e">
        <f>-#REF!</f>
        <v>#REF!</v>
      </c>
      <c r="P21" s="234" t="e">
        <f>-#REF!</f>
        <v>#REF!</v>
      </c>
    </row>
    <row r="22" spans="1:18" s="73" customFormat="1" ht="20.100000000000001" hidden="1" customHeight="1">
      <c r="B22" s="461" t="s">
        <v>404</v>
      </c>
      <c r="D22" s="234" t="e">
        <f>-#REF!</f>
        <v>#REF!</v>
      </c>
      <c r="E22" s="234" t="e">
        <f>-#REF!</f>
        <v>#REF!</v>
      </c>
      <c r="F22" s="234" t="e">
        <f>-#REF!</f>
        <v>#REF!</v>
      </c>
      <c r="G22" s="234" t="e">
        <f>-#REF!</f>
        <v>#REF!</v>
      </c>
      <c r="H22" s="234" t="e">
        <f>-#REF!</f>
        <v>#REF!</v>
      </c>
      <c r="I22" s="234" t="e">
        <f>-#REF!</f>
        <v>#REF!</v>
      </c>
      <c r="J22" s="234" t="e">
        <f>-#REF!</f>
        <v>#REF!</v>
      </c>
      <c r="K22" s="234" t="e">
        <f>-#REF!</f>
        <v>#REF!</v>
      </c>
      <c r="L22" s="234" t="e">
        <f>-#REF!</f>
        <v>#REF!</v>
      </c>
      <c r="M22" s="234" t="e">
        <f>-#REF!</f>
        <v>#REF!</v>
      </c>
      <c r="N22" s="234" t="e">
        <f>-#REF!</f>
        <v>#REF!</v>
      </c>
      <c r="O22" s="234" t="e">
        <f>-#REF!</f>
        <v>#REF!</v>
      </c>
      <c r="P22" s="234" t="e">
        <f>-#REF!</f>
        <v>#REF!</v>
      </c>
    </row>
    <row r="23" spans="1:18" s="73" customFormat="1">
      <c r="F23" s="235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8" s="73" customFormat="1">
      <c r="B24" s="461" t="s">
        <v>408</v>
      </c>
      <c r="C24" s="161"/>
      <c r="D24" s="462">
        <f>'Input Tab'!C85</f>
        <v>-93865.44</v>
      </c>
      <c r="E24" s="462">
        <f>'Input Tab'!D85</f>
        <v>112043.88</v>
      </c>
      <c r="F24" s="462">
        <f>'Input Tab'!E85</f>
        <v>-350999.37</v>
      </c>
      <c r="G24" s="462">
        <f>'Input Tab'!F85</f>
        <v>-238903.87</v>
      </c>
      <c r="H24" s="462">
        <f>'Input Tab'!G85</f>
        <v>-545700.26</v>
      </c>
      <c r="I24" s="462">
        <f>'Input Tab'!H85</f>
        <v>-572639.06999999995</v>
      </c>
      <c r="J24" s="462">
        <f>'Input Tab'!I85</f>
        <v>-289106.92</v>
      </c>
      <c r="K24" s="462">
        <f>'Input Tab'!J85</f>
        <v>-23343.4</v>
      </c>
      <c r="L24" s="462">
        <f>'Input Tab'!K85</f>
        <v>-294999.42</v>
      </c>
      <c r="M24" s="462">
        <f>'Input Tab'!L85</f>
        <v>79670.53</v>
      </c>
      <c r="N24" s="462">
        <f>'Input Tab'!M85</f>
        <v>-180437.08</v>
      </c>
      <c r="O24" s="462">
        <f>'Input Tab'!N85</f>
        <v>-205884.39</v>
      </c>
      <c r="P24" s="462">
        <f>SUM(D24:O24)</f>
        <v>-2604164.81</v>
      </c>
      <c r="R24" s="71" t="s">
        <v>472</v>
      </c>
    </row>
    <row r="25" spans="1:18" s="73" customFormat="1">
      <c r="B25" s="463"/>
      <c r="C25" s="464"/>
      <c r="D25" s="464" t="str">
        <f>IF(D24&lt;0,"Rebate","Surcharge")</f>
        <v>Rebate</v>
      </c>
      <c r="E25" s="464" t="str">
        <f t="shared" ref="E25:P25" si="9">IF(E24&lt;0,"Rebate","Surcharge")</f>
        <v>Surcharge</v>
      </c>
      <c r="F25" s="464" t="str">
        <f t="shared" si="9"/>
        <v>Rebate</v>
      </c>
      <c r="G25" s="464" t="str">
        <f t="shared" si="9"/>
        <v>Rebate</v>
      </c>
      <c r="H25" s="464" t="str">
        <f t="shared" si="9"/>
        <v>Rebate</v>
      </c>
      <c r="I25" s="464" t="str">
        <f t="shared" si="9"/>
        <v>Rebate</v>
      </c>
      <c r="J25" s="464" t="str">
        <f t="shared" si="9"/>
        <v>Rebate</v>
      </c>
      <c r="K25" s="464" t="str">
        <f t="shared" si="9"/>
        <v>Rebate</v>
      </c>
      <c r="L25" s="464" t="str">
        <f t="shared" si="9"/>
        <v>Rebate</v>
      </c>
      <c r="M25" s="464" t="str">
        <f t="shared" si="9"/>
        <v>Surcharge</v>
      </c>
      <c r="N25" s="464" t="str">
        <f t="shared" si="9"/>
        <v>Rebate</v>
      </c>
      <c r="O25" s="464" t="str">
        <f t="shared" si="9"/>
        <v>Rebate</v>
      </c>
      <c r="P25" s="464" t="str">
        <f t="shared" si="9"/>
        <v>Rebate</v>
      </c>
    </row>
    <row r="26" spans="1:18" s="73" customFormat="1">
      <c r="B26" s="51"/>
      <c r="C26" s="23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236"/>
    </row>
    <row r="27" spans="1:18" s="73" customFormat="1">
      <c r="C27" s="23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236"/>
    </row>
    <row r="28" spans="1:18" s="73" customFormat="1">
      <c r="C28" s="23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237"/>
    </row>
    <row r="29" spans="1:18" s="73" customFormat="1"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238"/>
      <c r="O29" s="238"/>
      <c r="P29" s="148"/>
    </row>
    <row r="30" spans="1:18" s="73" customFormat="1">
      <c r="N30" s="51"/>
      <c r="O30" s="51"/>
    </row>
    <row r="31" spans="1:18" s="73" customFormat="1"/>
    <row r="32" spans="1:18" s="73" customFormat="1">
      <c r="N32" s="238"/>
      <c r="O32" s="238"/>
      <c r="P32" s="91"/>
    </row>
    <row r="33" spans="14:16" s="73" customFormat="1">
      <c r="N33" s="239"/>
      <c r="O33" s="239"/>
      <c r="P33" s="91"/>
    </row>
    <row r="34" spans="14:16" s="73" customFormat="1">
      <c r="P34" s="91"/>
    </row>
    <row r="35" spans="14:16" s="73" customFormat="1">
      <c r="P35" s="91"/>
    </row>
    <row r="36" spans="14:16" s="73" customFormat="1">
      <c r="P36" s="91"/>
    </row>
    <row r="37" spans="14:16" s="73" customFormat="1">
      <c r="P37" s="91"/>
    </row>
    <row r="38" spans="14:16" s="73" customFormat="1">
      <c r="P38" s="91"/>
    </row>
    <row r="39" spans="14:16" s="73" customFormat="1">
      <c r="P39" s="91"/>
    </row>
    <row r="40" spans="14:16" s="73" customFormat="1">
      <c r="P40" s="91"/>
    </row>
    <row r="41" spans="14:16" s="73" customFormat="1">
      <c r="P41" s="91"/>
    </row>
    <row r="42" spans="14:16" s="73" customFormat="1">
      <c r="P42" s="91"/>
    </row>
    <row r="43" spans="14:16" s="73" customFormat="1">
      <c r="P43" s="91"/>
    </row>
    <row r="44" spans="14:16" s="73" customFormat="1">
      <c r="P44" s="91"/>
    </row>
    <row r="45" spans="14:16" s="73" customFormat="1"/>
    <row r="46" spans="14:16" s="73" customFormat="1"/>
    <row r="47" spans="14:16" s="73" customFormat="1">
      <c r="O47" s="86"/>
    </row>
    <row r="48" spans="14:16" s="73" customFormat="1"/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22" t="s">
        <v>227</v>
      </c>
      <c r="B1" s="522"/>
      <c r="C1" s="522"/>
      <c r="D1" s="522"/>
      <c r="E1" s="522"/>
      <c r="F1" s="522"/>
      <c r="G1" s="522"/>
      <c r="H1" s="522"/>
    </row>
    <row r="2" spans="1:8" ht="15.75">
      <c r="A2" s="523" t="s">
        <v>419</v>
      </c>
      <c r="B2" s="523"/>
      <c r="C2" s="523"/>
      <c r="D2" s="523"/>
      <c r="E2" s="523"/>
      <c r="F2" s="523"/>
      <c r="G2" s="523"/>
      <c r="H2" s="523"/>
    </row>
    <row r="3" spans="1:8">
      <c r="A3" s="26"/>
    </row>
    <row r="4" spans="1:8" ht="16.5" thickBot="1">
      <c r="A4" s="26"/>
      <c r="B4" s="521" t="s">
        <v>424</v>
      </c>
      <c r="C4" s="521"/>
      <c r="D4" s="521"/>
      <c r="E4" s="521"/>
      <c r="F4" s="521"/>
      <c r="G4" s="521"/>
      <c r="H4" s="521"/>
    </row>
    <row r="5" spans="1:8" ht="38.25">
      <c r="B5" s="244"/>
      <c r="C5" s="245" t="s">
        <v>418</v>
      </c>
      <c r="D5" s="246" t="s">
        <v>2</v>
      </c>
      <c r="E5" s="247" t="s">
        <v>355</v>
      </c>
      <c r="F5" s="247" t="s">
        <v>421</v>
      </c>
      <c r="G5" s="245" t="s">
        <v>422</v>
      </c>
      <c r="H5" s="245" t="s">
        <v>423</v>
      </c>
    </row>
    <row r="6" spans="1:8">
      <c r="A6" s="26"/>
      <c r="B6" s="243">
        <v>41275</v>
      </c>
      <c r="C6" s="21">
        <v>-58333</v>
      </c>
      <c r="D6" s="21">
        <v>-70550</v>
      </c>
      <c r="E6" s="21">
        <f>+C6-D6</f>
        <v>12217</v>
      </c>
      <c r="F6" s="242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43">
        <v>41306</v>
      </c>
      <c r="C7" s="21">
        <v>-58333</v>
      </c>
      <c r="D7" s="21">
        <v>-82772</v>
      </c>
      <c r="E7" s="21">
        <f t="shared" ref="E7:E16" si="0">+C7-D7</f>
        <v>24439</v>
      </c>
      <c r="F7" s="242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43">
        <v>41334</v>
      </c>
      <c r="C8" s="21">
        <v>-58333</v>
      </c>
      <c r="D8" s="21">
        <v>-213066</v>
      </c>
      <c r="E8" s="21">
        <f t="shared" si="0"/>
        <v>154733</v>
      </c>
      <c r="F8" s="242">
        <v>0.34839999999999999</v>
      </c>
      <c r="G8" s="22">
        <f t="shared" si="1"/>
        <v>53909</v>
      </c>
      <c r="H8">
        <f t="shared" si="2"/>
        <v>48518.1</v>
      </c>
    </row>
    <row r="9" spans="1:8">
      <c r="B9" s="243">
        <v>41365</v>
      </c>
      <c r="C9" s="21">
        <v>-70833</v>
      </c>
      <c r="D9" s="21">
        <v>-408270</v>
      </c>
      <c r="E9" s="21">
        <f t="shared" si="0"/>
        <v>337437</v>
      </c>
      <c r="F9" s="242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43">
        <v>41395</v>
      </c>
      <c r="C10" s="21">
        <v>-70833</v>
      </c>
      <c r="D10" s="21">
        <v>-448670</v>
      </c>
      <c r="E10" s="21">
        <f t="shared" si="0"/>
        <v>377837</v>
      </c>
      <c r="F10" s="242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43">
        <v>41426</v>
      </c>
      <c r="C11" s="21">
        <v>-70833</v>
      </c>
      <c r="D11" s="21">
        <v>-277300</v>
      </c>
      <c r="E11" s="21">
        <f t="shared" si="0"/>
        <v>206467</v>
      </c>
      <c r="F11" s="242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43">
        <v>41456</v>
      </c>
      <c r="C12" s="21">
        <v>-70833</v>
      </c>
      <c r="D12" s="21">
        <v>-46500</v>
      </c>
      <c r="E12" s="21">
        <f t="shared" si="0"/>
        <v>-24333</v>
      </c>
      <c r="F12" s="242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43">
        <v>41487</v>
      </c>
      <c r="C13" s="21">
        <v>-70833</v>
      </c>
      <c r="D13" s="21">
        <v>0</v>
      </c>
      <c r="E13" s="21">
        <f t="shared" si="0"/>
        <v>-70833</v>
      </c>
      <c r="F13" s="242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43">
        <v>41518</v>
      </c>
      <c r="C14" s="21">
        <v>-70833</v>
      </c>
      <c r="D14" s="21">
        <v>-31250</v>
      </c>
      <c r="E14" s="21">
        <f t="shared" si="0"/>
        <v>-39583</v>
      </c>
      <c r="F14" s="242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43">
        <v>41548</v>
      </c>
      <c r="C15" s="21">
        <v>-70833</v>
      </c>
      <c r="D15" s="21">
        <v>-440000</v>
      </c>
      <c r="E15" s="21">
        <f t="shared" si="0"/>
        <v>369167</v>
      </c>
      <c r="F15" s="242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43">
        <v>41579</v>
      </c>
      <c r="C16" s="21">
        <v>-70833</v>
      </c>
      <c r="D16" s="21">
        <v>-96450</v>
      </c>
      <c r="E16" s="21">
        <f t="shared" si="0"/>
        <v>25617</v>
      </c>
      <c r="F16" s="242">
        <v>0.34760000000000002</v>
      </c>
      <c r="G16" s="22">
        <f t="shared" si="1"/>
        <v>8904</v>
      </c>
      <c r="H16">
        <f t="shared" si="2"/>
        <v>8013.6</v>
      </c>
    </row>
    <row r="17" spans="1:8">
      <c r="B17" s="243">
        <v>41609</v>
      </c>
      <c r="C17" s="21">
        <v>-70833</v>
      </c>
      <c r="D17" s="21">
        <v>-499575</v>
      </c>
      <c r="E17" s="21">
        <f>+C17-D17</f>
        <v>428742</v>
      </c>
      <c r="F17" s="242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48" t="s">
        <v>221</v>
      </c>
      <c r="C18" s="249">
        <f>SUM(C6:C17)</f>
        <v>-812496</v>
      </c>
      <c r="D18" s="249">
        <f>SUM(D6:D17)</f>
        <v>-2614403</v>
      </c>
      <c r="E18" s="249">
        <f>SUM(E6:E17)</f>
        <v>1801907</v>
      </c>
      <c r="F18" s="249"/>
      <c r="G18" s="249">
        <f>SUM(G6:G17)</f>
        <v>626495</v>
      </c>
      <c r="H18" s="249">
        <f>SUM(H6:H17)</f>
        <v>563846</v>
      </c>
    </row>
    <row r="19" spans="1:8">
      <c r="B19" s="5"/>
      <c r="C19" s="5"/>
      <c r="D19" s="5"/>
      <c r="E19" s="184" t="s">
        <v>420</v>
      </c>
      <c r="F19" s="5"/>
      <c r="G19" s="184" t="s">
        <v>420</v>
      </c>
      <c r="H19" s="184" t="s">
        <v>420</v>
      </c>
    </row>
    <row r="21" spans="1:8" ht="16.5" thickBot="1">
      <c r="B21" s="521" t="s">
        <v>425</v>
      </c>
      <c r="C21" s="521"/>
      <c r="D21" s="521"/>
      <c r="E21" s="521"/>
      <c r="F21" s="521"/>
      <c r="G21" s="521"/>
      <c r="H21" s="521"/>
    </row>
    <row r="22" spans="1:8" ht="38.25">
      <c r="B22" s="244"/>
      <c r="C22" s="245" t="s">
        <v>426</v>
      </c>
      <c r="D22" s="246" t="s">
        <v>2</v>
      </c>
      <c r="E22" s="247" t="s">
        <v>355</v>
      </c>
      <c r="F22" s="247" t="s">
        <v>421</v>
      </c>
      <c r="G22" s="245" t="s">
        <v>422</v>
      </c>
      <c r="H22" s="245" t="s">
        <v>423</v>
      </c>
    </row>
    <row r="23" spans="1:8">
      <c r="B23" s="243">
        <v>41275</v>
      </c>
      <c r="C23" s="21">
        <v>-58333</v>
      </c>
      <c r="D23" s="21">
        <v>-70550</v>
      </c>
      <c r="E23" s="21">
        <f>+C23-D23</f>
        <v>12217</v>
      </c>
      <c r="F23" s="242">
        <v>0.34839999999999999</v>
      </c>
      <c r="G23" s="22">
        <f>+E23*F23</f>
        <v>4256</v>
      </c>
      <c r="H23">
        <f>+G23*0.9</f>
        <v>3830.4</v>
      </c>
    </row>
    <row r="24" spans="1:8">
      <c r="B24" s="243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42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43">
        <v>41334</v>
      </c>
      <c r="C25" s="21">
        <v>-58333</v>
      </c>
      <c r="D25" s="21">
        <v>-213066</v>
      </c>
      <c r="E25" s="21">
        <f t="shared" si="3"/>
        <v>154733</v>
      </c>
      <c r="F25" s="242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43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42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43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42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43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42">
        <v>0.34760000000000002</v>
      </c>
      <c r="G28" s="22">
        <f t="shared" si="4"/>
        <v>85440</v>
      </c>
      <c r="H28">
        <f t="shared" si="5"/>
        <v>76896</v>
      </c>
    </row>
    <row r="29" spans="1:8">
      <c r="B29" s="243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42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43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42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43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42">
        <v>0.34760000000000002</v>
      </c>
      <c r="G31" s="22">
        <f t="shared" si="4"/>
        <v>-87</v>
      </c>
      <c r="H31">
        <f t="shared" si="5"/>
        <v>-78.3</v>
      </c>
    </row>
    <row r="32" spans="1:8">
      <c r="B32" s="243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42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43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42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43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42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48" t="s">
        <v>221</v>
      </c>
      <c r="C35" s="249">
        <f>SUM(C23:C34)</f>
        <v>-458499</v>
      </c>
      <c r="D35" s="249">
        <f>SUM(D23:D34)</f>
        <v>-2614403</v>
      </c>
      <c r="E35" s="249">
        <f>SUM(E23:E34)</f>
        <v>2155904</v>
      </c>
      <c r="F35" s="249"/>
      <c r="G35" s="249">
        <f>SUM(G23:G34)</f>
        <v>749546</v>
      </c>
      <c r="H35" s="249">
        <f>SUM(H23:H34)</f>
        <v>674591</v>
      </c>
    </row>
    <row r="36" spans="2:8">
      <c r="B36" s="5"/>
      <c r="C36" s="5"/>
      <c r="D36" s="5"/>
      <c r="E36" s="184" t="s">
        <v>420</v>
      </c>
      <c r="F36" s="5"/>
      <c r="G36" s="184" t="s">
        <v>420</v>
      </c>
      <c r="H36" s="184" t="s">
        <v>420</v>
      </c>
    </row>
    <row r="38" spans="2:8" ht="16.5" thickBot="1">
      <c r="B38" s="521" t="s">
        <v>427</v>
      </c>
      <c r="C38" s="521"/>
      <c r="D38" s="521"/>
      <c r="E38" s="521"/>
      <c r="F38" s="521"/>
      <c r="G38" s="521"/>
      <c r="H38" s="521"/>
    </row>
    <row r="39" spans="2:8" ht="38.25">
      <c r="B39" s="244"/>
      <c r="C39" s="245" t="s">
        <v>426</v>
      </c>
      <c r="D39" s="246" t="s">
        <v>2</v>
      </c>
      <c r="E39" s="247" t="s">
        <v>355</v>
      </c>
      <c r="F39" s="247" t="s">
        <v>421</v>
      </c>
      <c r="G39" s="245" t="s">
        <v>422</v>
      </c>
      <c r="H39" s="245" t="s">
        <v>423</v>
      </c>
    </row>
    <row r="40" spans="2:8">
      <c r="B40" s="243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42">
        <v>0.34839999999999999</v>
      </c>
      <c r="G40" s="22">
        <f>+E40*F40</f>
        <v>0</v>
      </c>
      <c r="H40">
        <f>+G40*0.9</f>
        <v>0</v>
      </c>
    </row>
    <row r="41" spans="2:8">
      <c r="B41" s="243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42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43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42">
        <v>0.34839999999999999</v>
      </c>
      <c r="G42" s="22">
        <f t="shared" si="8"/>
        <v>0</v>
      </c>
      <c r="H42">
        <f t="shared" si="9"/>
        <v>0</v>
      </c>
    </row>
    <row r="43" spans="2:8">
      <c r="B43" s="243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42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43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42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43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42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43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42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43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42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43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42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43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42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43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42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43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42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48" t="s">
        <v>221</v>
      </c>
      <c r="C52" s="249">
        <f>SUM(C40:C51)</f>
        <v>353997</v>
      </c>
      <c r="D52" s="249">
        <f>SUM(D40:D51)</f>
        <v>0</v>
      </c>
      <c r="E52" s="249">
        <f>SUM(E40:E51)</f>
        <v>353997</v>
      </c>
      <c r="F52" s="249"/>
      <c r="G52" s="249">
        <f>SUM(G40:G51)</f>
        <v>123048</v>
      </c>
      <c r="H52" s="249">
        <f>SUM(H40:H51)</f>
        <v>110743</v>
      </c>
    </row>
    <row r="53" spans="2:8">
      <c r="B53" s="5"/>
      <c r="C53" s="5"/>
      <c r="D53" s="5"/>
      <c r="E53" s="184" t="s">
        <v>420</v>
      </c>
      <c r="F53" s="5"/>
      <c r="G53" s="184" t="s">
        <v>420</v>
      </c>
      <c r="H53" s="184" t="s">
        <v>420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12">
        <v>40972</v>
      </c>
    </row>
    <row r="3" spans="1:2">
      <c r="A3" s="26" t="s">
        <v>348</v>
      </c>
      <c r="B3" s="26" t="s">
        <v>345</v>
      </c>
    </row>
    <row r="4" spans="1:2">
      <c r="B4" t="s">
        <v>341</v>
      </c>
    </row>
    <row r="5" spans="1:2">
      <c r="B5" t="s">
        <v>336</v>
      </c>
    </row>
    <row r="7" spans="1:2">
      <c r="B7" t="s">
        <v>338</v>
      </c>
    </row>
    <row r="8" spans="1:2">
      <c r="B8" t="s">
        <v>337</v>
      </c>
    </row>
    <row r="9" spans="1:2">
      <c r="B9" t="s">
        <v>339</v>
      </c>
    </row>
    <row r="10" spans="1:2">
      <c r="B10" t="s">
        <v>342</v>
      </c>
    </row>
    <row r="12" spans="1:2">
      <c r="B12" t="s">
        <v>340</v>
      </c>
    </row>
    <row r="13" spans="1:2">
      <c r="B13" t="s">
        <v>344</v>
      </c>
    </row>
    <row r="14" spans="1:2">
      <c r="B14" t="s">
        <v>343</v>
      </c>
    </row>
    <row r="16" spans="1:2">
      <c r="B16" s="26" t="s">
        <v>346</v>
      </c>
    </row>
    <row r="17" spans="1:2">
      <c r="B17" s="26" t="s">
        <v>347</v>
      </c>
    </row>
    <row r="19" spans="1:2">
      <c r="A19" s="26" t="s">
        <v>349</v>
      </c>
      <c r="B19" s="26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53" t="s">
        <v>227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5.75">
      <c r="A2" s="254" t="s">
        <v>365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>
      <c r="A3" s="145" t="s">
        <v>0</v>
      </c>
    </row>
    <row r="4" spans="1:17">
      <c r="A4" s="144" t="s">
        <v>1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>
      <c r="B5" s="4" t="s">
        <v>228</v>
      </c>
      <c r="C5" s="6"/>
      <c r="D5" s="525" t="s">
        <v>10</v>
      </c>
      <c r="E5" s="525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526">
        <f>'WA Summary '!D6:E6</f>
        <v>44553053</v>
      </c>
      <c r="E6" s="526"/>
      <c r="F6" s="197">
        <f>'WA Summary '!F6</f>
        <v>16833261</v>
      </c>
      <c r="G6" s="197">
        <f>'WA Summary '!G6</f>
        <v>15418244</v>
      </c>
      <c r="H6" s="197">
        <f>'WA Summary '!H6</f>
        <v>12301548</v>
      </c>
      <c r="I6" s="197">
        <f>'WA Summary '!I6</f>
        <v>0</v>
      </c>
      <c r="J6" s="197">
        <f>'WA Summary '!J6</f>
        <v>0</v>
      </c>
      <c r="K6" s="197">
        <f>'WA Summary '!K6</f>
        <v>0</v>
      </c>
      <c r="L6" s="197">
        <f>'WA Summary '!L6</f>
        <v>0</v>
      </c>
      <c r="M6" s="197">
        <f>'WA Summary '!M6</f>
        <v>0</v>
      </c>
      <c r="N6" s="197">
        <f>'WA Summary '!N6</f>
        <v>0</v>
      </c>
      <c r="O6" s="197">
        <f>'WA Summary '!O6</f>
        <v>0</v>
      </c>
      <c r="P6" s="197">
        <f>'WA Summary '!P6</f>
        <v>0</v>
      </c>
      <c r="Q6" s="197">
        <f>'WA Summary '!Q6</f>
        <v>0</v>
      </c>
    </row>
    <row r="7" spans="1:17">
      <c r="A7" s="144">
        <f>A6+1</f>
        <v>2</v>
      </c>
      <c r="B7" s="32" t="s">
        <v>6</v>
      </c>
      <c r="D7" s="527">
        <f>'WA Summary '!D7:E7</f>
        <v>-34902292</v>
      </c>
      <c r="E7" s="527"/>
      <c r="F7" s="197">
        <f>'WA Summary '!F7</f>
        <v>-14027524</v>
      </c>
      <c r="G7" s="197">
        <f>'WA Summary '!G7</f>
        <v>-9676671</v>
      </c>
      <c r="H7" s="197">
        <f>'WA Summary '!H7</f>
        <v>-11198097</v>
      </c>
      <c r="I7" s="197">
        <f>'WA Summary '!I7</f>
        <v>0</v>
      </c>
      <c r="J7" s="197">
        <f>'WA Summary '!J7</f>
        <v>0</v>
      </c>
      <c r="K7" s="197">
        <f>'WA Summary '!K7</f>
        <v>0</v>
      </c>
      <c r="L7" s="197">
        <f>'WA Summary '!L7</f>
        <v>0</v>
      </c>
      <c r="M7" s="197">
        <f>'WA Summary '!M7</f>
        <v>0</v>
      </c>
      <c r="N7" s="197">
        <f>'WA Summary '!N7</f>
        <v>0</v>
      </c>
      <c r="O7" s="197">
        <f>'WA Summary '!O7</f>
        <v>0</v>
      </c>
      <c r="P7" s="197">
        <f>'WA Summary '!P7</f>
        <v>0</v>
      </c>
      <c r="Q7" s="197">
        <f>'WA Summary '!Q7</f>
        <v>0</v>
      </c>
    </row>
    <row r="8" spans="1:17">
      <c r="A8" s="144">
        <f>+A7+1</f>
        <v>3</v>
      </c>
      <c r="B8" s="215" t="s">
        <v>359</v>
      </c>
      <c r="D8" s="524" t="e">
        <f>'WA Summary '!#REF!</f>
        <v>#REF!</v>
      </c>
      <c r="E8" s="524"/>
      <c r="F8" s="197" t="e">
        <f>'WA Summary '!#REF!</f>
        <v>#REF!</v>
      </c>
      <c r="G8" s="197" t="e">
        <f>'WA Summary '!#REF!</f>
        <v>#REF!</v>
      </c>
      <c r="H8" s="197" t="e">
        <f>'WA Summary '!#REF!</f>
        <v>#REF!</v>
      </c>
      <c r="I8" s="197" t="e">
        <f>'WA Summary '!#REF!</f>
        <v>#REF!</v>
      </c>
      <c r="J8" s="197" t="e">
        <f>'WA Summary '!#REF!</f>
        <v>#REF!</v>
      </c>
      <c r="K8" s="197" t="e">
        <f>'WA Summary '!#REF!</f>
        <v>#REF!</v>
      </c>
      <c r="L8" s="197" t="e">
        <f>'WA Summary '!#REF!</f>
        <v>#REF!</v>
      </c>
      <c r="M8" s="197" t="e">
        <f>'WA Summary '!#REF!</f>
        <v>#REF!</v>
      </c>
      <c r="N8" s="197" t="e">
        <f>'WA Summary '!#REF!</f>
        <v>#REF!</v>
      </c>
      <c r="O8" s="197" t="e">
        <f>'WA Summary '!#REF!</f>
        <v>#REF!</v>
      </c>
      <c r="P8" s="197" t="e">
        <f>'WA Summary '!#REF!</f>
        <v>#REF!</v>
      </c>
      <c r="Q8" s="197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524">
        <f>'WA Summary '!D8:E8</f>
        <v>7070850</v>
      </c>
      <c r="E9" s="524"/>
      <c r="F9" s="197">
        <f>'WA Summary '!F8</f>
        <v>2809889</v>
      </c>
      <c r="G9" s="197">
        <f>'WA Summary '!G8</f>
        <v>1451692</v>
      </c>
      <c r="H9" s="197">
        <f>'WA Summary '!H8</f>
        <v>2809269</v>
      </c>
      <c r="I9" s="197">
        <f>'WA Summary '!I8</f>
        <v>0</v>
      </c>
      <c r="J9" s="197">
        <f>'WA Summary '!J8</f>
        <v>0</v>
      </c>
      <c r="K9" s="197">
        <f>'WA Summary '!K8</f>
        <v>0</v>
      </c>
      <c r="L9" s="197">
        <f>'WA Summary '!L8</f>
        <v>0</v>
      </c>
      <c r="M9" s="197">
        <f>'WA Summary '!M8</f>
        <v>0</v>
      </c>
      <c r="N9" s="197">
        <f>'WA Summary '!N8</f>
        <v>0</v>
      </c>
      <c r="O9" s="197">
        <f>'WA Summary '!O8</f>
        <v>0</v>
      </c>
      <c r="P9" s="197">
        <f>'WA Summary '!P8</f>
        <v>0</v>
      </c>
      <c r="Q9" s="197">
        <f>'WA Summary '!Q8</f>
        <v>0</v>
      </c>
    </row>
    <row r="10" spans="1:17">
      <c r="A10" s="144">
        <f t="shared" si="0"/>
        <v>5</v>
      </c>
      <c r="B10" s="32" t="s">
        <v>5</v>
      </c>
      <c r="D10" s="524">
        <f>'WA Summary '!D9:E9</f>
        <v>17842380</v>
      </c>
      <c r="E10" s="524"/>
      <c r="F10" s="197">
        <f>'WA Summary '!F9</f>
        <v>6964296</v>
      </c>
      <c r="G10" s="197">
        <f>'WA Summary '!G9</f>
        <v>4564678</v>
      </c>
      <c r="H10" s="197">
        <f>'WA Summary '!H9</f>
        <v>6313406</v>
      </c>
      <c r="I10" s="197">
        <f>'WA Summary '!I9</f>
        <v>0</v>
      </c>
      <c r="J10" s="197">
        <f>'WA Summary '!J9</f>
        <v>0</v>
      </c>
      <c r="K10" s="197">
        <f>'WA Summary '!K9</f>
        <v>0</v>
      </c>
      <c r="L10" s="197">
        <f>'WA Summary '!L9</f>
        <v>0</v>
      </c>
      <c r="M10" s="197">
        <f>'WA Summary '!M9</f>
        <v>0</v>
      </c>
      <c r="N10" s="197">
        <f>'WA Summary '!N9</f>
        <v>0</v>
      </c>
      <c r="O10" s="197">
        <f>'WA Summary '!O9</f>
        <v>0</v>
      </c>
      <c r="P10" s="197">
        <f>'WA Summary '!P9</f>
        <v>0</v>
      </c>
      <c r="Q10" s="197">
        <f>'WA Summary '!Q9</f>
        <v>0</v>
      </c>
    </row>
    <row r="11" spans="1:17">
      <c r="A11" s="144">
        <f t="shared" si="0"/>
        <v>6</v>
      </c>
      <c r="B11" s="51" t="s">
        <v>143</v>
      </c>
      <c r="C11" s="41"/>
      <c r="D11" s="524"/>
      <c r="E11" s="524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</row>
    <row r="12" spans="1:17">
      <c r="A12" s="146">
        <f t="shared" si="0"/>
        <v>7</v>
      </c>
      <c r="B12" s="51" t="s">
        <v>109</v>
      </c>
      <c r="C12" s="41"/>
      <c r="D12" s="505">
        <f>'WA Summary '!D11:E11</f>
        <v>4534381</v>
      </c>
      <c r="E12" s="505"/>
      <c r="F12" s="197">
        <f>'WA Summary '!F11</f>
        <v>1537140</v>
      </c>
      <c r="G12" s="197">
        <f>'WA Summary '!G11</f>
        <v>1480382</v>
      </c>
      <c r="H12" s="197">
        <f>'WA Summary '!H11</f>
        <v>1516859</v>
      </c>
      <c r="I12" s="197">
        <f>'WA Summary '!I11</f>
        <v>0</v>
      </c>
      <c r="J12" s="197">
        <f>'WA Summary '!J11</f>
        <v>0</v>
      </c>
      <c r="K12" s="197">
        <f>'WA Summary '!K11</f>
        <v>0</v>
      </c>
      <c r="L12" s="197">
        <f>'WA Summary '!L11</f>
        <v>0</v>
      </c>
      <c r="M12" s="197">
        <f>'WA Summary '!M11</f>
        <v>0</v>
      </c>
      <c r="N12" s="197">
        <f>'WA Summary '!N11</f>
        <v>0</v>
      </c>
      <c r="O12" s="197">
        <f>'WA Summary '!O11</f>
        <v>0</v>
      </c>
      <c r="P12" s="197">
        <f>'WA Summary '!P11</f>
        <v>0</v>
      </c>
      <c r="Q12" s="197">
        <f>'WA Summary '!Q11</f>
        <v>0</v>
      </c>
    </row>
    <row r="13" spans="1:17">
      <c r="A13" s="146">
        <f t="shared" si="0"/>
        <v>8</v>
      </c>
      <c r="B13" s="51" t="s">
        <v>110</v>
      </c>
      <c r="C13" s="41"/>
      <c r="D13" s="505">
        <f>'WA Summary '!D12:E12</f>
        <v>158844</v>
      </c>
      <c r="E13" s="505"/>
      <c r="F13" s="197">
        <f>'WA Summary '!F12</f>
        <v>64248</v>
      </c>
      <c r="G13" s="197">
        <f>'WA Summary '!G12</f>
        <v>38145</v>
      </c>
      <c r="H13" s="197">
        <f>'WA Summary '!H12</f>
        <v>56451</v>
      </c>
      <c r="I13" s="197">
        <f>'WA Summary '!I12</f>
        <v>0</v>
      </c>
      <c r="J13" s="197">
        <f>'WA Summary '!J12</f>
        <v>0</v>
      </c>
      <c r="K13" s="197">
        <f>'WA Summary '!K12</f>
        <v>0</v>
      </c>
      <c r="L13" s="197">
        <f>'WA Summary '!L12</f>
        <v>0</v>
      </c>
      <c r="M13" s="197">
        <f>'WA Summary '!M12</f>
        <v>0</v>
      </c>
      <c r="N13" s="197">
        <f>'WA Summary '!N12</f>
        <v>0</v>
      </c>
      <c r="O13" s="197">
        <f>'WA Summary '!O12</f>
        <v>0</v>
      </c>
      <c r="P13" s="197">
        <f>'WA Summary '!P12</f>
        <v>0</v>
      </c>
      <c r="Q13" s="197">
        <f>'WA Summary '!Q12</f>
        <v>0</v>
      </c>
    </row>
    <row r="14" spans="1:17">
      <c r="A14" s="144">
        <f t="shared" si="0"/>
        <v>9</v>
      </c>
      <c r="B14" s="52" t="s">
        <v>194</v>
      </c>
      <c r="D14" s="529" t="e">
        <f>'WA Summary '!#REF!</f>
        <v>#REF!</v>
      </c>
      <c r="E14" s="529"/>
      <c r="F14" s="197" t="e">
        <f>'WA Summary '!#REF!</f>
        <v>#REF!</v>
      </c>
      <c r="G14" s="197" t="e">
        <f>'WA Summary '!#REF!</f>
        <v>#REF!</v>
      </c>
      <c r="H14" s="197" t="e">
        <f>'WA Summary '!#REF!</f>
        <v>#REF!</v>
      </c>
      <c r="I14" s="197" t="e">
        <f>'WA Summary '!#REF!</f>
        <v>#REF!</v>
      </c>
      <c r="J14" s="197" t="e">
        <f>'WA Summary '!#REF!</f>
        <v>#REF!</v>
      </c>
      <c r="K14" s="197" t="e">
        <f>'WA Summary '!#REF!</f>
        <v>#REF!</v>
      </c>
      <c r="L14" s="197" t="e">
        <f>'WA Summary '!#REF!</f>
        <v>#REF!</v>
      </c>
      <c r="M14" s="197" t="e">
        <f>'WA Summary '!#REF!</f>
        <v>#REF!</v>
      </c>
      <c r="N14" s="197" t="e">
        <f>'WA Summary '!#REF!</f>
        <v>#REF!</v>
      </c>
      <c r="O14" s="197" t="e">
        <f>'WA Summary '!#REF!</f>
        <v>#REF!</v>
      </c>
      <c r="P14" s="197" t="e">
        <f>'WA Summary '!#REF!</f>
        <v>#REF!</v>
      </c>
      <c r="Q14" s="197" t="e">
        <f>'WA Summary '!#REF!</f>
        <v>#REF!</v>
      </c>
    </row>
    <row r="15" spans="1:17">
      <c r="A15" s="144">
        <f t="shared" si="0"/>
        <v>10</v>
      </c>
      <c r="B15" s="166" t="s">
        <v>11</v>
      </c>
      <c r="C15" s="166"/>
      <c r="D15" s="530" t="e">
        <f>SUM(D6:E14)</f>
        <v>#REF!</v>
      </c>
      <c r="E15" s="530"/>
      <c r="F15" s="198" t="e">
        <f>SUM(F6:F14)</f>
        <v>#REF!</v>
      </c>
      <c r="G15" s="198" t="e">
        <f t="shared" ref="G15:Q15" si="1">SUM(G6:G14)</f>
        <v>#REF!</v>
      </c>
      <c r="H15" s="198" t="e">
        <f t="shared" si="1"/>
        <v>#REF!</v>
      </c>
      <c r="I15" s="198" t="e">
        <f t="shared" si="1"/>
        <v>#REF!</v>
      </c>
      <c r="J15" s="198" t="e">
        <f t="shared" si="1"/>
        <v>#REF!</v>
      </c>
      <c r="K15" s="198" t="e">
        <f t="shared" si="1"/>
        <v>#REF!</v>
      </c>
      <c r="L15" s="198" t="e">
        <f t="shared" si="1"/>
        <v>#REF!</v>
      </c>
      <c r="M15" s="198" t="e">
        <f t="shared" si="1"/>
        <v>#REF!</v>
      </c>
      <c r="N15" s="198" t="e">
        <f t="shared" si="1"/>
        <v>#REF!</v>
      </c>
      <c r="O15" s="198" t="e">
        <f t="shared" si="1"/>
        <v>#REF!</v>
      </c>
      <c r="P15" s="198" t="e">
        <f t="shared" si="1"/>
        <v>#REF!</v>
      </c>
      <c r="Q15" s="198" t="e">
        <f t="shared" si="1"/>
        <v>#REF!</v>
      </c>
    </row>
    <row r="16" spans="1:17" ht="25.5" customHeight="1">
      <c r="B16" s="4" t="s">
        <v>14</v>
      </c>
      <c r="C16" s="6"/>
      <c r="D16" s="531" t="str">
        <f>'WA Summary '!D14:E14</f>
        <v>Total through March</v>
      </c>
      <c r="E16" s="531"/>
      <c r="F16" s="218">
        <f>F5</f>
        <v>41305</v>
      </c>
      <c r="G16" s="218">
        <f>G5</f>
        <v>41333</v>
      </c>
      <c r="H16" s="218">
        <f t="shared" ref="H16:Q16" si="2">H5</f>
        <v>41364</v>
      </c>
      <c r="I16" s="218">
        <f t="shared" si="2"/>
        <v>41394</v>
      </c>
      <c r="J16" s="218">
        <f t="shared" si="2"/>
        <v>41425</v>
      </c>
      <c r="K16" s="218">
        <f t="shared" si="2"/>
        <v>41455</v>
      </c>
      <c r="L16" s="218">
        <f t="shared" si="2"/>
        <v>41486</v>
      </c>
      <c r="M16" s="218">
        <f t="shared" si="2"/>
        <v>41517</v>
      </c>
      <c r="N16" s="218">
        <f t="shared" si="2"/>
        <v>41547</v>
      </c>
      <c r="O16" s="218">
        <f t="shared" si="2"/>
        <v>41578</v>
      </c>
      <c r="P16" s="218">
        <f t="shared" si="2"/>
        <v>41608</v>
      </c>
      <c r="Q16" s="218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532">
        <f>'WA Summary '!D15:E15</f>
        <v>34379637</v>
      </c>
      <c r="E17" s="532"/>
      <c r="F17" s="219">
        <f>'WA Summary '!F15</f>
        <v>12127251</v>
      </c>
      <c r="G17" s="219">
        <f>'WA Summary '!G15</f>
        <v>11591985</v>
      </c>
      <c r="H17" s="219">
        <f>'WA Summary '!H15</f>
        <v>10660401</v>
      </c>
      <c r="I17" s="219">
        <f>'WA Summary '!I15</f>
        <v>10031882</v>
      </c>
      <c r="J17" s="219">
        <f>'WA Summary '!J15</f>
        <v>8675133</v>
      </c>
      <c r="K17" s="219">
        <f>'WA Summary '!K15</f>
        <v>8326700</v>
      </c>
      <c r="L17" s="219">
        <f>'WA Summary '!L15</f>
        <v>8166121</v>
      </c>
      <c r="M17" s="219">
        <f>'WA Summary '!M15</f>
        <v>9056301</v>
      </c>
      <c r="N17" s="219">
        <f>'WA Summary '!N15</f>
        <v>7883689</v>
      </c>
      <c r="O17" s="219">
        <f>'WA Summary '!O15</f>
        <v>8186793</v>
      </c>
      <c r="P17" s="219">
        <f>'WA Summary '!P15</f>
        <v>11995843</v>
      </c>
      <c r="Q17" s="219">
        <f>'WA Summary '!Q15</f>
        <v>12493230</v>
      </c>
    </row>
    <row r="18" spans="1:26">
      <c r="A18" s="144">
        <f t="shared" ref="A18:A33" si="3">A17+1</f>
        <v>12</v>
      </c>
      <c r="B18" s="155" t="s">
        <v>6</v>
      </c>
      <c r="C18" s="154"/>
      <c r="D18" s="528">
        <f>'WA Summary '!D16:E16</f>
        <v>-20859255</v>
      </c>
      <c r="E18" s="528"/>
      <c r="F18" s="220">
        <f>'WA Summary '!F16</f>
        <v>-7154528</v>
      </c>
      <c r="G18" s="220">
        <f>'WA Summary '!G16</f>
        <v>-6331583</v>
      </c>
      <c r="H18" s="220">
        <f>'WA Summary '!H16</f>
        <v>-7373144</v>
      </c>
      <c r="I18" s="220">
        <f>'WA Summary '!I16</f>
        <v>-9451450</v>
      </c>
      <c r="J18" s="220">
        <f>'WA Summary '!J16</f>
        <v>-8788449</v>
      </c>
      <c r="K18" s="220">
        <f>'WA Summary '!K16</f>
        <v>-8347826</v>
      </c>
      <c r="L18" s="220">
        <f>'WA Summary '!L16</f>
        <v>-7766255</v>
      </c>
      <c r="M18" s="220">
        <f>'WA Summary '!M16</f>
        <v>-5454044</v>
      </c>
      <c r="N18" s="220">
        <f>'WA Summary '!N16</f>
        <v>-6343594</v>
      </c>
      <c r="O18" s="220">
        <f>'WA Summary '!O16</f>
        <v>-6461587</v>
      </c>
      <c r="P18" s="220">
        <f>'WA Summary '!P16</f>
        <v>-7582420</v>
      </c>
      <c r="Q18" s="220">
        <f>'WA Summary '!Q16</f>
        <v>-7533482</v>
      </c>
    </row>
    <row r="19" spans="1:26">
      <c r="A19" s="144">
        <f>+A18+1</f>
        <v>13</v>
      </c>
      <c r="B19" s="216" t="s">
        <v>359</v>
      </c>
      <c r="C19" s="154"/>
      <c r="D19" s="528" t="e">
        <f>'WA Summary '!#REF!</f>
        <v>#REF!</v>
      </c>
      <c r="E19" s="528"/>
      <c r="F19" s="220" t="e">
        <f>'WA Summary '!#REF!</f>
        <v>#REF!</v>
      </c>
      <c r="G19" s="220" t="e">
        <f>'WA Summary '!#REF!</f>
        <v>#REF!</v>
      </c>
      <c r="H19" s="220" t="e">
        <f>'WA Summary '!#REF!</f>
        <v>#REF!</v>
      </c>
      <c r="I19" s="220" t="e">
        <f>'WA Summary '!#REF!</f>
        <v>#REF!</v>
      </c>
      <c r="J19" s="220" t="e">
        <f>'WA Summary '!#REF!</f>
        <v>#REF!</v>
      </c>
      <c r="K19" s="220" t="e">
        <f>'WA Summary '!#REF!</f>
        <v>#REF!</v>
      </c>
      <c r="L19" s="220" t="e">
        <f>'WA Summary '!#REF!</f>
        <v>#REF!</v>
      </c>
      <c r="M19" s="220" t="e">
        <f>'WA Summary '!#REF!</f>
        <v>#REF!</v>
      </c>
      <c r="N19" s="220" t="e">
        <f>'WA Summary '!#REF!</f>
        <v>#REF!</v>
      </c>
      <c r="O19" s="220" t="e">
        <f>'WA Summary '!#REF!</f>
        <v>#REF!</v>
      </c>
      <c r="P19" s="220" t="e">
        <f>'WA Summary '!#REF!</f>
        <v>#REF!</v>
      </c>
      <c r="Q19" s="220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528">
        <f>'WA Summary '!D17:E17</f>
        <v>7665147</v>
      </c>
      <c r="E20" s="528"/>
      <c r="F20" s="219">
        <f>'WA Summary '!F17</f>
        <v>2667343</v>
      </c>
      <c r="G20" s="219">
        <f>'WA Summary '!G17</f>
        <v>2503517</v>
      </c>
      <c r="H20" s="219">
        <f>'WA Summary '!H17</f>
        <v>2494287</v>
      </c>
      <c r="I20" s="219">
        <f>'WA Summary '!I17</f>
        <v>2179004</v>
      </c>
      <c r="J20" s="219">
        <f>'WA Summary '!J17</f>
        <v>1851578</v>
      </c>
      <c r="K20" s="219">
        <f>'WA Summary '!K17</f>
        <v>1612580</v>
      </c>
      <c r="L20" s="219">
        <f>'WA Summary '!L17</f>
        <v>2427227</v>
      </c>
      <c r="M20" s="219">
        <f>'WA Summary '!M17</f>
        <v>2652598</v>
      </c>
      <c r="N20" s="219">
        <f>'WA Summary '!N17</f>
        <v>2644728</v>
      </c>
      <c r="O20" s="219">
        <f>'WA Summary '!O17</f>
        <v>2706850</v>
      </c>
      <c r="P20" s="219">
        <f>'WA Summary '!P17</f>
        <v>2628470</v>
      </c>
      <c r="Q20" s="219">
        <f>'WA Summary '!Q17</f>
        <v>2755227</v>
      </c>
    </row>
    <row r="21" spans="1:26">
      <c r="A21" s="144">
        <f t="shared" si="3"/>
        <v>15</v>
      </c>
      <c r="B21" s="155" t="s">
        <v>5</v>
      </c>
      <c r="C21" s="154"/>
      <c r="D21" s="528">
        <f>'WA Summary '!D18:E18</f>
        <v>23472979</v>
      </c>
      <c r="E21" s="528"/>
      <c r="F21" s="219">
        <f>'WA Summary '!F18</f>
        <v>8481668</v>
      </c>
      <c r="G21" s="219">
        <f>'WA Summary '!G18</f>
        <v>7698692</v>
      </c>
      <c r="H21" s="219">
        <f>'WA Summary '!H18</f>
        <v>7292619</v>
      </c>
      <c r="I21" s="219">
        <f>'WA Summary '!I18</f>
        <v>5265751</v>
      </c>
      <c r="J21" s="219">
        <f>'WA Summary '!J18</f>
        <v>2664694</v>
      </c>
      <c r="K21" s="219">
        <f>'WA Summary '!K18</f>
        <v>2712482</v>
      </c>
      <c r="L21" s="219">
        <f>'WA Summary '!L18</f>
        <v>5239795</v>
      </c>
      <c r="M21" s="219">
        <f>'WA Summary '!M18</f>
        <v>6788998</v>
      </c>
      <c r="N21" s="219">
        <f>'WA Summary '!N18</f>
        <v>6983768</v>
      </c>
      <c r="O21" s="219">
        <f>'WA Summary '!O18</f>
        <v>7442560</v>
      </c>
      <c r="P21" s="219">
        <f>'WA Summary '!P18</f>
        <v>7920542</v>
      </c>
      <c r="Q21" s="219">
        <f>'WA Summary '!Q18</f>
        <v>8801867</v>
      </c>
    </row>
    <row r="22" spans="1:26">
      <c r="A22" s="144">
        <f t="shared" si="3"/>
        <v>16</v>
      </c>
      <c r="B22" s="155" t="s">
        <v>143</v>
      </c>
      <c r="C22" s="154"/>
      <c r="D22" s="528"/>
      <c r="E22" s="528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</row>
    <row r="23" spans="1:26">
      <c r="A23" s="144">
        <f t="shared" si="3"/>
        <v>17</v>
      </c>
      <c r="B23" s="155" t="s">
        <v>109</v>
      </c>
      <c r="C23" s="154"/>
      <c r="D23" s="528">
        <f>'WA Summary '!D20:E20</f>
        <v>4478768</v>
      </c>
      <c r="E23" s="528"/>
      <c r="F23" s="221">
        <f>'WA Summary '!F20</f>
        <v>1503379</v>
      </c>
      <c r="G23" s="221">
        <f>'WA Summary '!G20</f>
        <v>1417562</v>
      </c>
      <c r="H23" s="221">
        <f>'WA Summary '!H20</f>
        <v>1557827</v>
      </c>
      <c r="I23" s="221">
        <f>'WA Summary '!I20</f>
        <v>1347286</v>
      </c>
      <c r="J23" s="221">
        <f>'WA Summary '!J20</f>
        <v>1410951</v>
      </c>
      <c r="K23" s="221">
        <f>'WA Summary '!K20</f>
        <v>1401574</v>
      </c>
      <c r="L23" s="219">
        <f>'WA Summary '!L20</f>
        <v>1411206</v>
      </c>
      <c r="M23" s="219">
        <f>'WA Summary '!M20</f>
        <v>1443939</v>
      </c>
      <c r="N23" s="219">
        <f>'WA Summary '!N20</f>
        <v>1441121</v>
      </c>
      <c r="O23" s="219">
        <f>'WA Summary '!O20</f>
        <v>1400226</v>
      </c>
      <c r="P23" s="219">
        <f>'WA Summary '!P20</f>
        <v>1464406</v>
      </c>
      <c r="Q23" s="219">
        <f>'WA Summary '!Q20</f>
        <v>1437755</v>
      </c>
    </row>
    <row r="24" spans="1:26">
      <c r="A24" s="144">
        <f t="shared" si="3"/>
        <v>18</v>
      </c>
      <c r="B24" s="155" t="s">
        <v>110</v>
      </c>
      <c r="C24" s="155"/>
      <c r="D24" s="533">
        <f>'WA Summary '!D21:E21</f>
        <v>172500</v>
      </c>
      <c r="E24" s="533"/>
      <c r="F24" s="219">
        <f>'WA Summary '!F21</f>
        <v>57500</v>
      </c>
      <c r="G24" s="219">
        <f>'WA Summary '!G21</f>
        <v>57500</v>
      </c>
      <c r="H24" s="219">
        <f>'WA Summary '!H21</f>
        <v>57500</v>
      </c>
      <c r="I24" s="219">
        <f>'WA Summary '!I21</f>
        <v>57500</v>
      </c>
      <c r="J24" s="219">
        <f>'WA Summary '!J21</f>
        <v>57500</v>
      </c>
      <c r="K24" s="219">
        <f>'WA Summary '!K21</f>
        <v>57500</v>
      </c>
      <c r="L24" s="219">
        <f>'WA Summary '!L21</f>
        <v>57500</v>
      </c>
      <c r="M24" s="219">
        <f>'WA Summary '!M21</f>
        <v>57500</v>
      </c>
      <c r="N24" s="219">
        <f>'WA Summary '!N21</f>
        <v>57500</v>
      </c>
      <c r="O24" s="219">
        <f>'WA Summary '!O21</f>
        <v>57500</v>
      </c>
      <c r="P24" s="219">
        <f>'WA Summary '!P21</f>
        <v>57500</v>
      </c>
      <c r="Q24" s="219">
        <f>'WA Summary '!Q21</f>
        <v>57500</v>
      </c>
    </row>
    <row r="25" spans="1:26">
      <c r="A25" s="144">
        <f t="shared" si="3"/>
        <v>19</v>
      </c>
      <c r="B25" s="166" t="s">
        <v>7</v>
      </c>
      <c r="C25" s="166"/>
      <c r="D25" s="530" t="e">
        <f>SUM(D17:E24)</f>
        <v>#REF!</v>
      </c>
      <c r="E25" s="530"/>
      <c r="F25" s="167" t="e">
        <f>SUM(F17:F24)</f>
        <v>#REF!</v>
      </c>
      <c r="G25" s="167" t="e">
        <f t="shared" ref="G25:Q25" si="4">SUM(G17:G24)</f>
        <v>#REF!</v>
      </c>
      <c r="H25" s="167" t="e">
        <f t="shared" si="4"/>
        <v>#REF!</v>
      </c>
      <c r="I25" s="167" t="e">
        <f t="shared" si="4"/>
        <v>#REF!</v>
      </c>
      <c r="J25" s="167" t="e">
        <f t="shared" si="4"/>
        <v>#REF!</v>
      </c>
      <c r="K25" s="167" t="e">
        <f t="shared" si="4"/>
        <v>#REF!</v>
      </c>
      <c r="L25" s="167" t="e">
        <f t="shared" si="4"/>
        <v>#REF!</v>
      </c>
      <c r="M25" s="167" t="e">
        <f t="shared" si="4"/>
        <v>#REF!</v>
      </c>
      <c r="N25" s="167" t="e">
        <f t="shared" si="4"/>
        <v>#REF!</v>
      </c>
      <c r="O25" s="167" t="e">
        <f t="shared" si="4"/>
        <v>#REF!</v>
      </c>
      <c r="P25" s="167" t="e">
        <f t="shared" si="4"/>
        <v>#REF!</v>
      </c>
      <c r="Q25" s="167" t="e">
        <f t="shared" si="4"/>
        <v>#REF!</v>
      </c>
    </row>
    <row r="26" spans="1:26">
      <c r="A26" s="144">
        <f t="shared" si="3"/>
        <v>20</v>
      </c>
      <c r="B26" s="166" t="s">
        <v>8</v>
      </c>
      <c r="C26" s="166"/>
      <c r="D26" s="534" t="e">
        <f>D15-D25</f>
        <v>#REF!</v>
      </c>
      <c r="E26" s="534" t="str">
        <f>IF(E15=0," ",E15-E25)</f>
        <v xml:space="preserve"> </v>
      </c>
      <c r="F26" s="167" t="e">
        <f>IF(F15=0," ",F15-F25)</f>
        <v>#REF!</v>
      </c>
      <c r="G26" s="167" t="e">
        <f t="shared" ref="G26:Q26" si="5">IF(G15=0," ",G15-G25)</f>
        <v>#REF!</v>
      </c>
      <c r="H26" s="167" t="e">
        <f t="shared" si="5"/>
        <v>#REF!</v>
      </c>
      <c r="I26" s="167" t="e">
        <f t="shared" si="5"/>
        <v>#REF!</v>
      </c>
      <c r="J26" s="167" t="e">
        <f t="shared" si="5"/>
        <v>#REF!</v>
      </c>
      <c r="K26" s="167" t="e">
        <f t="shared" si="5"/>
        <v>#REF!</v>
      </c>
      <c r="L26" s="167" t="e">
        <f>IF(L15=0," ",L15-L25)</f>
        <v>#REF!</v>
      </c>
      <c r="M26" s="167" t="e">
        <f t="shared" si="5"/>
        <v>#REF!</v>
      </c>
      <c r="N26" s="167" t="e">
        <f t="shared" si="5"/>
        <v>#REF!</v>
      </c>
      <c r="O26" s="167" t="e">
        <f t="shared" si="5"/>
        <v>#REF!</v>
      </c>
      <c r="P26" s="167" t="e">
        <f t="shared" si="5"/>
        <v>#REF!</v>
      </c>
      <c r="Q26" s="167" t="e">
        <f t="shared" si="5"/>
        <v>#REF!</v>
      </c>
      <c r="Z26" s="8"/>
    </row>
    <row r="27" spans="1:26">
      <c r="A27" s="146">
        <f t="shared" si="3"/>
        <v>21</v>
      </c>
      <c r="B27" s="192" t="s">
        <v>169</v>
      </c>
      <c r="C27" s="192"/>
      <c r="D27" s="537">
        <f>SUM(F27:Q27)</f>
        <v>-2554484</v>
      </c>
      <c r="E27" s="537"/>
      <c r="F27" s="193">
        <f>'WA Summary '!F25</f>
        <v>-641912</v>
      </c>
      <c r="G27" s="193">
        <f>'WA Summary '!G25</f>
        <v>-1114849</v>
      </c>
      <c r="H27" s="193">
        <f>'WA Summary '!H25</f>
        <v>-797723</v>
      </c>
      <c r="I27" s="193" t="str">
        <f>'WA Summary '!I25</f>
        <v xml:space="preserve"> </v>
      </c>
      <c r="J27" s="193" t="str">
        <f>'WA Summary '!J25</f>
        <v xml:space="preserve"> </v>
      </c>
      <c r="K27" s="193" t="str">
        <f>'WA Monthly'!J135</f>
        <v xml:space="preserve"> </v>
      </c>
      <c r="L27" s="193" t="str">
        <f>'WA Monthly'!K135</f>
        <v xml:space="preserve"> </v>
      </c>
      <c r="M27" s="193" t="str">
        <f>'WA Monthly'!L135</f>
        <v xml:space="preserve"> </v>
      </c>
      <c r="N27" s="193" t="str">
        <f>'WA Monthly'!M135</f>
        <v xml:space="preserve"> </v>
      </c>
      <c r="O27" s="193" t="str">
        <f>'WA Monthly'!N135</f>
        <v xml:space="preserve"> </v>
      </c>
      <c r="P27" s="193" t="str">
        <f>'WA Monthly'!O135</f>
        <v xml:space="preserve"> </v>
      </c>
      <c r="Q27" s="193" t="str">
        <f>'WA Monthly'!P135</f>
        <v xml:space="preserve"> </v>
      </c>
    </row>
    <row r="28" spans="1:26" ht="15">
      <c r="A28" s="144">
        <f t="shared" si="3"/>
        <v>22</v>
      </c>
      <c r="B28" s="32" t="s">
        <v>119</v>
      </c>
      <c r="D28" s="538" t="e">
        <f>D26+D27</f>
        <v>#REF!</v>
      </c>
      <c r="E28" s="538"/>
      <c r="F28" s="158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225</v>
      </c>
      <c r="D29" s="160"/>
      <c r="E29" s="160"/>
      <c r="F29" s="222">
        <v>0.65239999999999998</v>
      </c>
      <c r="G29" s="222">
        <v>0.65239999999999998</v>
      </c>
      <c r="H29" s="222">
        <v>0.65239999999999998</v>
      </c>
      <c r="I29" s="222">
        <v>0.65239999999999998</v>
      </c>
      <c r="J29" s="222">
        <v>0.65239999999999998</v>
      </c>
      <c r="K29" s="222">
        <v>0.65239999999999998</v>
      </c>
      <c r="L29" s="222">
        <v>0.65239999999999998</v>
      </c>
      <c r="M29" s="222">
        <v>0.65239999999999998</v>
      </c>
      <c r="N29" s="222">
        <v>0.65239999999999998</v>
      </c>
      <c r="O29" s="222">
        <v>0.65239999999999998</v>
      </c>
      <c r="P29" s="222">
        <v>0.65239999999999998</v>
      </c>
      <c r="Q29" s="222">
        <v>0.65239999999999998</v>
      </c>
    </row>
    <row r="30" spans="1:26">
      <c r="A30" s="144">
        <f t="shared" si="3"/>
        <v>24</v>
      </c>
      <c r="B30" s="32" t="s">
        <v>226</v>
      </c>
      <c r="D30" s="501" t="e">
        <f>SUM(F30:Q30)</f>
        <v>#REF!</v>
      </c>
      <c r="E30" s="501"/>
      <c r="F30" s="164" t="e">
        <f>+F28*F29</f>
        <v>#REF!</v>
      </c>
      <c r="G30" s="164" t="e">
        <f>+G28*G29</f>
        <v>#REF!</v>
      </c>
      <c r="H30" s="164" t="e">
        <f>+H28*H29</f>
        <v>#REF!</v>
      </c>
      <c r="I30" s="164" t="e">
        <f t="shared" ref="I30:Q30" si="7">+I28*I29</f>
        <v>#REF!</v>
      </c>
      <c r="J30" s="164" t="e">
        <f t="shared" si="7"/>
        <v>#REF!</v>
      </c>
      <c r="K30" s="164" t="e">
        <f t="shared" si="7"/>
        <v>#REF!</v>
      </c>
      <c r="L30" s="164" t="e">
        <f t="shared" si="7"/>
        <v>#REF!</v>
      </c>
      <c r="M30" s="164" t="e">
        <f t="shared" si="7"/>
        <v>#REF!</v>
      </c>
      <c r="N30" s="164" t="e">
        <f t="shared" si="7"/>
        <v>#REF!</v>
      </c>
      <c r="O30" s="164" t="e">
        <f t="shared" si="7"/>
        <v>#REF!</v>
      </c>
      <c r="P30" s="164" t="e">
        <f t="shared" si="7"/>
        <v>#REF!</v>
      </c>
      <c r="Q30" s="164" t="e">
        <f t="shared" si="7"/>
        <v>#REF!</v>
      </c>
    </row>
    <row r="31" spans="1:26">
      <c r="A31" s="183">
        <f t="shared" si="3"/>
        <v>25</v>
      </c>
      <c r="B31" s="539" t="s">
        <v>262</v>
      </c>
      <c r="C31" s="539"/>
      <c r="D31" s="501">
        <f>SUM(F31:Q31)</f>
        <v>497409</v>
      </c>
      <c r="E31" s="501"/>
      <c r="F31" s="223">
        <f>'WA Summary '!F30</f>
        <v>166826</v>
      </c>
      <c r="G31" s="223">
        <f>'WA Summary '!G30</f>
        <v>276446</v>
      </c>
      <c r="H31" s="223">
        <f>'WA Summary '!H30</f>
        <v>54137</v>
      </c>
      <c r="I31" s="223" t="str">
        <f>'WA Summary '!I30</f>
        <v xml:space="preserve"> </v>
      </c>
      <c r="J31" s="223" t="str">
        <f>'WA Summary '!J30</f>
        <v xml:space="preserve"> </v>
      </c>
      <c r="K31" s="223" t="str">
        <f>'WA Summary '!K30</f>
        <v xml:space="preserve"> </v>
      </c>
      <c r="L31" s="223" t="str">
        <f>'WA Summary '!L30</f>
        <v xml:space="preserve"> </v>
      </c>
      <c r="M31" s="223" t="str">
        <f>'WA Summary '!M30</f>
        <v xml:space="preserve"> </v>
      </c>
      <c r="N31" s="223" t="str">
        <f>'WA Summary '!N30</f>
        <v xml:space="preserve"> </v>
      </c>
      <c r="O31" s="171"/>
      <c r="P31" s="171"/>
      <c r="Q31" s="171"/>
    </row>
    <row r="32" spans="1:26">
      <c r="A32" s="170">
        <f t="shared" si="3"/>
        <v>26</v>
      </c>
      <c r="B32" s="499" t="s">
        <v>199</v>
      </c>
      <c r="C32" s="499"/>
      <c r="D32" s="502" t="e">
        <f>SUM(F32:Q32)</f>
        <v>#REF!</v>
      </c>
      <c r="E32" s="502"/>
      <c r="F32" s="188" t="e">
        <f>IF(F15=0," ",F30+F31)</f>
        <v>#REF!</v>
      </c>
      <c r="G32" s="188" t="e">
        <f t="shared" ref="G32:Q32" si="8">IF(G15=0," ",G30+G31)</f>
        <v>#REF!</v>
      </c>
      <c r="H32" s="188" t="e">
        <f t="shared" si="8"/>
        <v>#REF!</v>
      </c>
      <c r="I32" s="188" t="e">
        <f t="shared" si="8"/>
        <v>#REF!</v>
      </c>
      <c r="J32" s="188" t="e">
        <f t="shared" si="8"/>
        <v>#REF!</v>
      </c>
      <c r="K32" s="188" t="e">
        <f t="shared" si="8"/>
        <v>#REF!</v>
      </c>
      <c r="L32" s="188" t="e">
        <f t="shared" si="8"/>
        <v>#REF!</v>
      </c>
      <c r="M32" s="188" t="e">
        <f t="shared" si="8"/>
        <v>#REF!</v>
      </c>
      <c r="N32" s="188" t="e">
        <f t="shared" si="8"/>
        <v>#REF!</v>
      </c>
      <c r="O32" s="188" t="e">
        <f t="shared" si="8"/>
        <v>#REF!</v>
      </c>
      <c r="P32" s="188" t="e">
        <f t="shared" si="8"/>
        <v>#REF!</v>
      </c>
      <c r="Q32" s="188" t="e">
        <f t="shared" si="8"/>
        <v>#REF!</v>
      </c>
    </row>
    <row r="33" spans="1:17">
      <c r="A33" s="213">
        <f t="shared" si="3"/>
        <v>27</v>
      </c>
      <c r="B33" s="166" t="s">
        <v>356</v>
      </c>
      <c r="C33" s="166"/>
      <c r="D33" s="214"/>
      <c r="E33" s="214"/>
      <c r="F33" s="157" t="e">
        <f>IF(F15=0," ",F32)</f>
        <v>#REF!</v>
      </c>
      <c r="G33" s="157" t="e">
        <f>IF(G31=0," ",+F33+G32)</f>
        <v>#REF!</v>
      </c>
      <c r="H33" s="157" t="e">
        <f>IF(H31=0," ",+G33+H32)</f>
        <v>#REF!</v>
      </c>
      <c r="I33" s="157" t="e">
        <f t="shared" ref="I33:Q33" si="9">IF(I31=0," ",+H33+I32)</f>
        <v>#REF!</v>
      </c>
      <c r="J33" s="157" t="e">
        <f t="shared" si="9"/>
        <v>#REF!</v>
      </c>
      <c r="K33" s="157" t="e">
        <f t="shared" si="9"/>
        <v>#REF!</v>
      </c>
      <c r="L33" s="157" t="e">
        <f>IF(L31=0," ",+K33+L32)</f>
        <v>#REF!</v>
      </c>
      <c r="M33" s="157" t="e">
        <f>IF(M31=0," ",+L33+M32)</f>
        <v>#REF!</v>
      </c>
      <c r="N33" s="157" t="e">
        <f>IF(N31=0," ",+M33+N32)</f>
        <v>#REF!</v>
      </c>
      <c r="O33" s="157" t="str">
        <f t="shared" si="9"/>
        <v xml:space="preserve"> </v>
      </c>
      <c r="P33" s="157" t="str">
        <f t="shared" si="9"/>
        <v xml:space="preserve"> </v>
      </c>
      <c r="Q33" s="157" t="str">
        <f t="shared" si="9"/>
        <v xml:space="preserve"> </v>
      </c>
    </row>
    <row r="34" spans="1:17">
      <c r="A34" s="163" t="s">
        <v>105</v>
      </c>
      <c r="B34" s="168">
        <v>10000000</v>
      </c>
      <c r="C34" s="169" t="s">
        <v>106</v>
      </c>
      <c r="D34" s="68">
        <v>0.9</v>
      </c>
      <c r="E34" s="68">
        <v>0.9</v>
      </c>
      <c r="F34" s="158" t="e">
        <f>IF(F15=0," ",IF(ABS(F$33)&lt;$B34,0,(ABS(F$33)-$B34)*SIGN(F$33)))</f>
        <v>#REF!</v>
      </c>
      <c r="G34" s="158" t="e">
        <f t="shared" ref="G34:Q34" si="10">IF(G15=0," ",IF(ABS(G$33)&lt;$B34,0,(ABS(G$33)-$B34)*SIGN(G$33)))</f>
        <v>#REF!</v>
      </c>
      <c r="H34" s="158" t="e">
        <f t="shared" si="10"/>
        <v>#REF!</v>
      </c>
      <c r="I34" s="158" t="e">
        <f t="shared" si="10"/>
        <v>#REF!</v>
      </c>
      <c r="J34" s="158" t="e">
        <f t="shared" si="10"/>
        <v>#REF!</v>
      </c>
      <c r="K34" s="158" t="e">
        <f t="shared" si="10"/>
        <v>#REF!</v>
      </c>
      <c r="L34" s="158" t="e">
        <f t="shared" si="10"/>
        <v>#REF!</v>
      </c>
      <c r="M34" s="158" t="e">
        <f t="shared" si="10"/>
        <v>#REF!</v>
      </c>
      <c r="N34" s="158" t="e">
        <f t="shared" si="10"/>
        <v>#REF!</v>
      </c>
      <c r="O34" s="158" t="e">
        <f t="shared" si="10"/>
        <v>#REF!</v>
      </c>
      <c r="P34" s="158" t="e">
        <f t="shared" si="10"/>
        <v>#REF!</v>
      </c>
      <c r="Q34" s="158" t="e">
        <f t="shared" si="10"/>
        <v>#REF!</v>
      </c>
    </row>
    <row r="35" spans="1:17">
      <c r="A35" s="163" t="s">
        <v>105</v>
      </c>
      <c r="B35" s="168">
        <v>4000000</v>
      </c>
      <c r="C35" s="169" t="str">
        <f>"to "&amp;TEXT(B34,"$#,##0,,")&amp;"M"</f>
        <v>to $10M</v>
      </c>
      <c r="D35" s="68">
        <v>0.5</v>
      </c>
      <c r="E35" s="68">
        <v>0.75</v>
      </c>
      <c r="F35" s="158" t="e">
        <f>IF(F15=0," ",IF(ABS(F$33)&lt;$B35,0,MIN($B$34-$B$35,ABS(F$33)-$B35)*SIGN(F$33)))</f>
        <v>#REF!</v>
      </c>
      <c r="G35" s="158" t="e">
        <f t="shared" ref="G35:Q35" si="11">IF(G15=0," ",IF(ABS(G$33)&lt;$B35,0,MIN($B$34-$B$35,ABS(G$33)-$B35)*SIGN(G$33)))</f>
        <v>#REF!</v>
      </c>
      <c r="H35" s="158" t="e">
        <f t="shared" si="11"/>
        <v>#REF!</v>
      </c>
      <c r="I35" s="158" t="e">
        <f t="shared" si="11"/>
        <v>#REF!</v>
      </c>
      <c r="J35" s="158" t="e">
        <f t="shared" si="11"/>
        <v>#REF!</v>
      </c>
      <c r="K35" s="158" t="e">
        <f t="shared" si="11"/>
        <v>#REF!</v>
      </c>
      <c r="L35" s="158" t="e">
        <f t="shared" si="11"/>
        <v>#REF!</v>
      </c>
      <c r="M35" s="158" t="e">
        <f t="shared" si="11"/>
        <v>#REF!</v>
      </c>
      <c r="N35" s="158" t="e">
        <f t="shared" si="11"/>
        <v>#REF!</v>
      </c>
      <c r="O35" s="158" t="e">
        <f t="shared" si="11"/>
        <v>#REF!</v>
      </c>
      <c r="P35" s="158" t="e">
        <f t="shared" si="11"/>
        <v>#REF!</v>
      </c>
      <c r="Q35" s="158" t="e">
        <f t="shared" si="11"/>
        <v>#REF!</v>
      </c>
    </row>
    <row r="36" spans="1:17">
      <c r="A36" s="163" t="s">
        <v>105</v>
      </c>
      <c r="B36" s="168">
        <v>0</v>
      </c>
      <c r="C36" s="169" t="str">
        <f>"to "&amp;TEXT(B35,"$#,##0,,")&amp;"M"</f>
        <v>to $4M</v>
      </c>
      <c r="D36" s="68">
        <v>0</v>
      </c>
      <c r="E36" s="68">
        <v>0</v>
      </c>
      <c r="F36" s="158" t="e">
        <f>IF(F15=0," ",IF(ABS(F$33)&lt;$B36,0,MIN($B$35-$B$36,ABS(F$33)-$B36)*SIGN(F$33)))</f>
        <v>#REF!</v>
      </c>
      <c r="G36" s="158" t="e">
        <f t="shared" ref="G36:Q36" si="12">IF(G15=0," ",IF(ABS(G$33)&lt;$B36,0,MIN($B$35-$B$36,ABS(G$33)-$B36)*SIGN(G$33)))</f>
        <v>#REF!</v>
      </c>
      <c r="H36" s="158" t="e">
        <f t="shared" si="12"/>
        <v>#REF!</v>
      </c>
      <c r="I36" s="158" t="e">
        <f t="shared" si="12"/>
        <v>#REF!</v>
      </c>
      <c r="J36" s="158" t="e">
        <f t="shared" si="12"/>
        <v>#REF!</v>
      </c>
      <c r="K36" s="158" t="e">
        <f t="shared" si="12"/>
        <v>#REF!</v>
      </c>
      <c r="L36" s="158" t="e">
        <f t="shared" si="12"/>
        <v>#REF!</v>
      </c>
      <c r="M36" s="158" t="e">
        <f t="shared" si="12"/>
        <v>#REF!</v>
      </c>
      <c r="N36" s="158" t="e">
        <f t="shared" si="12"/>
        <v>#REF!</v>
      </c>
      <c r="O36" s="158" t="e">
        <f t="shared" si="12"/>
        <v>#REF!</v>
      </c>
      <c r="P36" s="158" t="e">
        <f t="shared" si="12"/>
        <v>#REF!</v>
      </c>
      <c r="Q36" s="158" t="e">
        <f t="shared" si="12"/>
        <v>#REF!</v>
      </c>
    </row>
    <row r="37" spans="1:17">
      <c r="A37" s="32"/>
      <c r="B37" s="69"/>
      <c r="C37" s="70" t="s">
        <v>107</v>
      </c>
      <c r="D37" s="150"/>
      <c r="E37" s="150"/>
      <c r="F37" s="162" t="e">
        <f>IF(F15=0," ",SUM(F34:F36)-F33)</f>
        <v>#REF!</v>
      </c>
      <c r="G37" s="162" t="e">
        <f t="shared" ref="G37:Q37" si="13">IF(G15=0," ",SUM(G34:G36)-G33)</f>
        <v>#REF!</v>
      </c>
      <c r="H37" s="162" t="e">
        <f t="shared" si="13"/>
        <v>#REF!</v>
      </c>
      <c r="I37" s="162" t="e">
        <f t="shared" si="13"/>
        <v>#REF!</v>
      </c>
      <c r="J37" s="162" t="e">
        <f t="shared" si="13"/>
        <v>#REF!</v>
      </c>
      <c r="K37" s="162" t="e">
        <f t="shared" si="13"/>
        <v>#REF!</v>
      </c>
      <c r="L37" s="162" t="e">
        <f t="shared" si="13"/>
        <v>#REF!</v>
      </c>
      <c r="M37" s="162" t="e">
        <f t="shared" si="13"/>
        <v>#REF!</v>
      </c>
      <c r="N37" s="162" t="e">
        <f t="shared" si="13"/>
        <v>#REF!</v>
      </c>
      <c r="O37" s="162" t="e">
        <f t="shared" si="13"/>
        <v>#REF!</v>
      </c>
      <c r="P37" s="162" t="e">
        <f t="shared" si="13"/>
        <v>#REF!</v>
      </c>
      <c r="Q37" s="162" t="e">
        <f t="shared" si="13"/>
        <v>#REF!</v>
      </c>
    </row>
    <row r="38" spans="1:17">
      <c r="A38" s="32" t="s">
        <v>263</v>
      </c>
      <c r="D38" s="152"/>
      <c r="E38" s="152"/>
      <c r="F38" s="158" t="e">
        <f>IF(F15=0," ",SUMPRODUCT(IF(F33&gt;0,$D$34:$D$36,$E$34:$E$36),F34:F36))</f>
        <v>#REF!</v>
      </c>
      <c r="G38" s="158" t="e">
        <f t="shared" ref="G38:Q38" si="14">IF(G15=0," ",SUMPRODUCT(IF(G33&gt;0,$D$34:$D$36,$E$34:$E$36),G34:G36))</f>
        <v>#REF!</v>
      </c>
      <c r="H38" s="158" t="e">
        <f t="shared" si="14"/>
        <v>#REF!</v>
      </c>
      <c r="I38" s="158" t="e">
        <f t="shared" si="14"/>
        <v>#REF!</v>
      </c>
      <c r="J38" s="158" t="e">
        <f t="shared" si="14"/>
        <v>#REF!</v>
      </c>
      <c r="K38" s="158" t="e">
        <f t="shared" si="14"/>
        <v>#REF!</v>
      </c>
      <c r="L38" s="158" t="e">
        <f t="shared" si="14"/>
        <v>#REF!</v>
      </c>
      <c r="M38" s="158" t="e">
        <f t="shared" si="14"/>
        <v>#REF!</v>
      </c>
      <c r="N38" s="158" t="e">
        <f t="shared" si="14"/>
        <v>#REF!</v>
      </c>
      <c r="O38" s="158" t="e">
        <f t="shared" si="14"/>
        <v>#REF!</v>
      </c>
      <c r="P38" s="158" t="e">
        <f t="shared" si="14"/>
        <v>#REF!</v>
      </c>
      <c r="Q38" s="158" t="e">
        <f t="shared" si="14"/>
        <v>#REF!</v>
      </c>
    </row>
    <row r="39" spans="1:17">
      <c r="A39" s="32" t="s">
        <v>108</v>
      </c>
      <c r="D39" s="153"/>
      <c r="E39" s="153"/>
      <c r="F39" s="158" t="e">
        <f>IF(F15=0," ",F38-D38)</f>
        <v>#REF!</v>
      </c>
      <c r="G39" s="158" t="e">
        <f t="shared" ref="G39:Q39" si="15">IF(G15=0," ",G38-F38)</f>
        <v>#REF!</v>
      </c>
      <c r="H39" s="158" t="e">
        <f t="shared" si="15"/>
        <v>#REF!</v>
      </c>
      <c r="I39" s="158" t="e">
        <f t="shared" si="15"/>
        <v>#REF!</v>
      </c>
      <c r="J39" s="158" t="e">
        <f t="shared" si="15"/>
        <v>#REF!</v>
      </c>
      <c r="K39" s="158" t="e">
        <f t="shared" si="15"/>
        <v>#REF!</v>
      </c>
      <c r="L39" s="158" t="e">
        <f t="shared" si="15"/>
        <v>#REF!</v>
      </c>
      <c r="M39" s="158" t="e">
        <f t="shared" si="15"/>
        <v>#REF!</v>
      </c>
      <c r="N39" s="158" t="e">
        <f t="shared" si="15"/>
        <v>#REF!</v>
      </c>
      <c r="O39" s="158" t="e">
        <f t="shared" si="15"/>
        <v>#REF!</v>
      </c>
      <c r="P39" s="158" t="e">
        <f t="shared" si="15"/>
        <v>#REF!</v>
      </c>
      <c r="Q39" s="158" t="e">
        <f t="shared" si="15"/>
        <v>#REF!</v>
      </c>
    </row>
    <row r="40" spans="1:17">
      <c r="A40" s="535" t="s">
        <v>267</v>
      </c>
      <c r="B40" s="535"/>
      <c r="C40" s="535"/>
      <c r="D40" s="502" t="e">
        <f>SUM(F40:Q40)</f>
        <v>#REF!</v>
      </c>
      <c r="E40" s="502"/>
      <c r="F40" s="172" t="e">
        <f>IF(F15=0," ",-F39-E39)</f>
        <v>#REF!</v>
      </c>
      <c r="G40" s="172" t="e">
        <f>IF(G15=0," ",-G39-F39)</f>
        <v>#REF!</v>
      </c>
      <c r="H40" s="172" t="e">
        <f>IF(H15=0," ",-H39-G39)</f>
        <v>#REF!</v>
      </c>
      <c r="I40" s="172" t="e">
        <f>IF(I15=0," ",-I39)</f>
        <v>#REF!</v>
      </c>
      <c r="J40" s="172" t="e">
        <f t="shared" ref="J40:Q40" si="16">IF(J15=0," ",-J39)</f>
        <v>#REF!</v>
      </c>
      <c r="K40" s="172" t="e">
        <f t="shared" si="16"/>
        <v>#REF!</v>
      </c>
      <c r="L40" s="172" t="e">
        <f t="shared" si="16"/>
        <v>#REF!</v>
      </c>
      <c r="M40" s="172" t="e">
        <f t="shared" si="16"/>
        <v>#REF!</v>
      </c>
      <c r="N40" s="172" t="e">
        <f t="shared" si="16"/>
        <v>#REF!</v>
      </c>
      <c r="O40" s="172" t="e">
        <f t="shared" si="16"/>
        <v>#REF!</v>
      </c>
      <c r="P40" s="172" t="e">
        <f t="shared" si="16"/>
        <v>#REF!</v>
      </c>
      <c r="Q40" s="172" t="e">
        <f t="shared" si="16"/>
        <v>#REF!</v>
      </c>
    </row>
    <row r="41" spans="1:17" ht="13.5" thickBot="1">
      <c r="A41" s="536" t="s">
        <v>111</v>
      </c>
      <c r="B41" s="536"/>
      <c r="C41" s="536"/>
      <c r="D41" s="147"/>
      <c r="E41" s="147"/>
      <c r="F41" s="174" t="e">
        <f>IF(F15=0," ",F33-F38)</f>
        <v>#REF!</v>
      </c>
      <c r="G41" s="174" t="e">
        <f t="shared" ref="G41:Q41" si="17">IF(G15=0," ",G33-G38)</f>
        <v>#REF!</v>
      </c>
      <c r="H41" s="174" t="e">
        <f t="shared" si="17"/>
        <v>#REF!</v>
      </c>
      <c r="I41" s="174" t="e">
        <f t="shared" si="17"/>
        <v>#REF!</v>
      </c>
      <c r="J41" s="174" t="e">
        <f t="shared" si="17"/>
        <v>#REF!</v>
      </c>
      <c r="K41" s="174" t="e">
        <f t="shared" si="17"/>
        <v>#REF!</v>
      </c>
      <c r="L41" s="174" t="e">
        <f t="shared" si="17"/>
        <v>#REF!</v>
      </c>
      <c r="M41" s="174" t="e">
        <f t="shared" si="17"/>
        <v>#REF!</v>
      </c>
      <c r="N41" s="174" t="e">
        <f t="shared" si="17"/>
        <v>#REF!</v>
      </c>
      <c r="O41" s="174" t="e">
        <f t="shared" si="17"/>
        <v>#REF!</v>
      </c>
      <c r="P41" s="174" t="e">
        <f t="shared" si="17"/>
        <v>#REF!</v>
      </c>
      <c r="Q41" s="174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92" t="s">
        <v>227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ht="15.75">
      <c r="A2" s="523" t="s">
        <v>371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4" spans="1:11" ht="15.75">
      <c r="A4" s="226" t="s">
        <v>372</v>
      </c>
    </row>
    <row r="5" spans="1:11" ht="15.75">
      <c r="A5" s="226"/>
      <c r="B5" s="2">
        <v>1</v>
      </c>
      <c r="C5" s="2" t="s">
        <v>373</v>
      </c>
    </row>
    <row r="6" spans="1:11" ht="15.75">
      <c r="A6" s="226"/>
    </row>
    <row r="7" spans="1:11">
      <c r="B7" s="2">
        <v>2</v>
      </c>
      <c r="C7" s="2" t="s">
        <v>374</v>
      </c>
    </row>
    <row r="8" spans="1:11">
      <c r="D8" s="26" t="s">
        <v>375</v>
      </c>
    </row>
    <row r="9" spans="1:11">
      <c r="D9" s="26" t="s">
        <v>376</v>
      </c>
    </row>
    <row r="10" spans="1:11">
      <c r="D10" s="227" t="s">
        <v>377</v>
      </c>
    </row>
    <row r="11" spans="1:11">
      <c r="D11" s="26" t="s">
        <v>378</v>
      </c>
    </row>
    <row r="12" spans="1:11">
      <c r="D12" s="26" t="s">
        <v>379</v>
      </c>
    </row>
    <row r="13" spans="1:11">
      <c r="D13" s="26" t="s">
        <v>380</v>
      </c>
    </row>
    <row r="14" spans="1:11">
      <c r="D14" s="26" t="s">
        <v>381</v>
      </c>
    </row>
    <row r="16" spans="1:11">
      <c r="B16" s="2">
        <v>3</v>
      </c>
      <c r="C16" s="2" t="s">
        <v>382</v>
      </c>
    </row>
    <row r="17" spans="2:10">
      <c r="D17" s="26" t="s">
        <v>383</v>
      </c>
    </row>
    <row r="18" spans="2:10">
      <c r="D18" s="26" t="s">
        <v>384</v>
      </c>
    </row>
    <row r="19" spans="2:10">
      <c r="D19" s="26" t="s">
        <v>385</v>
      </c>
    </row>
    <row r="21" spans="2:10">
      <c r="B21" s="2">
        <v>4</v>
      </c>
      <c r="C21" s="2" t="s">
        <v>386</v>
      </c>
    </row>
    <row r="22" spans="2:10">
      <c r="D22" s="26" t="s">
        <v>387</v>
      </c>
    </row>
    <row r="23" spans="2:10">
      <c r="D23" s="26" t="s">
        <v>388</v>
      </c>
    </row>
    <row r="24" spans="2:10">
      <c r="D24" s="26" t="s">
        <v>389</v>
      </c>
    </row>
    <row r="25" spans="2:10">
      <c r="D25" s="26" t="s">
        <v>390</v>
      </c>
    </row>
    <row r="27" spans="2:10">
      <c r="B27" s="2">
        <v>5</v>
      </c>
      <c r="C27" s="2" t="s">
        <v>391</v>
      </c>
      <c r="D27" s="2"/>
    </row>
    <row r="28" spans="2:10">
      <c r="D28" s="26" t="s">
        <v>389</v>
      </c>
    </row>
    <row r="29" spans="2:10">
      <c r="D29" s="26" t="s">
        <v>390</v>
      </c>
    </row>
    <row r="31" spans="2:10">
      <c r="B31" s="2">
        <v>6</v>
      </c>
      <c r="C31" s="2" t="s">
        <v>392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393</v>
      </c>
      <c r="D32" s="2"/>
      <c r="E32" s="2"/>
      <c r="F32" s="2"/>
      <c r="G32" s="2"/>
      <c r="H32" s="2"/>
      <c r="I32" s="2"/>
      <c r="J32" s="2"/>
    </row>
    <row r="34" spans="1:11" ht="15.75">
      <c r="A34" s="228" t="s">
        <v>394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</row>
    <row r="35" spans="1:11" ht="15.75">
      <c r="A35" s="228"/>
      <c r="B35" s="230">
        <v>1</v>
      </c>
      <c r="C35" s="2" t="s">
        <v>395</v>
      </c>
      <c r="D35" s="229"/>
      <c r="E35" s="229"/>
      <c r="F35" s="229"/>
      <c r="G35" s="229"/>
      <c r="H35" s="229"/>
      <c r="I35" s="229"/>
      <c r="J35" s="229"/>
      <c r="K35" s="229"/>
    </row>
    <row r="36" spans="1:11" ht="15.7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29"/>
    </row>
    <row r="37" spans="1:11">
      <c r="A37" s="229"/>
      <c r="B37" s="230">
        <v>2</v>
      </c>
      <c r="C37" s="230" t="s">
        <v>374</v>
      </c>
      <c r="D37" s="229"/>
      <c r="E37" s="229"/>
      <c r="F37" s="229"/>
      <c r="G37" s="229"/>
      <c r="H37" s="229"/>
      <c r="I37" s="229"/>
      <c r="J37" s="229"/>
      <c r="K37" s="229"/>
    </row>
    <row r="38" spans="1:11">
      <c r="A38" s="229"/>
      <c r="B38" s="229"/>
      <c r="C38" s="229"/>
      <c r="D38" s="227" t="s">
        <v>375</v>
      </c>
      <c r="E38" s="229"/>
      <c r="F38" s="229"/>
      <c r="G38" s="229"/>
      <c r="H38" s="229"/>
      <c r="I38" s="229"/>
      <c r="J38" s="229"/>
      <c r="K38" s="229"/>
    </row>
    <row r="39" spans="1:11">
      <c r="A39" s="229"/>
      <c r="B39" s="229"/>
      <c r="C39" s="229"/>
      <c r="D39" s="227" t="s">
        <v>376</v>
      </c>
      <c r="E39" s="229"/>
      <c r="F39" s="229"/>
      <c r="G39" s="229"/>
      <c r="H39" s="229"/>
      <c r="I39" s="229"/>
      <c r="J39" s="229"/>
      <c r="K39" s="229"/>
    </row>
    <row r="40" spans="1:11">
      <c r="A40" s="229"/>
      <c r="B40" s="229"/>
      <c r="C40" s="229"/>
      <c r="D40" s="227" t="s">
        <v>377</v>
      </c>
      <c r="E40" s="229"/>
      <c r="F40" s="229"/>
      <c r="G40" s="229"/>
      <c r="H40" s="229"/>
      <c r="I40" s="229"/>
      <c r="J40" s="229"/>
      <c r="K40" s="229"/>
    </row>
    <row r="41" spans="1:11">
      <c r="A41" s="229"/>
      <c r="B41" s="229"/>
      <c r="C41" s="229"/>
      <c r="D41" s="227" t="s">
        <v>378</v>
      </c>
      <c r="E41" s="229"/>
      <c r="F41" s="229"/>
      <c r="G41" s="229"/>
      <c r="H41" s="229"/>
      <c r="I41" s="229"/>
      <c r="J41" s="229"/>
      <c r="K41" s="229"/>
    </row>
    <row r="42" spans="1:11">
      <c r="A42" s="229"/>
      <c r="B42" s="229"/>
      <c r="C42" s="229"/>
      <c r="D42" s="227" t="s">
        <v>396</v>
      </c>
      <c r="E42" s="229"/>
      <c r="F42" s="229"/>
      <c r="G42" s="229"/>
      <c r="H42" s="229"/>
      <c r="I42" s="229"/>
      <c r="J42" s="229"/>
      <c r="K42" s="229"/>
    </row>
    <row r="43" spans="1:11">
      <c r="A43" s="229"/>
      <c r="B43" s="229"/>
      <c r="C43" s="229"/>
      <c r="D43" s="26" t="s">
        <v>380</v>
      </c>
      <c r="E43" s="229"/>
      <c r="F43" s="229"/>
      <c r="G43" s="229"/>
      <c r="H43" s="229"/>
      <c r="I43" s="229"/>
      <c r="J43" s="229"/>
      <c r="K43" s="229"/>
    </row>
    <row r="44" spans="1:11">
      <c r="A44" s="229"/>
      <c r="B44" s="229"/>
      <c r="C44" s="229"/>
      <c r="D44" s="227" t="s">
        <v>381</v>
      </c>
      <c r="E44" s="229"/>
      <c r="F44" s="229"/>
      <c r="G44" s="229"/>
      <c r="H44" s="229"/>
      <c r="I44" s="229"/>
      <c r="J44" s="229"/>
      <c r="K44" s="229"/>
    </row>
    <row r="45" spans="1:1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</row>
    <row r="46" spans="1:11">
      <c r="A46" s="229"/>
      <c r="B46" s="230">
        <v>3</v>
      </c>
      <c r="C46" s="230" t="s">
        <v>386</v>
      </c>
      <c r="D46" s="229"/>
      <c r="E46" s="229"/>
      <c r="F46" s="229"/>
      <c r="G46" s="229"/>
      <c r="H46" s="229"/>
      <c r="I46" s="229"/>
      <c r="J46" s="229"/>
      <c r="K46" s="229"/>
    </row>
    <row r="47" spans="1:11">
      <c r="A47" s="229"/>
      <c r="B47" s="229"/>
      <c r="C47" s="229"/>
      <c r="D47" s="227" t="s">
        <v>387</v>
      </c>
      <c r="E47" s="229"/>
      <c r="F47" s="229"/>
      <c r="G47" s="229"/>
      <c r="H47" s="229"/>
      <c r="I47" s="229"/>
      <c r="J47" s="229"/>
      <c r="K47" s="229"/>
    </row>
    <row r="48" spans="1:11">
      <c r="A48" s="229"/>
      <c r="B48" s="229"/>
      <c r="C48" s="229"/>
      <c r="D48" s="227" t="s">
        <v>388</v>
      </c>
      <c r="E48" s="229"/>
      <c r="F48" s="229"/>
      <c r="G48" s="229"/>
      <c r="H48" s="229"/>
      <c r="I48" s="229"/>
      <c r="J48" s="229"/>
      <c r="K48" s="229"/>
    </row>
    <row r="49" spans="1:11">
      <c r="A49" s="229"/>
      <c r="B49" s="229"/>
      <c r="C49" s="229"/>
      <c r="D49" s="227" t="s">
        <v>389</v>
      </c>
      <c r="E49" s="229"/>
      <c r="F49" s="229"/>
      <c r="G49" s="229"/>
      <c r="H49" s="229"/>
      <c r="I49" s="229"/>
      <c r="J49" s="229"/>
      <c r="K49" s="229"/>
    </row>
    <row r="50" spans="1:11">
      <c r="A50" s="229"/>
      <c r="B50" s="229"/>
      <c r="C50" s="229"/>
      <c r="D50" s="227" t="s">
        <v>390</v>
      </c>
      <c r="E50" s="229"/>
      <c r="F50" s="229"/>
      <c r="G50" s="229"/>
      <c r="H50" s="229"/>
      <c r="I50" s="229"/>
      <c r="J50" s="229"/>
      <c r="K50" s="229"/>
    </row>
    <row r="51" spans="1:11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>
      <c r="A52" s="229"/>
      <c r="B52" s="230">
        <v>4</v>
      </c>
      <c r="C52" s="230" t="s">
        <v>391</v>
      </c>
      <c r="D52" s="230"/>
      <c r="E52" s="229"/>
      <c r="F52" s="229"/>
      <c r="G52" s="229"/>
      <c r="H52" s="229"/>
      <c r="I52" s="229"/>
      <c r="J52" s="229"/>
      <c r="K52" s="229"/>
    </row>
    <row r="53" spans="1:11">
      <c r="A53" s="229"/>
      <c r="B53" s="229"/>
      <c r="C53" s="229"/>
      <c r="D53" s="227" t="s">
        <v>389</v>
      </c>
      <c r="E53" s="229"/>
      <c r="F53" s="229"/>
      <c r="G53" s="229"/>
      <c r="H53" s="229"/>
      <c r="I53" s="229"/>
      <c r="J53" s="229"/>
      <c r="K53" s="229"/>
    </row>
    <row r="54" spans="1:11">
      <c r="A54" s="229"/>
      <c r="B54" s="229"/>
      <c r="C54" s="229"/>
      <c r="D54" s="227" t="s">
        <v>390</v>
      </c>
      <c r="E54" s="229"/>
      <c r="F54" s="229"/>
      <c r="G54" s="229"/>
      <c r="H54" s="229"/>
      <c r="I54" s="229"/>
      <c r="J54" s="229"/>
      <c r="K54" s="229"/>
    </row>
    <row r="55" spans="1:11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</row>
    <row r="56" spans="1:11">
      <c r="A56" s="229"/>
      <c r="B56" s="230">
        <v>5</v>
      </c>
      <c r="C56" s="230" t="s">
        <v>392</v>
      </c>
      <c r="D56" s="230"/>
      <c r="E56" s="230"/>
      <c r="F56" s="230"/>
      <c r="G56" s="230"/>
      <c r="H56" s="230"/>
      <c r="I56" s="230"/>
      <c r="J56" s="230"/>
      <c r="K56" s="229"/>
    </row>
    <row r="57" spans="1:11">
      <c r="A57" s="229"/>
      <c r="B57" s="230"/>
      <c r="C57" s="230" t="s">
        <v>393</v>
      </c>
      <c r="D57" s="230"/>
      <c r="E57" s="230"/>
      <c r="F57" s="230"/>
      <c r="G57" s="230"/>
      <c r="H57" s="230"/>
      <c r="I57" s="230"/>
      <c r="J57" s="230"/>
      <c r="K57" s="229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2018-04-12T07:00:00+00:00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C4EC1-6309-4094-9D29-22926AB7ECC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DB889F-18A5-4EAD-835B-5AE026475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FD7A8-8E73-4009-8DA4-1AD65A61CB69}"/>
</file>

<file path=customXml/itemProps4.xml><?xml version="1.0" encoding="utf-8"?>
<ds:datastoreItem xmlns:ds="http://schemas.openxmlformats.org/officeDocument/2006/customXml" ds:itemID="{7B0F429A-98C2-4AD4-AABF-E6ACCDB46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WA bud vs auth</vt:lpstr>
      <vt:lpstr>WA act vs auth</vt:lpstr>
      <vt:lpstr>Directions</vt:lpstr>
      <vt:lpstr>Instructions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Huey, Lorilyn (UTC)</cp:lastModifiedBy>
  <cp:lastPrinted>2018-04-05T22:19:44Z</cp:lastPrinted>
  <dcterms:created xsi:type="dcterms:W3CDTF">2002-02-05T19:51:48Z</dcterms:created>
  <dcterms:modified xsi:type="dcterms:W3CDTF">2018-04-12T22:55:36Z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