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4795" windowHeight="13545"/>
  </bookViews>
  <sheets>
    <sheet name="JPE-12 Page 1" sheetId="4" r:id="rId1"/>
    <sheet name="JPE-12 Page 2" sheetId="5" r:id="rId2"/>
    <sheet name="JPE-12 Page 3" sheetId="6" r:id="rId3"/>
    <sheet name="JPE-12 Page 4" sheetId="7" r:id="rId4"/>
    <sheet name="JPE-12 Page 5" sheetId="8" r:id="rId5"/>
    <sheet name="JPE-12 Page 6" sheetId="9" r:id="rId6"/>
    <sheet name="JPE-12 Page 7" sheetId="10" r:id="rId7"/>
    <sheet name="JPE-12 Page 8" sheetId="11" r:id="rId8"/>
    <sheet name="JPE-12 Page 9" sheetId="12" r:id="rId9"/>
    <sheet name="JPE-12 Page 10" sheetId="13" r:id="rId10"/>
  </sheets>
  <externalReferences>
    <externalReference r:id="rId11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3" hidden="1">#REF!</definedName>
    <definedName name="__123Graph_D" localSheetId="7" hidden="1">#REF!</definedName>
    <definedName name="__123Graph_D" hidden="1">#REF!</definedName>
    <definedName name="__123Graph_ECURRENT" localSheetId="9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localSheetId="3" hidden="1">{#N/A,#N/A,FALSE,"CRPT";#N/A,#N/A,FALSE,"TREND";#N/A,#N/A,FALSE,"%Curve"}</definedName>
    <definedName name="__six6" localSheetId="7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7" hidden="1">{#N/A,#N/A,FALSE,"schA"}</definedName>
    <definedName name="__www1" hidden="1">{#N/A,#N/A,FALSE,"schA"}</definedName>
    <definedName name="_ex1" hidden="1">{#N/A,#N/A,FALSE,"Summ";#N/A,#N/A,FALSE,"General"}</definedName>
    <definedName name="_Key1" localSheetId="3" hidden="1">#REF!</definedName>
    <definedName name="_Key1" localSheetId="7" hidden="1">#REF!</definedName>
    <definedName name="_Key1" hidden="1">#REF!</definedName>
    <definedName name="_Key2" localSheetId="3" hidden="1">#REF!</definedName>
    <definedName name="_Key2" localSheetId="7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3" hidden="1">#REF!</definedName>
    <definedName name="_Sort" localSheetId="7" hidden="1">#REF!</definedName>
    <definedName name="_Sort" hidden="1">#REF!</definedName>
    <definedName name="_www1" hidden="1">{#N/A,#N/A,FALSE,"schA"}</definedName>
    <definedName name="a" localSheetId="3" hidden="1">{#N/A,#N/A,FALSE,"Coversheet";#N/A,#N/A,FALSE,"QA"}</definedName>
    <definedName name="a" localSheetId="7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9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Ex0017DGUEDPCFJUPUZOOLJCS2B" localSheetId="9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9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9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9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9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9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9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9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9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9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9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9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9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9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9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9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9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9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9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9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9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9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9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9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9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9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9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9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9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9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9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9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9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9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9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9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9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9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9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9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9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9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9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9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9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9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9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9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9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9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9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9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9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9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9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9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9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9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9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9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9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9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9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9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9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9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9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9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9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9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9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9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9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9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9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9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9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9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9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9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9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9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9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9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9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9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9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9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9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9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9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9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9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9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9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9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9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9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9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9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9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9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9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9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9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9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9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9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9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9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9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9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9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9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9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9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9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9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9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9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9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9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9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9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9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9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9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9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9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9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9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9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9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9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9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9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9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9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9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9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9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9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9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9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9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9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9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9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9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9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9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9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9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9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9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9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9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9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9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9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9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9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9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9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9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9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9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9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9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9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9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9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9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9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9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9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9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9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9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9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9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9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9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9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9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9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9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9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9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9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9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9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9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9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9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9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9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9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9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9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9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9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9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9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9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9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9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9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9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9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9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9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9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9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9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9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9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9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9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9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9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9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9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9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9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9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9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9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9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9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9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9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ANPY1HT49TAH98H4B9RC1D4" localSheetId="3" hidden="1">#REF!</definedName>
    <definedName name="BEx3LANPY1HT49TAH98H4B9RC1D4" localSheetId="7" hidden="1">#REF!</definedName>
    <definedName name="BEx3LANPY1HT49TAH98H4B9RC1D4" hidden="1">#REF!</definedName>
    <definedName name="BEx3LM1PR4Y7KINKMTMKR984GX8Q" localSheetId="9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9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9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9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9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9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9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9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9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9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9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9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9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9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9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9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9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9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9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9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9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9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9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9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9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9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9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9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9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9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9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9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9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9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9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9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9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9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9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9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9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9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9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9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9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9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9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9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9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9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9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9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9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9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9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9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9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9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9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9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9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9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9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9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9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9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9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9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9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9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NISOEXF3OFHT2BUA6P9RBIJ" localSheetId="3" hidden="1">#REF!</definedName>
    <definedName name="BEx3UNISOEXF3OFHT2BUA6P9RBIJ" localSheetId="7" hidden="1">#REF!</definedName>
    <definedName name="BEx3UNISOEXF3OFHT2BUA6P9RBIJ" hidden="1">#REF!</definedName>
    <definedName name="BEx3UYM19VIXLA0EU7LB9NHA77PB" localSheetId="9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9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9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9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9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9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9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9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9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9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9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9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9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9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9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9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9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9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9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9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9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9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9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9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9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9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9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9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9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9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9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9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9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9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9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9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9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9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9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9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9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9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9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9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9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9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9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9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9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9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9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9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9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9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9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9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9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9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9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9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9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9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9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9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9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9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9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9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9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9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9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9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9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9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9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9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9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9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9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9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9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9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9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9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9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9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9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9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9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9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9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9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9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9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9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9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9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9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9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9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9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9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9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9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9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9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9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9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9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9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9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9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9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9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9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9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9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9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9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9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9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9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9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9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9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9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9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9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9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9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9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9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9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9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9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9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9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9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9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9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9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9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9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9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9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9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9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9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9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9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9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9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9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9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9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9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9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9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9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9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9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9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9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9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9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9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9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9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9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9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9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9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9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9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9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9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9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9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9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9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9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9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9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9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9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9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9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9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9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9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9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9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9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9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9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9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9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9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9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9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9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9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9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9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9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9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9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9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9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9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9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9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9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9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9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9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9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9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9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9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9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9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9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9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9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9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9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9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9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9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9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9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9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9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9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9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9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9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9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9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9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9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9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9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9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9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9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9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9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9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9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9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9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9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9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9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9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9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9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9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9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9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9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9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9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9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9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9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9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9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9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9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9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9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9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9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9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9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9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9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9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9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9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9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9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9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9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9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9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9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9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9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9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9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9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9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9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9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9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9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9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9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9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9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9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9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9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9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9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9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9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9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9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9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9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9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9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9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9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9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9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9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9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9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9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9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9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9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9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9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9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9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9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9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9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9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9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9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9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9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9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9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9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9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9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9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9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9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9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9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9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9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9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9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9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9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9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9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9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9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9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9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9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9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9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9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9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9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9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9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9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9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9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9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9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9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9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9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9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9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9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9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9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9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9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9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9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9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L27NGDBCTVPW97K42QANS5K" localSheetId="3" hidden="1">#REF!</definedName>
    <definedName name="BEx9EL27NGDBCTVPW97K42QANS5K" localSheetId="7" hidden="1">#REF!</definedName>
    <definedName name="BEx9EL27NGDBCTVPW97K42QANS5K" hidden="1">#REF!</definedName>
    <definedName name="BEx9EMK6HAJJMVYZTN5AUIV7O1E6" localSheetId="9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9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9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9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9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9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9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9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9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9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9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9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9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9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9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9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9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9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9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9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9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9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9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9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9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9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9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9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9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9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9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9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9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9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9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9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9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9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9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9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9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9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9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9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9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9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9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9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9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9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9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9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9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9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9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9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9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9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9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9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9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9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9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9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9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9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9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9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9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9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9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9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9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9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9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9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9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9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9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9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9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9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9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9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9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9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9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9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9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9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9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9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9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9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9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9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9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9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9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9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9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9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9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9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9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9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9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9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9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9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9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9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9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9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9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9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9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9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9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9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9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9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9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9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9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9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9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9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9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9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9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9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9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9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9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9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9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9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9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9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9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9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9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9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9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9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9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9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9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9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9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9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9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9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9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9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9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9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9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9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9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9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9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9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9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9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9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9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FFT2RP50WNPKBT7X8PJ3" localSheetId="3" hidden="1">#REF!</definedName>
    <definedName name="BExBCKKJFFT2RP50WNPKBT7X8PJ3" localSheetId="7" hidden="1">#REF!</definedName>
    <definedName name="BExBCKKJFFT2RP50WNPKBT7X8PJ3" hidden="1">#REF!</definedName>
    <definedName name="BExBCKKJTIRKC1RZJRTK65HHLX4W" localSheetId="9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9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9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9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9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9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9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9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9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9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9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9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9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9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9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9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9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9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9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9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9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9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9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9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9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9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9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9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9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9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9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9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9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9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9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9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9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9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9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9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9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9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9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9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9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9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9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9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9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9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9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9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9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9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9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9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9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9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9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9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9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9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9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9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9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9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9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9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9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9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9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9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9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9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9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9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9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9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9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9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9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9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9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9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9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9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9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9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9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9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9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9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9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9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9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9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9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9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9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9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9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9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9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9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9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9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9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9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9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9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9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9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9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9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9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9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9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9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9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9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9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9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9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9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9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9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9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9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9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9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9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9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9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9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9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9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9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9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9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9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9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9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9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9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9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9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9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9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9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9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9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9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9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9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9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9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9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9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9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9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9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9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9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NU8ISP26W97JG63CN1XT9KB4" localSheetId="3" hidden="1">#REF!</definedName>
    <definedName name="BExENU8ISP26W97JG63CN1XT9KB4" localSheetId="7" hidden="1">#REF!</definedName>
    <definedName name="BExENU8ISP26W97JG63CN1XT9KB4" hidden="1">#REF!</definedName>
    <definedName name="BExEO14OTKLVDBTNB2ONGZ4YB20H" localSheetId="9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9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9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9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9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9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9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9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9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9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9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9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9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9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9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9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9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9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9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9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9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9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9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9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9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9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9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9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9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9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9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9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9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9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9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9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9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9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9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9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9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9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9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9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9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9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UOAHB0OT3BACAHNZ3B905C0P" localSheetId="3" hidden="1">#REF!</definedName>
    <definedName name="BExEUOAHB0OT3BACAHNZ3B905C0P" localSheetId="7" hidden="1">#REF!</definedName>
    <definedName name="BExEUOAHB0OT3BACAHNZ3B905C0P" hidden="1">#REF!</definedName>
    <definedName name="BExEV2TP7NA3ZR6RJGH5ER370OUM" localSheetId="9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9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9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9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9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9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9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9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9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9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9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9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9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9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9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9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9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9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9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9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9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9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9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9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9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9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9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9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9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9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9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9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9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9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9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9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9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9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9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9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9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9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9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9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9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9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9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9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9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9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9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9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9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9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9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9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9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9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9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9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9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9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9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9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9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9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9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9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9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9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9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9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9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9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9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9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9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9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9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9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9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9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9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9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9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9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9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9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9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9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9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9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9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9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9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9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9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9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9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9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9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9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9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9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9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9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9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9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9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9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9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9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9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9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9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9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9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9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9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9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9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9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9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9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9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9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9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9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9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9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9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9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9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9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9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9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9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9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9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9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9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9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9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9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9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9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9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9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9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9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9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9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9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9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9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9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9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9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9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9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9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9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9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9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9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9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9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9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9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9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9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9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9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9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9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9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9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9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9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9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9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9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9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9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9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9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9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9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9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9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9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9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9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9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9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9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9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9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9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9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9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9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9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9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9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9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9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9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9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9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9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9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9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9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9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9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9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9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9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9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9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9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9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9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9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9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9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9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9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9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9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9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9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9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9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9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9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9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9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9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9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9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9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9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9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9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9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9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9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9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9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9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9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9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9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9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9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9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9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9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9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9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9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9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9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9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9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9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9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9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9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9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9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9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9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9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9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9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9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9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9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9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9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9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9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9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9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9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9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9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9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9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9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9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9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9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9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9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9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9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9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9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9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9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9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9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9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9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9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9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9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9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9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9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9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9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9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9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9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9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9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9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9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9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9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9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9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PVL5VEVK9Q7AYB7EC2VZWBEZ" localSheetId="3" hidden="1">#REF!</definedName>
    <definedName name="BExIPVL5VEVK9Q7AYB7EC2VZWBEZ" localSheetId="7" hidden="1">#REF!</definedName>
    <definedName name="BExIPVL5VEVK9Q7AYB7EC2VZWBEZ" hidden="1">#REF!</definedName>
    <definedName name="BExIQ1VS9A2FHVD9TUHKG9K8EVVP" localSheetId="9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9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9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9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9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9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9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9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9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9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9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9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9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9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9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9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9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9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9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9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9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9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9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9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9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9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9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9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9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9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9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9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9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9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9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9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9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9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9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9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9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9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9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9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9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9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9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9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9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9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9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9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9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9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9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9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9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9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9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9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9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9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9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9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9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9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9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9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9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9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9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9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9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9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9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9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9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9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9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9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9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9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9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9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9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9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9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9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9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9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9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9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9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9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9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9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9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9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9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9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9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9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9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9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9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9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9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9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9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9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9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9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9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9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9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9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Q3T3TWGZUSNVWJE1XWXHGRQ" localSheetId="3" hidden="1">#REF!</definedName>
    <definedName name="BExKGQ3T3TWGZUSNVWJE1XWXHGRQ" localSheetId="7" hidden="1">#REF!</definedName>
    <definedName name="BExKGQ3T3TWGZUSNVWJE1XWXHGRQ" hidden="1">#REF!</definedName>
    <definedName name="BExKGV77YH9YXIQTRKK2331QGYKF" localSheetId="9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9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9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9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9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9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9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9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9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9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9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9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9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9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9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9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9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9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9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9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9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9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9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9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9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9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9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9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9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9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9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9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9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9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9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9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9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9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9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9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9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9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9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9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9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9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9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9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9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9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9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9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9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9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9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9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9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9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9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9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9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9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9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9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9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9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9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9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IL5ZWOXQAENH3VP3ZHA2N7N" localSheetId="3" hidden="1">#REF!</definedName>
    <definedName name="BExKPIL5ZWOXQAENH3VP3ZHA2N7N" localSheetId="7" hidden="1">#REF!</definedName>
    <definedName name="BExKPIL5ZWOXQAENH3VP3ZHA2N7N" hidden="1">#REF!</definedName>
    <definedName name="BExKPJHKPVROP9QX9BMBZMU2HEZ1" localSheetId="9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9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9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9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9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9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9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9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9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9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9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9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9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9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9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9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9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9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9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9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9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9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9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9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9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9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9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9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9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9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9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9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9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9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9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9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9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9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9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9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9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9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9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9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9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9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9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9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9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9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9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9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9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9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9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9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7PESEESXVMDCGGIP5LPMUGY" localSheetId="3" hidden="1">#REF!</definedName>
    <definedName name="BExMC7PESEESXVMDCGGIP5LPMUGY" localSheetId="7" hidden="1">#REF!</definedName>
    <definedName name="BExMC7PESEESXVMDCGGIP5LPMUGY" hidden="1">#REF!</definedName>
    <definedName name="BExMC8AZUTX8LG89K2JJR7ZG62XX" localSheetId="9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9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9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9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9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9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9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9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9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9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9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9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9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9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9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9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9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9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9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9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9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9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9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9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9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9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9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9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9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9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9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9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9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9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9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9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9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9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9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9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9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9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9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9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9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9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9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9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9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9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9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9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9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9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9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9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9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9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9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9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9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PEDT6IOYLLC3KJKRZOETC3Y" localSheetId="3" hidden="1">#REF!</definedName>
    <definedName name="BExMKPEDT6IOYLLC3KJKRZOETC3Y" localSheetId="7" hidden="1">#REF!</definedName>
    <definedName name="BExMKPEDT6IOYLLC3KJKRZOETC3Y" hidden="1">#REF!</definedName>
    <definedName name="BExMKTW7R5SOV4PHAFGHU3W73DYE" localSheetId="9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9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9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9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9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9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9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9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9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9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9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9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9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9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9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9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9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9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9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9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9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9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9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9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9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9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9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9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9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9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9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9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9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9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9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9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9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9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9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9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9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9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9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9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9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9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9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9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9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9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9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9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9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9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9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9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9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9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9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9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9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9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9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9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9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9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9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9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9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9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9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9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9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9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9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9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9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9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9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9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9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9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9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9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9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9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9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9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9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9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9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9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9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9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9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9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9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9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9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9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9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9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9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9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9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9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9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9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9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9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9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9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9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9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9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9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9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9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9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9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9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9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9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9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9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9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9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9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9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9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9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9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9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9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9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9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9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9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9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9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9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9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9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9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9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9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9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9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9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9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9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9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9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9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9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9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9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9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9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9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9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9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9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9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9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9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9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9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9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9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9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9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9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9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9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9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9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9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9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9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9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9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9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9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9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9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9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9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9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9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9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9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9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9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9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9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9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9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9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9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9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9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9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9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9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9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9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9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9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9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9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9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9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9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9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9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9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9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9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9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9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9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9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9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9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9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9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9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9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9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9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9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9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9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9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9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9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9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9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9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9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9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9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9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9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9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9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9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9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9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9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9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9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9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9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9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9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9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9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9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9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9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9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9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9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9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9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9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9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9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9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9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9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9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9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9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9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9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9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9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9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9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9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9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9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9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9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9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9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9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9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9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9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9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9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9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9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9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9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9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9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9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9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9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9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9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9A8OZ31BDN5QEGQGWG59A43" localSheetId="3" hidden="1">#REF!</definedName>
    <definedName name="BExQG9A8OZ31BDN5QEGQGWG59A43" localSheetId="7" hidden="1">#REF!</definedName>
    <definedName name="BExQG9A8OZ31BDN5QEGQGWG59A43" hidden="1">#REF!</definedName>
    <definedName name="BExQGGBQ2CMSPV4NV4RA7NMBQER6" localSheetId="9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9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9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9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9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9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9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9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9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9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9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9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9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9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9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9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9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9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9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9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9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9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9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9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9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9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9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9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9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9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9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9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9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9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9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9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4GJ3LZJL6JDEHT7UDXW90TV" localSheetId="3" hidden="1">#REF!</definedName>
    <definedName name="BExQL4GJ3LZJL6JDEHT7UDXW90TV" localSheetId="7" hidden="1">#REF!</definedName>
    <definedName name="BExQL4GJ3LZJL6JDEHT7UDXW90TV" hidden="1">#REF!</definedName>
    <definedName name="BExQLE1TOW3A287TQB0AVWENT8O1" localSheetId="9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9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9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9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9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9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9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9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9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9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9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9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9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9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9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9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9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9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9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9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9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9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9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9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9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9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9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9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9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9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9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9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9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9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9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9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9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9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9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9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9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9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9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9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9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9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9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9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9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9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9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9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9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9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9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9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9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9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9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9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9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9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9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9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9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9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9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9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9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9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9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9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9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9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9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9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9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9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9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9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9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9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9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9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9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9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9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9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9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9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9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9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9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9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9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9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9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9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9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9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9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9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9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9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9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9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9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9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9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9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9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9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9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9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9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9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9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9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9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9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9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9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9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9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9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9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9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9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9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9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9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9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9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9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9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9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9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9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9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9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9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9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9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9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9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9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9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9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9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9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9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9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9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9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9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9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9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9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9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9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9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9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9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9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9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9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9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9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9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9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9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9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9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9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9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9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9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9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9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9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9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9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9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9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9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9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9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9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9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9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9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9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9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9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9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9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9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9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9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9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9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9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9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9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9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9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9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9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9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9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9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9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9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9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9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9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9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9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9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9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9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9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9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9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9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9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9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9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9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9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9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9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9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9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9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9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9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9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9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9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9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9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9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9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9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9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9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9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9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9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9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9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9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9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9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9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9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9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9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9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9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9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9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9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9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9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9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9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9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9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9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9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9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9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9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9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9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9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9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9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9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9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9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PR6Y32097JKJCTGC4C6EGE9" localSheetId="3" hidden="1">#REF!</definedName>
    <definedName name="BExUAPR6Y32097JKJCTGC4C6EGE9" localSheetId="7" hidden="1">#REF!</definedName>
    <definedName name="BExUAPR6Y32097JKJCTGC4C6EGE9" hidden="1">#REF!</definedName>
    <definedName name="BExUARUP0MX710TNZSAA01HUEAVC" localSheetId="9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9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9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9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9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9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9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9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9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9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9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9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9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9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9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9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9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9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9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9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9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9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9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9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9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9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9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9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9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9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9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9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9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9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9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9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9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9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9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9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9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9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9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9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9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9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9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9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9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9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9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9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9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9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9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9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9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9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9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9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9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9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9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9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9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9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9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9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9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9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9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9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9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9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9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9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9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9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9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9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9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9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9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9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9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9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9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9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9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9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9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9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VNZHNB5P9V6232N0DQCE0WE" localSheetId="3" hidden="1">#REF!</definedName>
    <definedName name="BExW1VNZHNB5P9V6232N0DQCE0WE" localSheetId="7" hidden="1">#REF!</definedName>
    <definedName name="BExW1VNZHNB5P9V6232N0DQCE0WE" hidden="1">#REF!</definedName>
    <definedName name="BExW1WK6J1TDP29S3QDPTYZJBLIW" localSheetId="9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9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9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9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9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9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9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9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9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9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9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9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9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9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9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9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9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9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9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9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9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9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9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9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9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9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9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9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9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9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9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9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9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9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9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9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9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9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9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9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9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9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9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9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9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9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9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9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9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9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9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9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9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9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9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9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9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9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9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9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4QVV7YZ6L5A7WZEMIA5AZOV" localSheetId="3" hidden="1">#REF!</definedName>
    <definedName name="BExXO4QVV7YZ6L5A7WZEMIA5AZOV" localSheetId="7" hidden="1">#REF!</definedName>
    <definedName name="BExXO4QVV7YZ6L5A7WZEMIA5AZOV" hidden="1">#REF!</definedName>
    <definedName name="BExXOBHOP0WGFHI2Y9AO4L440UVQ" localSheetId="9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9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9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9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9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9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9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9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9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9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9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9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9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9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9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9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9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9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9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9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9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9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9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9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9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9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9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9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9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9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9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9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9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9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9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9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9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9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9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9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9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9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9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9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9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9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9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9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9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9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9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9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9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9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9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9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9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9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9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9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9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9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9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9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9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9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9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9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9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9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9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9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9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9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9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9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9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9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9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9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9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9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9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9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9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9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9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9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9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9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9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9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9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9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9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9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9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9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9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9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9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9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9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9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9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9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9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9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9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9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9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9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9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9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9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9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9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9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9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9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9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9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9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9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9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9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9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9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9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9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9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9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9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9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9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9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9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9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9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9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9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9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9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9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9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9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9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9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9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9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9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9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9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9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9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9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9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9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9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9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9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9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9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9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9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9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9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9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9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9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9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9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9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9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9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9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9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9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9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9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9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9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9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9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9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9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9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9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9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9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9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9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9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9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9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9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9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9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9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9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9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9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9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9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9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9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9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9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9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9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9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9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9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9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9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9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9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9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9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9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9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9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9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9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9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9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9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9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9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SYRA4NR7K6RLC3I81QSG5SQR" localSheetId="3" hidden="1">#REF!</definedName>
    <definedName name="BExZSYRA4NR7K6RLC3I81QSG5SQR" localSheetId="7" hidden="1">#REF!</definedName>
    <definedName name="BExZSYRA4NR7K6RLC3I81QSG5SQR" hidden="1">#REF!</definedName>
    <definedName name="BExZT6JSZ8CBS0SB3T07N3LMAX7M" localSheetId="9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9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9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9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9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9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9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9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9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9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9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9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9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9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9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9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9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9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9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9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9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9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9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9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9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9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9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9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9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9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9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9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9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9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9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9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9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9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9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9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9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9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9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9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9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9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9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9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9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9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9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9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9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9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9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9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9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9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9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9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9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9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localSheetId="7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7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localSheetId="7" hidden="1">{#N/A,#N/A,FALSE,"Summ";#N/A,#N/A,FALSE,"General"}</definedName>
    <definedName name="new" hidden="1">{#N/A,#N/A,FALSE,"Summ";#N/A,#N/A,FALSE,"General"}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'JPE-12 Page 1'!$A$1:$P$41</definedName>
    <definedName name="_xlnm.Print_Area" localSheetId="9">'JPE-12 Page 10'!$A$1:$P$36</definedName>
    <definedName name="_xlnm.Print_Area" localSheetId="1">'JPE-12 Page 2'!$A$1:$P$38</definedName>
    <definedName name="_xlnm.Print_Area" localSheetId="2">'JPE-12 Page 3'!$A$1:$E$40</definedName>
    <definedName name="_xlnm.Print_Area" localSheetId="4">'JPE-12 Page 5'!$A$1:$P$38</definedName>
    <definedName name="_xlnm.Print_Area" localSheetId="5">'JPE-12 Page 6'!$A$1:$P$36</definedName>
    <definedName name="_xlnm.Print_Area" localSheetId="8">'JPE-12 Page 9'!$A$1:$P$38</definedName>
    <definedName name="_xlnm.Print_Titles" localSheetId="0">'JPE-12 Page 1'!$A:$B</definedName>
    <definedName name="_xlnm.Print_Titles" localSheetId="9">'JPE-12 Page 10'!$A:$B</definedName>
    <definedName name="_xlnm.Print_Titles" localSheetId="1">'JPE-12 Page 2'!$A:$B</definedName>
    <definedName name="_xlnm.Print_Titles" localSheetId="4">'JPE-12 Page 5'!$A:$B</definedName>
    <definedName name="_xlnm.Print_Titles" localSheetId="5">'JPE-12 Page 6'!$A:$B</definedName>
    <definedName name="_xlnm.Print_Titles" localSheetId="8">'JPE-12 Page 9'!$A:$B</definedName>
    <definedName name="q" hidden="1">{#N/A,#N/A,FALSE,"Coversheet";#N/A,#N/A,FALSE,"QA"}</definedName>
    <definedName name="qqq" localSheetId="3" hidden="1">{#N/A,#N/A,FALSE,"schA"}</definedName>
    <definedName name="qqq" localSheetId="7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3" hidden="1">{#N/A,#N/A,FALSE,"Summ";#N/A,#N/A,FALSE,"General"}</definedName>
    <definedName name="TEMP" localSheetId="7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3" hidden="1">#REF!</definedName>
    <definedName name="Transfer" localSheetId="7" hidden="1">#REF!</definedName>
    <definedName name="Transfer" hidden="1">#REF!</definedName>
    <definedName name="Transfers" localSheetId="3" hidden="1">#REF!</definedName>
    <definedName name="Transfers" localSheetId="7" hidden="1">#REF!</definedName>
    <definedName name="Transfers" hidden="1">#REF!</definedName>
    <definedName name="u" localSheetId="3" hidden="1">{#N/A,#N/A,FALSE,"Summ";#N/A,#N/A,FALSE,"General"}</definedName>
    <definedName name="u" localSheetId="7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3" hidden="1">{#N/A,#N/A,FALSE,"Coversheet";#N/A,#N/A,FALSE,"QA"}</definedName>
    <definedName name="v" localSheetId="7" hidden="1">{#N/A,#N/A,FALSE,"Coversheet";#N/A,#N/A,FALSE,"QA"}</definedName>
    <definedName name="v" hidden="1">{#N/A,#N/A,FALSE,"Coversheet";#N/A,#N/A,FALSE,"QA"}</definedName>
    <definedName name="Value" hidden="1">{#N/A,#N/A,FALSE,"Summ";#N/A,#N/A,FALSE,"General"}</definedName>
    <definedName name="w" localSheetId="3" hidden="1">{#N/A,#N/A,FALSE,"Schedule F";#N/A,#N/A,FALSE,"Schedule G"}</definedName>
    <definedName name="w" localSheetId="7" hidden="1">{#N/A,#N/A,FALSE,"Schedule F";#N/A,#N/A,FALSE,"Schedule G"}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localSheetId="7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localSheetId="7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localSheetId="7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localSheetId="7" hidden="1">{#N/A,#N/A,FALSE,"schA"}</definedName>
    <definedName name="www" hidden="1">{#N/A,#N/A,FALSE,"schA"}</definedName>
    <definedName name="x" localSheetId="3" hidden="1">{#N/A,#N/A,FALSE,"Coversheet";#N/A,#N/A,FALSE,"QA"}</definedName>
    <definedName name="x" localSheetId="7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localSheetId="3" hidden="1">{#N/A,#N/A,FALSE,"Coversheet";#N/A,#N/A,FALSE,"QA"}</definedName>
    <definedName name="z" localSheetId="7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E7" i="13" l="1"/>
  <c r="F7" i="13" s="1"/>
  <c r="G7" i="13" s="1"/>
  <c r="H7" i="13" s="1"/>
  <c r="I7" i="13" s="1"/>
  <c r="J7" i="13" s="1"/>
  <c r="K7" i="13" s="1"/>
  <c r="L7" i="13" s="1"/>
  <c r="M7" i="13" s="1"/>
  <c r="N7" i="13" s="1"/>
  <c r="O7" i="13" s="1"/>
  <c r="A11" i="13"/>
  <c r="A12" i="13"/>
  <c r="A13" i="13" s="1"/>
  <c r="A14" i="13" s="1"/>
  <c r="C12" i="13"/>
  <c r="E7" i="12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A11" i="12"/>
  <c r="C12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0" i="10"/>
  <c r="D14" i="10"/>
  <c r="D18" i="10" s="1"/>
  <c r="A11" i="10"/>
  <c r="A12" i="10" s="1"/>
  <c r="E14" i="10"/>
  <c r="E18" i="10" s="1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A11" i="9"/>
  <c r="C12" i="9" s="1"/>
  <c r="A12" i="9"/>
  <c r="A13" i="9" s="1"/>
  <c r="A14" i="9" s="1"/>
  <c r="E15" i="9"/>
  <c r="F15" i="9"/>
  <c r="G15" i="9"/>
  <c r="E30" i="9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A11" i="8"/>
  <c r="A12" i="8" s="1"/>
  <c r="A13" i="8" s="1"/>
  <c r="A14" i="8" s="1"/>
  <c r="E15" i="8"/>
  <c r="F15" i="8"/>
  <c r="G15" i="8"/>
  <c r="E30" i="8"/>
  <c r="D38" i="8"/>
  <c r="A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10" i="6"/>
  <c r="A11" i="6" s="1"/>
  <c r="A12" i="6" s="1"/>
  <c r="D14" i="6"/>
  <c r="D18" i="6" s="1"/>
  <c r="E14" i="6"/>
  <c r="E18" i="6" s="1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A11" i="5"/>
  <c r="A12" i="5" s="1"/>
  <c r="A13" i="5" s="1"/>
  <c r="A14" i="5" s="1"/>
  <c r="E11" i="5"/>
  <c r="F11" i="5"/>
  <c r="C12" i="5"/>
  <c r="D12" i="5"/>
  <c r="E12" i="5"/>
  <c r="F12" i="5"/>
  <c r="G12" i="5"/>
  <c r="G32" i="5" s="1"/>
  <c r="H12" i="5"/>
  <c r="I12" i="5"/>
  <c r="J12" i="5"/>
  <c r="J18" i="5" s="1"/>
  <c r="K12" i="5"/>
  <c r="L12" i="5"/>
  <c r="E15" i="5"/>
  <c r="E16" i="5" s="1"/>
  <c r="F15" i="5"/>
  <c r="F16" i="5" s="1"/>
  <c r="K15" i="5"/>
  <c r="D16" i="5"/>
  <c r="G16" i="5"/>
  <c r="H16" i="5"/>
  <c r="I16" i="5"/>
  <c r="J16" i="5"/>
  <c r="D18" i="5"/>
  <c r="H18" i="5"/>
  <c r="I18" i="5"/>
  <c r="H26" i="5"/>
  <c r="I26" i="5"/>
  <c r="J26" i="5"/>
  <c r="K26" i="5"/>
  <c r="L26" i="5"/>
  <c r="E30" i="5"/>
  <c r="E32" i="5" s="1"/>
  <c r="F30" i="5"/>
  <c r="K30" i="5"/>
  <c r="D32" i="5"/>
  <c r="F32" i="5"/>
  <c r="H32" i="5"/>
  <c r="I32" i="5"/>
  <c r="J32" i="5"/>
  <c r="E34" i="5"/>
  <c r="F34" i="5"/>
  <c r="E7" i="4"/>
  <c r="F7" i="4" s="1"/>
  <c r="G7" i="4" s="1"/>
  <c r="H7" i="4" s="1"/>
  <c r="I7" i="4" s="1"/>
  <c r="J7" i="4" s="1"/>
  <c r="K7" i="4" s="1"/>
  <c r="L7" i="4" s="1"/>
  <c r="M7" i="4" s="1"/>
  <c r="N7" i="4" s="1"/>
  <c r="O7" i="4" s="1"/>
  <c r="A11" i="4"/>
  <c r="A12" i="4" s="1"/>
  <c r="E11" i="4"/>
  <c r="F11" i="4"/>
  <c r="F12" i="4" s="1"/>
  <c r="D12" i="4"/>
  <c r="D18" i="4" s="1"/>
  <c r="E12" i="4"/>
  <c r="G12" i="4"/>
  <c r="G18" i="4" s="1"/>
  <c r="H12" i="4"/>
  <c r="H18" i="4" s="1"/>
  <c r="I12" i="4"/>
  <c r="I18" i="4" s="1"/>
  <c r="J12" i="4"/>
  <c r="K12" i="4"/>
  <c r="L12" i="4"/>
  <c r="E15" i="4"/>
  <c r="E16" i="4" s="1"/>
  <c r="F15" i="4"/>
  <c r="K15" i="4"/>
  <c r="D16" i="4"/>
  <c r="F16" i="4"/>
  <c r="G16" i="4"/>
  <c r="H16" i="4"/>
  <c r="I16" i="4"/>
  <c r="J16" i="4"/>
  <c r="J18" i="4" s="1"/>
  <c r="H26" i="4"/>
  <c r="I26" i="4"/>
  <c r="J26" i="4"/>
  <c r="K26" i="4"/>
  <c r="L26" i="4"/>
  <c r="E30" i="4"/>
  <c r="F30" i="4"/>
  <c r="K30" i="4"/>
  <c r="L30" i="4" s="1"/>
  <c r="D32" i="4"/>
  <c r="E32" i="4"/>
  <c r="F32" i="4"/>
  <c r="G32" i="4"/>
  <c r="H32" i="4"/>
  <c r="I32" i="4"/>
  <c r="J32" i="4"/>
  <c r="J38" i="4"/>
  <c r="K38" i="4"/>
  <c r="F18" i="5" l="1"/>
  <c r="G18" i="5"/>
  <c r="C12" i="8"/>
  <c r="A12" i="12"/>
  <c r="A13" i="12" s="1"/>
  <c r="A14" i="12" s="1"/>
  <c r="A15" i="12" s="1"/>
  <c r="A16" i="12" s="1"/>
  <c r="C12" i="4"/>
  <c r="F18" i="4"/>
  <c r="A15" i="13"/>
  <c r="A16" i="13" s="1"/>
  <c r="C16" i="13"/>
  <c r="A13" i="10"/>
  <c r="A14" i="10" s="1"/>
  <c r="C14" i="10"/>
  <c r="A15" i="9"/>
  <c r="A16" i="9" s="1"/>
  <c r="C16" i="9"/>
  <c r="F30" i="9"/>
  <c r="A15" i="8"/>
  <c r="A16" i="8" s="1"/>
  <c r="F30" i="8"/>
  <c r="E38" i="8"/>
  <c r="A13" i="6"/>
  <c r="A14" i="6" s="1"/>
  <c r="C14" i="6"/>
  <c r="L30" i="5"/>
  <c r="K32" i="5"/>
  <c r="K16" i="5"/>
  <c r="K18" i="5" s="1"/>
  <c r="L15" i="5"/>
  <c r="E18" i="5"/>
  <c r="A15" i="5"/>
  <c r="A16" i="5" s="1"/>
  <c r="C16" i="5"/>
  <c r="L38" i="4"/>
  <c r="M30" i="4"/>
  <c r="L32" i="4"/>
  <c r="K16" i="4"/>
  <c r="K18" i="4" s="1"/>
  <c r="L15" i="4"/>
  <c r="A13" i="4"/>
  <c r="A14" i="4" s="1"/>
  <c r="K32" i="4"/>
  <c r="E18" i="4"/>
  <c r="C16" i="12" l="1"/>
  <c r="C16" i="8"/>
  <c r="A17" i="13"/>
  <c r="A18" i="13" s="1"/>
  <c r="C18" i="13"/>
  <c r="A17" i="12"/>
  <c r="A18" i="12" s="1"/>
  <c r="C18" i="12"/>
  <c r="A15" i="10"/>
  <c r="A16" i="10" s="1"/>
  <c r="A17" i="10" s="1"/>
  <c r="A18" i="10" s="1"/>
  <c r="A19" i="10" s="1"/>
  <c r="A20" i="10" s="1"/>
  <c r="C18" i="10"/>
  <c r="G30" i="9"/>
  <c r="A17" i="9"/>
  <c r="A18" i="9" s="1"/>
  <c r="C18" i="9"/>
  <c r="F38" i="8"/>
  <c r="G30" i="8"/>
  <c r="A17" i="8"/>
  <c r="A18" i="8" s="1"/>
  <c r="C18" i="8"/>
  <c r="A15" i="6"/>
  <c r="A16" i="6" s="1"/>
  <c r="A17" i="6" s="1"/>
  <c r="A18" i="6" s="1"/>
  <c r="A19" i="6" s="1"/>
  <c r="A20" i="6" s="1"/>
  <c r="M15" i="5"/>
  <c r="N15" i="5" s="1"/>
  <c r="O15" i="5" s="1"/>
  <c r="L16" i="5"/>
  <c r="A17" i="5"/>
  <c r="A18" i="5" s="1"/>
  <c r="C18" i="5"/>
  <c r="M30" i="5"/>
  <c r="L32" i="5"/>
  <c r="N30" i="4"/>
  <c r="M38" i="4"/>
  <c r="A15" i="4"/>
  <c r="A16" i="4" s="1"/>
  <c r="M15" i="4"/>
  <c r="N15" i="4" s="1"/>
  <c r="O15" i="4" s="1"/>
  <c r="L16" i="4"/>
  <c r="C18" i="6" l="1"/>
  <c r="A19" i="13"/>
  <c r="A20" i="13" s="1"/>
  <c r="A21" i="13" s="1"/>
  <c r="A22" i="13" s="1"/>
  <c r="A23" i="13" s="1"/>
  <c r="A24" i="13" s="1"/>
  <c r="A19" i="12"/>
  <c r="A20" i="12" s="1"/>
  <c r="A21" i="12" s="1"/>
  <c r="A22" i="12" s="1"/>
  <c r="A23" i="12" s="1"/>
  <c r="A24" i="12" s="1"/>
  <c r="A21" i="10"/>
  <c r="A22" i="10" s="1"/>
  <c r="A23" i="10" s="1"/>
  <c r="A24" i="10" s="1"/>
  <c r="A19" i="9"/>
  <c r="A20" i="9" s="1"/>
  <c r="A21" i="9" s="1"/>
  <c r="A22" i="9" s="1"/>
  <c r="A23" i="9" s="1"/>
  <c r="A24" i="9" s="1"/>
  <c r="A19" i="8"/>
  <c r="A20" i="8" s="1"/>
  <c r="A21" i="8" s="1"/>
  <c r="A22" i="8" s="1"/>
  <c r="A23" i="8" s="1"/>
  <c r="A24" i="8" s="1"/>
  <c r="G38" i="8"/>
  <c r="A21" i="6"/>
  <c r="A22" i="6" s="1"/>
  <c r="A23" i="6" s="1"/>
  <c r="A24" i="6" s="1"/>
  <c r="L18" i="5"/>
  <c r="N30" i="5"/>
  <c r="A19" i="5"/>
  <c r="A20" i="5" s="1"/>
  <c r="A21" i="5" s="1"/>
  <c r="A22" i="5" s="1"/>
  <c r="A23" i="5" s="1"/>
  <c r="A24" i="5" s="1"/>
  <c r="A17" i="4"/>
  <c r="A18" i="4" s="1"/>
  <c r="C18" i="4"/>
  <c r="L18" i="4"/>
  <c r="N38" i="4"/>
  <c r="O30" i="4"/>
  <c r="C16" i="4"/>
  <c r="C22" i="8" l="1"/>
  <c r="C24" i="10"/>
  <c r="C22" i="13"/>
  <c r="C22" i="5"/>
  <c r="C24" i="6"/>
  <c r="C22" i="9"/>
  <c r="C22" i="12"/>
  <c r="A25" i="13"/>
  <c r="A26" i="13" s="1"/>
  <c r="A27" i="13" s="1"/>
  <c r="A28" i="13" s="1"/>
  <c r="C26" i="13"/>
  <c r="A25" i="12"/>
  <c r="A26" i="12" s="1"/>
  <c r="A27" i="12" s="1"/>
  <c r="A28" i="12" s="1"/>
  <c r="C26" i="12"/>
  <c r="A25" i="10"/>
  <c r="A26" i="10" s="1"/>
  <c r="A27" i="10" s="1"/>
  <c r="A28" i="10" s="1"/>
  <c r="A25" i="9"/>
  <c r="A26" i="9" s="1"/>
  <c r="A27" i="9" s="1"/>
  <c r="A28" i="9" s="1"/>
  <c r="C26" i="9"/>
  <c r="A25" i="8"/>
  <c r="A26" i="8" s="1"/>
  <c r="A27" i="8" s="1"/>
  <c r="A28" i="8" s="1"/>
  <c r="C26" i="8"/>
  <c r="A25" i="6"/>
  <c r="A26" i="6" s="1"/>
  <c r="A27" i="6" s="1"/>
  <c r="A28" i="6" s="1"/>
  <c r="C28" i="6"/>
  <c r="A25" i="5"/>
  <c r="A26" i="5" s="1"/>
  <c r="A27" i="5" s="1"/>
  <c r="A28" i="5" s="1"/>
  <c r="C26" i="5"/>
  <c r="O30" i="5"/>
  <c r="O38" i="4"/>
  <c r="A19" i="4"/>
  <c r="A20" i="4" s="1"/>
  <c r="A21" i="4" s="1"/>
  <c r="A22" i="4" s="1"/>
  <c r="A23" i="4" s="1"/>
  <c r="A24" i="4" s="1"/>
  <c r="C22" i="4" l="1"/>
  <c r="C28" i="10"/>
  <c r="A29" i="13"/>
  <c r="A30" i="13" s="1"/>
  <c r="C28" i="13"/>
  <c r="A29" i="12"/>
  <c r="A30" i="12" s="1"/>
  <c r="C28" i="12"/>
  <c r="A29" i="10"/>
  <c r="A30" i="10" s="1"/>
  <c r="A31" i="10" s="1"/>
  <c r="A32" i="10" s="1"/>
  <c r="C32" i="10"/>
  <c r="A29" i="9"/>
  <c r="A30" i="9" s="1"/>
  <c r="C28" i="9"/>
  <c r="A29" i="8"/>
  <c r="A30" i="8" s="1"/>
  <c r="C28" i="8"/>
  <c r="A29" i="6"/>
  <c r="A30" i="6" s="1"/>
  <c r="A31" i="6" s="1"/>
  <c r="A32" i="6" s="1"/>
  <c r="A29" i="5"/>
  <c r="A30" i="5" s="1"/>
  <c r="C28" i="5"/>
  <c r="A25" i="4"/>
  <c r="A26" i="4" s="1"/>
  <c r="A27" i="4" s="1"/>
  <c r="A28" i="4" s="1"/>
  <c r="C26" i="4"/>
  <c r="F12" i="13"/>
  <c r="N12" i="13"/>
  <c r="J12" i="9"/>
  <c r="M12" i="5"/>
  <c r="I12" i="9"/>
  <c r="M12" i="13"/>
  <c r="A31" i="13" l="1"/>
  <c r="A32" i="13" s="1"/>
  <c r="C32" i="13"/>
  <c r="A31" i="12"/>
  <c r="A32" i="12" s="1"/>
  <c r="C38" i="12"/>
  <c r="C32" i="12"/>
  <c r="A33" i="10"/>
  <c r="A34" i="10" s="1"/>
  <c r="A35" i="10" s="1"/>
  <c r="A36" i="10" s="1"/>
  <c r="A37" i="10" s="1"/>
  <c r="A38" i="10" s="1"/>
  <c r="A39" i="10" s="1"/>
  <c r="A40" i="10" s="1"/>
  <c r="C34" i="10"/>
  <c r="D16" i="9"/>
  <c r="D32" i="9"/>
  <c r="A31" i="9"/>
  <c r="A32" i="9" s="1"/>
  <c r="C32" i="9"/>
  <c r="A31" i="8"/>
  <c r="A32" i="8" s="1"/>
  <c r="C38" i="8"/>
  <c r="C32" i="8"/>
  <c r="A33" i="6"/>
  <c r="A34" i="6" s="1"/>
  <c r="A35" i="6" s="1"/>
  <c r="A36" i="6" s="1"/>
  <c r="A37" i="6" s="1"/>
  <c r="A38" i="6" s="1"/>
  <c r="A39" i="6" s="1"/>
  <c r="A40" i="6" s="1"/>
  <c r="C34" i="6"/>
  <c r="C32" i="6"/>
  <c r="A31" i="5"/>
  <c r="A32" i="5" s="1"/>
  <c r="C32" i="5"/>
  <c r="A29" i="4"/>
  <c r="A30" i="4" s="1"/>
  <c r="C28" i="4"/>
  <c r="G12" i="13"/>
  <c r="O12" i="9"/>
  <c r="K12" i="9"/>
  <c r="F12" i="9"/>
  <c r="N12" i="5"/>
  <c r="D12" i="9"/>
  <c r="L12" i="13"/>
  <c r="H12" i="13"/>
  <c r="D12" i="13"/>
  <c r="L12" i="9"/>
  <c r="H12" i="9"/>
  <c r="J12" i="13"/>
  <c r="N12" i="9"/>
  <c r="I12" i="13"/>
  <c r="M12" i="9"/>
  <c r="E12" i="9"/>
  <c r="K12" i="13"/>
  <c r="E12" i="13"/>
  <c r="G12" i="9"/>
  <c r="O12" i="5"/>
  <c r="O12" i="13"/>
  <c r="A33" i="13" l="1"/>
  <c r="A34" i="13" s="1"/>
  <c r="A35" i="13" s="1"/>
  <c r="A36" i="13" s="1"/>
  <c r="C36" i="13"/>
  <c r="P12" i="13"/>
  <c r="A33" i="12"/>
  <c r="A34" i="12" s="1"/>
  <c r="A35" i="12" s="1"/>
  <c r="A36" i="12" s="1"/>
  <c r="A37" i="12" s="1"/>
  <c r="A38" i="12" s="1"/>
  <c r="P12" i="9"/>
  <c r="D18" i="9"/>
  <c r="F16" i="9"/>
  <c r="F18" i="9" s="1"/>
  <c r="F32" i="9"/>
  <c r="A33" i="9"/>
  <c r="A34" i="9" s="1"/>
  <c r="A35" i="9" s="1"/>
  <c r="A36" i="9" s="1"/>
  <c r="G16" i="9"/>
  <c r="G18" i="9" s="1"/>
  <c r="G32" i="9"/>
  <c r="E16" i="9"/>
  <c r="E18" i="9" s="1"/>
  <c r="E32" i="9"/>
  <c r="A33" i="8"/>
  <c r="A34" i="8" s="1"/>
  <c r="A35" i="8" s="1"/>
  <c r="A36" i="8" s="1"/>
  <c r="A37" i="8" s="1"/>
  <c r="A38" i="8" s="1"/>
  <c r="O16" i="5"/>
  <c r="O26" i="5"/>
  <c r="O32" i="5"/>
  <c r="A33" i="5"/>
  <c r="A34" i="5" s="1"/>
  <c r="A35" i="5" s="1"/>
  <c r="A36" i="5" s="1"/>
  <c r="M16" i="5"/>
  <c r="M26" i="5"/>
  <c r="M32" i="5"/>
  <c r="N16" i="5"/>
  <c r="N26" i="5"/>
  <c r="N32" i="5"/>
  <c r="O18" i="5"/>
  <c r="N18" i="5"/>
  <c r="P12" i="5"/>
  <c r="A31" i="4"/>
  <c r="A32" i="4" s="1"/>
  <c r="C38" i="4"/>
  <c r="C32" i="4"/>
  <c r="C36" i="9" l="1"/>
  <c r="C36" i="8"/>
  <c r="C36" i="12"/>
  <c r="P32" i="5"/>
  <c r="E12" i="7" s="1"/>
  <c r="P16" i="5"/>
  <c r="M18" i="5"/>
  <c r="P18" i="5" s="1"/>
  <c r="C36" i="5"/>
  <c r="A33" i="4"/>
  <c r="A34" i="4" s="1"/>
  <c r="A35" i="4" s="1"/>
  <c r="A36" i="4" s="1"/>
  <c r="A37" i="4" s="1"/>
  <c r="A38" i="4" s="1"/>
  <c r="C36" i="4" l="1"/>
  <c r="O12" i="12"/>
  <c r="N12" i="12"/>
  <c r="M12" i="12"/>
  <c r="L12" i="12"/>
  <c r="K12" i="12"/>
  <c r="J12" i="12"/>
  <c r="I12" i="12"/>
  <c r="H12" i="12"/>
  <c r="G12" i="12"/>
  <c r="F12" i="12"/>
  <c r="E12" i="12"/>
  <c r="D12" i="12"/>
  <c r="O12" i="8"/>
  <c r="N12" i="8"/>
  <c r="L12" i="8"/>
  <c r="K12" i="8"/>
  <c r="J12" i="8"/>
  <c r="I12" i="8"/>
  <c r="H12" i="8"/>
  <c r="G12" i="8"/>
  <c r="F12" i="8"/>
  <c r="E12" i="8"/>
  <c r="D12" i="8"/>
  <c r="O12" i="4"/>
  <c r="N12" i="4"/>
  <c r="M12" i="4"/>
  <c r="P12" i="12" l="1"/>
  <c r="F16" i="8"/>
  <c r="F32" i="8"/>
  <c r="F18" i="8"/>
  <c r="P12" i="4"/>
  <c r="N16" i="4"/>
  <c r="N18" i="4" s="1"/>
  <c r="N26" i="4"/>
  <c r="N32" i="4"/>
  <c r="E24" i="6"/>
  <c r="E24" i="10"/>
  <c r="M12" i="8"/>
  <c r="P12" i="8" s="1"/>
  <c r="E16" i="8" l="1"/>
  <c r="E18" i="8" s="1"/>
  <c r="E32" i="8"/>
  <c r="D16" i="8"/>
  <c r="D32" i="8"/>
  <c r="G16" i="8"/>
  <c r="G18" i="8" s="1"/>
  <c r="G32" i="8"/>
  <c r="M16" i="4"/>
  <c r="M26" i="4"/>
  <c r="M32" i="4"/>
  <c r="O16" i="4"/>
  <c r="O18" i="4" s="1"/>
  <c r="O26" i="4"/>
  <c r="O32" i="4"/>
  <c r="D24" i="10"/>
  <c r="D24" i="6"/>
  <c r="D18" i="8" l="1"/>
  <c r="P32" i="4"/>
  <c r="D12" i="7" s="1"/>
  <c r="P16" i="4"/>
  <c r="M18" i="4"/>
  <c r="P18" i="4" s="1"/>
  <c r="L36" i="4" l="1"/>
  <c r="K36" i="4"/>
  <c r="G36" i="8"/>
  <c r="E36" i="8"/>
  <c r="G36" i="9"/>
  <c r="F36" i="9"/>
  <c r="E36" i="9"/>
  <c r="D36" i="9" l="1"/>
  <c r="D36" i="8"/>
  <c r="D22" i="5"/>
  <c r="E22" i="5" s="1"/>
  <c r="J36" i="4"/>
  <c r="D22" i="4"/>
  <c r="O36" i="4"/>
  <c r="N36" i="4"/>
  <c r="F36" i="8"/>
  <c r="M36" i="4" l="1"/>
  <c r="E22" i="4"/>
  <c r="F22" i="4" s="1"/>
  <c r="F22" i="5"/>
  <c r="P34" i="4"/>
  <c r="P36" i="4" s="1"/>
  <c r="D14" i="7" l="1"/>
  <c r="D18" i="7"/>
  <c r="D22" i="7" s="1"/>
  <c r="G22" i="5"/>
  <c r="G22" i="4"/>
  <c r="H22" i="4" l="1"/>
  <c r="I22" i="4" l="1"/>
  <c r="J22" i="4" l="1"/>
  <c r="K22" i="4" l="1"/>
  <c r="L22" i="4" s="1"/>
  <c r="M22" i="4" s="1"/>
  <c r="N22" i="4" s="1"/>
  <c r="P20" i="4" l="1"/>
  <c r="O22" i="4" l="1"/>
  <c r="D26" i="6" l="1"/>
  <c r="D28" i="6" s="1"/>
  <c r="D32" i="6" s="1"/>
  <c r="D15" i="12" s="1"/>
  <c r="D22" i="8"/>
  <c r="H24" i="8"/>
  <c r="E22" i="8" l="1"/>
  <c r="E15" i="12"/>
  <c r="E16" i="12" s="1"/>
  <c r="E18" i="12" s="1"/>
  <c r="G15" i="12"/>
  <c r="G16" i="12" s="1"/>
  <c r="G18" i="12" s="1"/>
  <c r="F15" i="12"/>
  <c r="F16" i="12" s="1"/>
  <c r="F18" i="12" s="1"/>
  <c r="D16" i="12"/>
  <c r="J24" i="8"/>
  <c r="J26" i="8" s="1"/>
  <c r="L24" i="8"/>
  <c r="L26" i="8" s="1"/>
  <c r="N24" i="8"/>
  <c r="N26" i="8" s="1"/>
  <c r="I24" i="8"/>
  <c r="I26" i="8" s="1"/>
  <c r="K24" i="8"/>
  <c r="K26" i="8" s="1"/>
  <c r="M24" i="8"/>
  <c r="M26" i="8" s="1"/>
  <c r="O24" i="8"/>
  <c r="H26" i="8"/>
  <c r="D34" i="6"/>
  <c r="D30" i="12" s="1"/>
  <c r="H15" i="8"/>
  <c r="F22" i="8"/>
  <c r="D18" i="12" l="1"/>
  <c r="D38" i="12"/>
  <c r="E30" i="12"/>
  <c r="D32" i="12"/>
  <c r="O26" i="8"/>
  <c r="D24" i="12"/>
  <c r="G22" i="8"/>
  <c r="I15" i="8"/>
  <c r="I16" i="8" s="1"/>
  <c r="I18" i="8" s="1"/>
  <c r="K15" i="8"/>
  <c r="K16" i="8" s="1"/>
  <c r="K18" i="8" s="1"/>
  <c r="M15" i="8"/>
  <c r="M16" i="8" s="1"/>
  <c r="M18" i="8" s="1"/>
  <c r="O15" i="8"/>
  <c r="O16" i="8" s="1"/>
  <c r="O18" i="8" s="1"/>
  <c r="J15" i="8"/>
  <c r="J16" i="8" s="1"/>
  <c r="J18" i="8" s="1"/>
  <c r="L15" i="8"/>
  <c r="L16" i="8" s="1"/>
  <c r="L18" i="8" s="1"/>
  <c r="N15" i="8"/>
  <c r="N16" i="8" s="1"/>
  <c r="N18" i="8" s="1"/>
  <c r="H16" i="8"/>
  <c r="D24" i="7"/>
  <c r="H30" i="8"/>
  <c r="F30" i="12" l="1"/>
  <c r="E32" i="12"/>
  <c r="E38" i="12"/>
  <c r="F24" i="12"/>
  <c r="F26" i="12" s="1"/>
  <c r="E24" i="12"/>
  <c r="E26" i="12" s="1"/>
  <c r="G24" i="12"/>
  <c r="G26" i="12" s="1"/>
  <c r="D26" i="12"/>
  <c r="D26" i="7"/>
  <c r="D28" i="7" s="1"/>
  <c r="D30" i="7" s="1"/>
  <c r="D32" i="7" s="1"/>
  <c r="D34" i="7" s="1"/>
  <c r="H38" i="8"/>
  <c r="I30" i="8"/>
  <c r="H32" i="8"/>
  <c r="H18" i="8"/>
  <c r="P16" i="8"/>
  <c r="D36" i="12"/>
  <c r="F38" i="12" l="1"/>
  <c r="G30" i="12"/>
  <c r="F32" i="12"/>
  <c r="H36" i="8"/>
  <c r="P18" i="8"/>
  <c r="J30" i="8"/>
  <c r="I32" i="8"/>
  <c r="I38" i="8"/>
  <c r="D36" i="6"/>
  <c r="G32" i="12" l="1"/>
  <c r="G38" i="12"/>
  <c r="E36" i="12"/>
  <c r="D38" i="6"/>
  <c r="D20" i="11"/>
  <c r="J38" i="8"/>
  <c r="K30" i="8"/>
  <c r="J32" i="8"/>
  <c r="G36" i="12" l="1"/>
  <c r="F36" i="12"/>
  <c r="I36" i="8"/>
  <c r="L30" i="8"/>
  <c r="K32" i="8"/>
  <c r="K36" i="8" s="1"/>
  <c r="K38" i="8"/>
  <c r="J36" i="8"/>
  <c r="P34" i="8"/>
  <c r="D18" i="11" l="1"/>
  <c r="D22" i="11" s="1"/>
  <c r="L38" i="8"/>
  <c r="M30" i="8"/>
  <c r="L32" i="8"/>
  <c r="L36" i="8" s="1"/>
  <c r="N30" i="8" l="1"/>
  <c r="M32" i="8"/>
  <c r="M38" i="8"/>
  <c r="H28" i="8" l="1"/>
  <c r="H22" i="8"/>
  <c r="M36" i="8"/>
  <c r="N38" i="8"/>
  <c r="O30" i="8"/>
  <c r="N32" i="8"/>
  <c r="N36" i="8" s="1"/>
  <c r="O32" i="8" l="1"/>
  <c r="O38" i="8"/>
  <c r="I22" i="8"/>
  <c r="I28" i="8"/>
  <c r="J28" i="8" l="1"/>
  <c r="O36" i="8"/>
  <c r="P32" i="8"/>
  <c r="J22" i="8"/>
  <c r="P36" i="8" l="1"/>
  <c r="D12" i="11"/>
  <c r="D14" i="11" s="1"/>
  <c r="K28" i="8"/>
  <c r="L28" i="8" s="1"/>
  <c r="M28" i="8" s="1"/>
  <c r="K22" i="8"/>
  <c r="L22" i="8" l="1"/>
  <c r="M22" i="8" s="1"/>
  <c r="N28" i="8"/>
  <c r="N22" i="8" l="1"/>
  <c r="P20" i="8"/>
  <c r="O22" i="8" l="1"/>
  <c r="O28" i="8"/>
  <c r="D26" i="10" l="1"/>
  <c r="D28" i="10" s="1"/>
  <c r="D32" i="10" s="1"/>
  <c r="H24" i="12"/>
  <c r="D28" i="12"/>
  <c r="D22" i="12"/>
  <c r="J24" i="12" l="1"/>
  <c r="J26" i="12" s="1"/>
  <c r="L24" i="12"/>
  <c r="L26" i="12" s="1"/>
  <c r="N24" i="12"/>
  <c r="N26" i="12" s="1"/>
  <c r="I24" i="12"/>
  <c r="I26" i="12" s="1"/>
  <c r="K24" i="12"/>
  <c r="K26" i="12" s="1"/>
  <c r="M24" i="12"/>
  <c r="M26" i="12" s="1"/>
  <c r="O24" i="12"/>
  <c r="O26" i="12" s="1"/>
  <c r="H26" i="12"/>
  <c r="D34" i="10"/>
  <c r="H15" i="12"/>
  <c r="E22" i="12"/>
  <c r="E28" i="12"/>
  <c r="I15" i="12" l="1"/>
  <c r="I16" i="12" s="1"/>
  <c r="I18" i="12" s="1"/>
  <c r="K15" i="12"/>
  <c r="K16" i="12" s="1"/>
  <c r="K18" i="12" s="1"/>
  <c r="M15" i="12"/>
  <c r="M16" i="12" s="1"/>
  <c r="M18" i="12" s="1"/>
  <c r="O15" i="12"/>
  <c r="O16" i="12" s="1"/>
  <c r="O18" i="12" s="1"/>
  <c r="J15" i="12"/>
  <c r="J16" i="12" s="1"/>
  <c r="J18" i="12" s="1"/>
  <c r="L15" i="12"/>
  <c r="L16" i="12" s="1"/>
  <c r="L18" i="12" s="1"/>
  <c r="N15" i="12"/>
  <c r="N16" i="12" s="1"/>
  <c r="N18" i="12" s="1"/>
  <c r="H16" i="12"/>
  <c r="D24" i="11"/>
  <c r="H30" i="12"/>
  <c r="F28" i="12"/>
  <c r="G28" i="12" s="1"/>
  <c r="F22" i="12"/>
  <c r="G22" i="12" s="1"/>
  <c r="H38" i="12" l="1"/>
  <c r="I30" i="12"/>
  <c r="H32" i="12"/>
  <c r="H18" i="12"/>
  <c r="P18" i="12" s="1"/>
  <c r="P16" i="12"/>
  <c r="D26" i="11"/>
  <c r="D28" i="11" s="1"/>
  <c r="D30" i="11" s="1"/>
  <c r="D32" i="11" s="1"/>
  <c r="D34" i="11" s="1"/>
  <c r="D36" i="10" s="1"/>
  <c r="D38" i="10" s="1"/>
  <c r="J30" i="12" l="1"/>
  <c r="I32" i="12"/>
  <c r="I36" i="12" s="1"/>
  <c r="I38" i="12"/>
  <c r="H36" i="12"/>
  <c r="H42" i="12" s="1"/>
  <c r="J38" i="12" l="1"/>
  <c r="K30" i="12"/>
  <c r="J32" i="12"/>
  <c r="J36" i="12" s="1"/>
  <c r="P34" i="12"/>
  <c r="L30" i="12" l="1"/>
  <c r="K32" i="12"/>
  <c r="K36" i="12" s="1"/>
  <c r="K38" i="12"/>
  <c r="H28" i="12" l="1"/>
  <c r="H22" i="12"/>
  <c r="L38" i="12"/>
  <c r="M30" i="12"/>
  <c r="L32" i="12"/>
  <c r="L36" i="12" s="1"/>
  <c r="O40" i="5"/>
  <c r="P34" i="5"/>
  <c r="P36" i="5" s="1"/>
  <c r="J36" i="5"/>
  <c r="J40" i="5"/>
  <c r="N40" i="5"/>
  <c r="N36" i="5"/>
  <c r="M40" i="5"/>
  <c r="M36" i="5"/>
  <c r="L40" i="5"/>
  <c r="L36" i="5"/>
  <c r="K40" i="5"/>
  <c r="K36" i="5"/>
  <c r="O36" i="5" l="1"/>
  <c r="N30" i="12"/>
  <c r="M32" i="12"/>
  <c r="M36" i="12" s="1"/>
  <c r="M38" i="12"/>
  <c r="I28" i="12"/>
  <c r="J28" i="12" s="1"/>
  <c r="K28" i="12" s="1"/>
  <c r="I22" i="12"/>
  <c r="J22" i="12" s="1"/>
  <c r="K22" i="12" s="1"/>
  <c r="E14" i="7"/>
  <c r="E18" i="7"/>
  <c r="E22" i="7" s="1"/>
  <c r="N38" i="12" l="1"/>
  <c r="O30" i="12"/>
  <c r="N32" i="12"/>
  <c r="N36" i="12" s="1"/>
  <c r="L22" i="12"/>
  <c r="L28" i="12"/>
  <c r="H22" i="5"/>
  <c r="I22" i="5" l="1"/>
  <c r="M28" i="12"/>
  <c r="O32" i="12"/>
  <c r="O38" i="12"/>
  <c r="M22" i="12"/>
  <c r="J22" i="5"/>
  <c r="O36" i="12" l="1"/>
  <c r="P32" i="12"/>
  <c r="P36" i="12" s="1"/>
  <c r="P20" i="12"/>
  <c r="K22" i="5"/>
  <c r="N22" i="12" l="1"/>
  <c r="O22" i="12" s="1"/>
  <c r="N28" i="12"/>
  <c r="O28" i="12" s="1"/>
  <c r="L22" i="5" l="1"/>
  <c r="M22" i="5" s="1"/>
  <c r="N22" i="5" l="1"/>
  <c r="O22" i="5" s="1"/>
  <c r="E26" i="6" l="1"/>
  <c r="E28" i="6" s="1"/>
  <c r="E32" i="6" s="1"/>
  <c r="D15" i="13" s="1"/>
  <c r="H24" i="9"/>
  <c r="P20" i="5"/>
  <c r="E15" i="13" l="1"/>
  <c r="E16" i="13" s="1"/>
  <c r="E18" i="13" s="1"/>
  <c r="G15" i="13"/>
  <c r="G16" i="13" s="1"/>
  <c r="G18" i="13" s="1"/>
  <c r="F15" i="13"/>
  <c r="F16" i="13" s="1"/>
  <c r="F18" i="13" s="1"/>
  <c r="D16" i="13"/>
  <c r="J24" i="9"/>
  <c r="J26" i="9" s="1"/>
  <c r="L24" i="9"/>
  <c r="L26" i="9" s="1"/>
  <c r="N24" i="9"/>
  <c r="N26" i="9" s="1"/>
  <c r="I24" i="9"/>
  <c r="I26" i="9" s="1"/>
  <c r="K24" i="9"/>
  <c r="K26" i="9" s="1"/>
  <c r="M24" i="9"/>
  <c r="M26" i="9" s="1"/>
  <c r="O24" i="9"/>
  <c r="H26" i="9"/>
  <c r="E34" i="6"/>
  <c r="D30" i="13" s="1"/>
  <c r="H15" i="9"/>
  <c r="D18" i="13" l="1"/>
  <c r="E30" i="13"/>
  <c r="D32" i="13"/>
  <c r="O26" i="9"/>
  <c r="D24" i="13"/>
  <c r="I15" i="9"/>
  <c r="I16" i="9" s="1"/>
  <c r="I18" i="9" s="1"/>
  <c r="K15" i="9"/>
  <c r="K16" i="9" s="1"/>
  <c r="K18" i="9" s="1"/>
  <c r="M15" i="9"/>
  <c r="M16" i="9" s="1"/>
  <c r="M18" i="9" s="1"/>
  <c r="O15" i="9"/>
  <c r="O16" i="9" s="1"/>
  <c r="O18" i="9" s="1"/>
  <c r="J15" i="9"/>
  <c r="J16" i="9" s="1"/>
  <c r="J18" i="9" s="1"/>
  <c r="L15" i="9"/>
  <c r="L16" i="9" s="1"/>
  <c r="L18" i="9" s="1"/>
  <c r="N15" i="9"/>
  <c r="N16" i="9" s="1"/>
  <c r="N18" i="9" s="1"/>
  <c r="H16" i="9"/>
  <c r="E24" i="7"/>
  <c r="H30" i="9"/>
  <c r="D22" i="9"/>
  <c r="F24" i="13" l="1"/>
  <c r="F26" i="13" s="1"/>
  <c r="E24" i="13"/>
  <c r="E26" i="13" s="1"/>
  <c r="G24" i="13"/>
  <c r="G26" i="13" s="1"/>
  <c r="D26" i="13"/>
  <c r="F30" i="13"/>
  <c r="E32" i="13"/>
  <c r="E26" i="7"/>
  <c r="E28" i="7" s="1"/>
  <c r="E30" i="7" s="1"/>
  <c r="E32" i="7" s="1"/>
  <c r="E34" i="7" s="1"/>
  <c r="E36" i="6" s="1"/>
  <c r="I30" i="9"/>
  <c r="H32" i="9"/>
  <c r="H18" i="9"/>
  <c r="P18" i="9" s="1"/>
  <c r="P16" i="9"/>
  <c r="E22" i="9"/>
  <c r="F22" i="9" s="1"/>
  <c r="E36" i="13" l="1"/>
  <c r="G30" i="13"/>
  <c r="G32" i="13" s="1"/>
  <c r="F32" i="13"/>
  <c r="F36" i="13" s="1"/>
  <c r="D36" i="13"/>
  <c r="H36" i="9"/>
  <c r="E38" i="6"/>
  <c r="E20" i="11"/>
  <c r="J30" i="9"/>
  <c r="I32" i="9"/>
  <c r="I36" i="9" s="1"/>
  <c r="G22" i="9"/>
  <c r="G36" i="13" l="1"/>
  <c r="P34" i="9"/>
  <c r="K30" i="9"/>
  <c r="J32" i="9"/>
  <c r="J36" i="9" s="1"/>
  <c r="H28" i="9"/>
  <c r="E18" i="11" l="1"/>
  <c r="E22" i="11" s="1"/>
  <c r="L30" i="9"/>
  <c r="K32" i="9"/>
  <c r="K36" i="9" s="1"/>
  <c r="H22" i="9"/>
  <c r="M30" i="9" l="1"/>
  <c r="L32" i="9"/>
  <c r="I28" i="9"/>
  <c r="L36" i="9" l="1"/>
  <c r="N30" i="9"/>
  <c r="M32" i="9"/>
  <c r="M36" i="9" s="1"/>
  <c r="J28" i="9"/>
  <c r="I22" i="9"/>
  <c r="J22" i="9" s="1"/>
  <c r="O30" i="9" l="1"/>
  <c r="O32" i="9" s="1"/>
  <c r="N32" i="9"/>
  <c r="N36" i="9" s="1"/>
  <c r="K22" i="9"/>
  <c r="L22" i="9" l="1"/>
  <c r="K28" i="9"/>
  <c r="L28" i="9" s="1"/>
  <c r="O36" i="9"/>
  <c r="P32" i="9"/>
  <c r="M22" i="9"/>
  <c r="M28" i="9" l="1"/>
  <c r="P36" i="9"/>
  <c r="E12" i="11"/>
  <c r="E14" i="11" s="1"/>
  <c r="N22" i="9"/>
  <c r="N28" i="9"/>
  <c r="O28" i="9" l="1"/>
  <c r="E26" i="10" l="1"/>
  <c r="E28" i="10" s="1"/>
  <c r="E32" i="10" s="1"/>
  <c r="H24" i="13"/>
  <c r="D28" i="13"/>
  <c r="P20" i="9"/>
  <c r="O22" i="9"/>
  <c r="D22" i="13" s="1"/>
  <c r="J24" i="13" l="1"/>
  <c r="J26" i="13" s="1"/>
  <c r="L24" i="13"/>
  <c r="L26" i="13" s="1"/>
  <c r="N24" i="13"/>
  <c r="N26" i="13" s="1"/>
  <c r="I24" i="13"/>
  <c r="I26" i="13" s="1"/>
  <c r="K24" i="13"/>
  <c r="K26" i="13" s="1"/>
  <c r="M24" i="13"/>
  <c r="M26" i="13" s="1"/>
  <c r="O24" i="13"/>
  <c r="O26" i="13" s="1"/>
  <c r="H26" i="13"/>
  <c r="E34" i="10"/>
  <c r="H15" i="13"/>
  <c r="E22" i="13"/>
  <c r="E28" i="13"/>
  <c r="E24" i="11" l="1"/>
  <c r="H30" i="13"/>
  <c r="I15" i="13"/>
  <c r="I16" i="13" s="1"/>
  <c r="I18" i="13" s="1"/>
  <c r="K15" i="13"/>
  <c r="K16" i="13" s="1"/>
  <c r="K18" i="13" s="1"/>
  <c r="M15" i="13"/>
  <c r="M16" i="13" s="1"/>
  <c r="M18" i="13" s="1"/>
  <c r="O15" i="13"/>
  <c r="O16" i="13" s="1"/>
  <c r="O18" i="13" s="1"/>
  <c r="J15" i="13"/>
  <c r="J16" i="13" s="1"/>
  <c r="J18" i="13" s="1"/>
  <c r="L15" i="13"/>
  <c r="L16" i="13" s="1"/>
  <c r="L18" i="13" s="1"/>
  <c r="N15" i="13"/>
  <c r="N16" i="13" s="1"/>
  <c r="N18" i="13" s="1"/>
  <c r="H16" i="13"/>
  <c r="F28" i="13"/>
  <c r="G28" i="13" s="1"/>
  <c r="H18" i="13" l="1"/>
  <c r="P18" i="13" s="1"/>
  <c r="P16" i="13"/>
  <c r="I30" i="13"/>
  <c r="H32" i="13"/>
  <c r="E26" i="11"/>
  <c r="E28" i="11" s="1"/>
  <c r="E30" i="11" s="1"/>
  <c r="E32" i="11" s="1"/>
  <c r="E34" i="11" s="1"/>
  <c r="E36" i="10" s="1"/>
  <c r="E38" i="10" s="1"/>
  <c r="F22" i="13"/>
  <c r="G22" i="13" s="1"/>
  <c r="J30" i="13" l="1"/>
  <c r="I32" i="13"/>
  <c r="K30" i="13" l="1"/>
  <c r="J32" i="13"/>
  <c r="I36" i="13"/>
  <c r="H36" i="13"/>
  <c r="P34" i="13" l="1"/>
  <c r="H28" i="13"/>
  <c r="H22" i="13"/>
  <c r="L30" i="13"/>
  <c r="K32" i="13"/>
  <c r="K36" i="13" s="1"/>
  <c r="J36" i="13"/>
  <c r="I22" i="13" l="1"/>
  <c r="M30" i="13"/>
  <c r="L32" i="13"/>
  <c r="L36" i="13" s="1"/>
  <c r="I28" i="13"/>
  <c r="J22" i="13"/>
  <c r="N30" i="13" l="1"/>
  <c r="M32" i="13"/>
  <c r="M36" i="13" s="1"/>
  <c r="J28" i="13"/>
  <c r="K22" i="13"/>
  <c r="O30" i="13" l="1"/>
  <c r="O32" i="13" s="1"/>
  <c r="N32" i="13"/>
  <c r="N36" i="13" s="1"/>
  <c r="K28" i="13"/>
  <c r="L22" i="13"/>
  <c r="O36" i="13" l="1"/>
  <c r="P32" i="13"/>
  <c r="P36" i="13" s="1"/>
  <c r="L28" i="13"/>
  <c r="M22" i="13" l="1"/>
  <c r="N22" i="13" s="1"/>
  <c r="O22" i="13" s="1"/>
  <c r="P20" i="13"/>
  <c r="M28" i="13"/>
  <c r="N28" i="13" s="1"/>
  <c r="O28" i="13" s="1"/>
</calcChain>
</file>

<file path=xl/sharedStrings.xml><?xml version="1.0" encoding="utf-8"?>
<sst xmlns="http://schemas.openxmlformats.org/spreadsheetml/2006/main" count="434" uniqueCount="107">
  <si>
    <t>Note: The months of July - September 2013 represent actual results</t>
  </si>
  <si>
    <t>Average Monthly Bill Impact</t>
  </si>
  <si>
    <t xml:space="preserve">Monthly Rate Impact </t>
  </si>
  <si>
    <t>Workpapers</t>
  </si>
  <si>
    <t>Projected Revenue</t>
  </si>
  <si>
    <t>Projected Schedule 142 Revenue</t>
  </si>
  <si>
    <t>JPE-11</t>
  </si>
  <si>
    <t>Schedule 142 Rate ($ / kWh)</t>
  </si>
  <si>
    <t>Cumulative Deferral Net of Amortization</t>
  </si>
  <si>
    <t>Deferral Amortization</t>
  </si>
  <si>
    <t>Calculation</t>
  </si>
  <si>
    <t>Deferral Amortization Rate ($/kWh)</t>
  </si>
  <si>
    <t>Cumulative Deferral</t>
  </si>
  <si>
    <t>Interest on Deferral</t>
  </si>
  <si>
    <t>Deferral</t>
  </si>
  <si>
    <t>Monthly Actual Volumetric Delivery Revenue</t>
  </si>
  <si>
    <t>Delivery Revenue Per Unit ($/kWh)</t>
  </si>
  <si>
    <t>F2013</t>
  </si>
  <si>
    <t>Forecasted kWh</t>
  </si>
  <si>
    <t>Allowed Volumetric Delivery Revenue</t>
  </si>
  <si>
    <t>JPE-10</t>
  </si>
  <si>
    <t>Monthly Allowed Delivery Revenue per Customer</t>
  </si>
  <si>
    <t>Forecasted Customers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</si>
  <si>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</si>
  <si>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</si>
  <si>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</si>
  <si>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</si>
  <si>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</si>
  <si>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</si>
  <si>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</si>
  <si>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</si>
  <si>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</si>
  <si>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</si>
  <si>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</si>
  <si>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</si>
  <si>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</si>
  <si>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</si>
  <si>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</si>
  <si>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</si>
  <si>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</si>
  <si>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</si>
  <si>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Calendar Year 2013</t>
  </si>
  <si>
    <t>Development of Deferrals - Electric Residential</t>
  </si>
  <si>
    <t>Decoupling Filing</t>
  </si>
  <si>
    <t>Puget Sound Energy</t>
  </si>
  <si>
    <t>Average Rate Used for Projections without 26/31</t>
  </si>
  <si>
    <t xml:space="preserve">Rate Impact </t>
  </si>
  <si>
    <t>Development of Deferrals - Electric Non-Residential</t>
  </si>
  <si>
    <t>Post-Rate Test Deferred Balance to Recover/(Refund)</t>
  </si>
  <si>
    <t>Page 4</t>
  </si>
  <si>
    <t>Post-Rate Test Schedule 142 Rates ($/kWh)</t>
  </si>
  <si>
    <t>Schedule 142 Rates ($/kWh)</t>
  </si>
  <si>
    <t>Rate Year Volumetric Delivery Revenue Per Unit ($/kWh)</t>
  </si>
  <si>
    <t>Forecasted Rate Year Base Sales (kWh)</t>
  </si>
  <si>
    <t>Estimated Recoverable Volumetric Delivery Revenue</t>
  </si>
  <si>
    <t>Page 1/Page 2</t>
  </si>
  <si>
    <t>Plus: Deferred Balance at End of Calendar Year 2013</t>
  </si>
  <si>
    <t>Forecasted Rate Year Allowed Volumetric Delivery Revenue</t>
  </si>
  <si>
    <t>Forecasted Rate Year Customer Count</t>
  </si>
  <si>
    <t>JPE-9</t>
  </si>
  <si>
    <t>2014 Allowed Volumetric Delivery Revenue Per Customer</t>
  </si>
  <si>
    <t>Test Year Volumetric Delivery Revenue Per Unit ($/kWh)</t>
  </si>
  <si>
    <t>UE-130137 WP</t>
  </si>
  <si>
    <t>Test Year Base Sales (kWh)</t>
  </si>
  <si>
    <t xml:space="preserve">Test Year Volumetric Delivery Revenue </t>
  </si>
  <si>
    <t>Less: Test Year Basic Charge Revenue</t>
  </si>
  <si>
    <t>Test Year Allowed Delivery Revenue</t>
  </si>
  <si>
    <t>Non-Residential Schedules*</t>
  </si>
  <si>
    <t>Residential</t>
  </si>
  <si>
    <t>Rate Year - May 1, 2014 through April 30, 2015</t>
  </si>
  <si>
    <t>Development of Delivery Cost Energy Rate and Schedule 142 Rate - Electric</t>
  </si>
  <si>
    <t>(16) - (24)</t>
  </si>
  <si>
    <t>(14) x (22)</t>
  </si>
  <si>
    <t>Adjust Volumetric Delivery Revenue per Unit ($/kWh)</t>
  </si>
  <si>
    <t>% above 3% Maximum</t>
  </si>
  <si>
    <t>(18) / (14)</t>
  </si>
  <si>
    <t>% Change to Revenues</t>
  </si>
  <si>
    <t>(16) - (12)</t>
  </si>
  <si>
    <t>Incremental Change in Volumetric Delivery Revenue per Unit ($/kWh)</t>
  </si>
  <si>
    <t>Page 3</t>
  </si>
  <si>
    <t>Proposed Schedule 142 Rates ($/kWh)</t>
  </si>
  <si>
    <t>(10) + (12)</t>
  </si>
  <si>
    <t>Average Rate Including Schedule 142 ($/kWh)</t>
  </si>
  <si>
    <t>Plus: Current Schedule 142 Rates ($/kWh)</t>
  </si>
  <si>
    <t>(2) / (8)</t>
  </si>
  <si>
    <t>Average Rate ($/kWh)</t>
  </si>
  <si>
    <t>Work Paper</t>
  </si>
  <si>
    <t>Forecasted CBR Base Sales (kWh)</t>
  </si>
  <si>
    <t>(2) - (4)</t>
  </si>
  <si>
    <t>Adjusted ERF Normalized Revenues</t>
  </si>
  <si>
    <t>Page 1 &amp; 2</t>
  </si>
  <si>
    <t>Less: Schedule 142 Revenues</t>
  </si>
  <si>
    <t>Forecasted CBR Normalized Revenues</t>
  </si>
  <si>
    <t>3% Rate Test - 12 Months ending December 31, 2013</t>
  </si>
  <si>
    <t>JPE-11/JPE-12</t>
  </si>
  <si>
    <t>Calendar Year 2014</t>
  </si>
  <si>
    <t>Page 8</t>
  </si>
  <si>
    <t>Page 5/Page 6</t>
  </si>
  <si>
    <t>Plus: Deferred Balance at End of Calendar Year 2014</t>
  </si>
  <si>
    <t>2015 Allowed Volumetric Delivery Revenue Per Customer</t>
  </si>
  <si>
    <t>Rate Year - May 1, 2015 through April 30, 2016</t>
  </si>
  <si>
    <t>Page 7</t>
  </si>
  <si>
    <t>Page 5 &amp; 6</t>
  </si>
  <si>
    <t>3% Rate Test - 12 Months ending December 31, 2014</t>
  </si>
  <si>
    <t>Page 3 &amp; 7</t>
  </si>
  <si>
    <t>Calendar Year 2015</t>
  </si>
  <si>
    <t>* Schedules 24, 25, 26, 26P, 29, 31, 35, 40, 43, 46, 49, as well as related schedules eligible for BPA Res. Exchange.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</si>
</sst>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[$-409]mmm\-yy;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_(* #,##0.000_);_(* \(#,##0.000\);_(* &quot;-&quot;??_);_(@_)"/>
    <numFmt numFmtId="177" formatCode="#.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0.00_)"/>
    <numFmt numFmtId="187" formatCode="&quot;$&quot;#,##0;\-&quot;$&quot;#,##0"/>
    <numFmt numFmtId="188" formatCode="_(&quot;$&quot;* #,##0.000000_);_(&quot;$&quot;* \(#,##0.000000\);_(&quot;$&quot;* &quot;-&quot;??????_);_(@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0.0%"/>
    <numFmt numFmtId="199" formatCode="_(* #,##0.0_);_(* \(#,##0.0\);_(* &quot;-&quot;_);_(@_)"/>
    <numFmt numFmtId="200" formatCode="0.000%"/>
    <numFmt numFmtId="201" formatCode="&quot;$&quot;#,##0.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color rgb="FFFF0000"/>
      <name val="Arial"/>
      <family val="2"/>
    </font>
    <font>
      <b/>
      <i/>
      <u/>
      <sz val="10"/>
      <color theme="1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950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5" fillId="0" borderId="0"/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5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5" fillId="0" borderId="0"/>
    <xf numFmtId="0" fontId="25" fillId="0" borderId="0"/>
    <xf numFmtId="172" fontId="27" fillId="0" borderId="0">
      <alignment horizontal="left"/>
    </xf>
    <xf numFmtId="173" fontId="28" fillId="0" borderId="0">
      <alignment horizontal="left"/>
    </xf>
    <xf numFmtId="0" fontId="29" fillId="0" borderId="11"/>
    <xf numFmtId="0" fontId="30" fillId="0" borderId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6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4" borderId="0" applyNumberFormat="0" applyBorder="0" applyAlignment="0" applyProtection="0"/>
    <xf numFmtId="169" fontId="26" fillId="0" borderId="0">
      <alignment horizontal="left" wrapText="1"/>
    </xf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169" fontId="26" fillId="0" borderId="0">
      <alignment horizontal="left" wrapText="1"/>
    </xf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9" fontId="26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6" borderId="0" applyNumberFormat="0" applyBorder="0" applyAlignment="0" applyProtection="0"/>
    <xf numFmtId="169" fontId="26" fillId="0" borderId="0">
      <alignment horizontal="left" wrapText="1"/>
    </xf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26" fillId="0" borderId="0">
      <alignment horizontal="left" wrapText="1"/>
    </xf>
    <xf numFmtId="0" fontId="3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6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8" borderId="0" applyNumberFormat="0" applyBorder="0" applyAlignment="0" applyProtection="0"/>
    <xf numFmtId="169" fontId="26" fillId="0" borderId="0">
      <alignment horizontal="left" wrapText="1"/>
    </xf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6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69" fontId="26" fillId="0" borderId="0">
      <alignment horizontal="left" wrapText="1"/>
    </xf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26" fillId="0" borderId="0">
      <alignment horizontal="left" wrapText="1"/>
    </xf>
    <xf numFmtId="0" fontId="3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6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1" borderId="0" applyNumberFormat="0" applyBorder="0" applyAlignment="0" applyProtection="0"/>
    <xf numFmtId="169" fontId="26" fillId="0" borderId="0">
      <alignment horizontal="left" wrapText="1"/>
    </xf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26" fillId="0" borderId="0">
      <alignment horizontal="left" wrapText="1"/>
    </xf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169" fontId="26" fillId="0" borderId="0">
      <alignment horizontal="left" wrapText="1"/>
    </xf>
    <xf numFmtId="0" fontId="3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9" fontId="26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43" borderId="0" applyNumberFormat="0" applyBorder="0" applyAlignment="0" applyProtection="0"/>
    <xf numFmtId="169" fontId="26" fillId="0" borderId="0">
      <alignment horizontal="left" wrapText="1"/>
    </xf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6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40" borderId="0" applyNumberFormat="0" applyBorder="0" applyAlignment="0" applyProtection="0"/>
    <xf numFmtId="169" fontId="26" fillId="0" borderId="0">
      <alignment horizontal="left" wrapText="1"/>
    </xf>
    <xf numFmtId="0" fontId="31" fillId="4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6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35" borderId="0" applyNumberFormat="0" applyBorder="0" applyAlignment="0" applyProtection="0"/>
    <xf numFmtId="169" fontId="26" fillId="0" borderId="0">
      <alignment horizontal="left" wrapText="1"/>
    </xf>
    <xf numFmtId="0" fontId="31" fillId="35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26" fillId="0" borderId="0">
      <alignment horizontal="left" wrapText="1"/>
    </xf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6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45" borderId="0" applyNumberFormat="0" applyBorder="0" applyAlignment="0" applyProtection="0"/>
    <xf numFmtId="169" fontId="26" fillId="0" borderId="0">
      <alignment horizontal="left" wrapText="1"/>
    </xf>
    <xf numFmtId="0" fontId="31" fillId="45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6" fillId="0" borderId="0">
      <alignment horizontal="left" wrapText="1"/>
    </xf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6" fillId="0" borderId="0">
      <alignment horizontal="left" wrapText="1"/>
    </xf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6" fillId="0" borderId="0">
      <alignment horizontal="left" wrapText="1"/>
    </xf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6" fillId="0" borderId="0">
      <alignment horizontal="left" wrapText="1"/>
    </xf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169" fontId="26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2" fillId="6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6" fillId="0" borderId="0">
      <alignment horizontal="left" wrapText="1"/>
    </xf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3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30" fillId="0" borderId="11"/>
    <xf numFmtId="174" fontId="34" fillId="0" borderId="0" applyFill="0" applyBorder="0" applyAlignment="0"/>
    <xf numFmtId="174" fontId="34" fillId="0" borderId="0" applyFill="0" applyBorder="0" applyAlignment="0"/>
    <xf numFmtId="169" fontId="26" fillId="0" borderId="0">
      <alignment horizontal="left" wrapText="1"/>
    </xf>
    <xf numFmtId="169" fontId="26" fillId="0" borderId="0">
      <alignment horizontal="left" wrapText="1"/>
    </xf>
    <xf numFmtId="174" fontId="34" fillId="0" borderId="0" applyFill="0" applyBorder="0" applyAlignment="0"/>
    <xf numFmtId="41" fontId="20" fillId="67" borderId="0"/>
    <xf numFmtId="0" fontId="35" fillId="68" borderId="12" applyNumberFormat="0" applyAlignment="0" applyProtection="0"/>
    <xf numFmtId="169" fontId="26" fillId="0" borderId="0">
      <alignment horizontal="left" wrapText="1"/>
    </xf>
    <xf numFmtId="0" fontId="35" fillId="68" borderId="12" applyNumberFormat="0" applyAlignment="0" applyProtection="0"/>
    <xf numFmtId="0" fontId="11" fillId="6" borderId="4" applyNumberFormat="0" applyAlignment="0" applyProtection="0"/>
    <xf numFmtId="0" fontId="36" fillId="69" borderId="4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6" fillId="69" borderId="4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20" fillId="67" borderId="0"/>
    <xf numFmtId="41" fontId="20" fillId="67" borderId="0"/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169" fontId="26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6" fillId="69" borderId="4" applyNumberFormat="0" applyAlignment="0" applyProtection="0"/>
    <xf numFmtId="0" fontId="11" fillId="6" borderId="4" applyNumberFormat="0" applyAlignment="0" applyProtection="0"/>
    <xf numFmtId="0" fontId="37" fillId="70" borderId="13" applyNumberFormat="0" applyAlignment="0" applyProtection="0"/>
    <xf numFmtId="0" fontId="37" fillId="70" borderId="13" applyNumberFormat="0" applyAlignment="0" applyProtection="0"/>
    <xf numFmtId="169" fontId="26" fillId="0" borderId="0">
      <alignment horizontal="left" wrapText="1"/>
    </xf>
    <xf numFmtId="0" fontId="37" fillId="70" borderId="13" applyNumberFormat="0" applyAlignment="0" applyProtection="0"/>
    <xf numFmtId="169" fontId="26" fillId="0" borderId="0">
      <alignment horizontal="left" wrapText="1"/>
    </xf>
    <xf numFmtId="0" fontId="13" fillId="7" borderId="7" applyNumberFormat="0" applyAlignment="0" applyProtection="0"/>
    <xf numFmtId="0" fontId="37" fillId="70" borderId="13" applyNumberFormat="0" applyAlignment="0" applyProtection="0"/>
    <xf numFmtId="41" fontId="20" fillId="71" borderId="0"/>
    <xf numFmtId="41" fontId="20" fillId="71" borderId="0"/>
    <xf numFmtId="169" fontId="26" fillId="0" borderId="0">
      <alignment horizontal="left" wrapText="1"/>
    </xf>
    <xf numFmtId="41" fontId="20" fillId="71" borderId="0"/>
    <xf numFmtId="41" fontId="20" fillId="71" borderId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169" fontId="26" fillId="0" borderId="0">
      <alignment horizontal="left" wrapText="1"/>
    </xf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>
      <alignment horizontal="left" wrapText="1"/>
    </xf>
    <xf numFmtId="43" fontId="20" fillId="0" borderId="0" applyFont="0" applyFill="0" applyBorder="0" applyAlignment="0" applyProtection="0"/>
    <xf numFmtId="3" fontId="41" fillId="0" borderId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69" fontId="26" fillId="0" borderId="0">
      <alignment horizontal="left" wrapText="1"/>
    </xf>
    <xf numFmtId="3" fontId="41" fillId="0" borderId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7" fontId="48" fillId="0" borderId="0">
      <protection locked="0"/>
    </xf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49" fillId="0" borderId="0" applyNumberFormat="0" applyAlignment="0">
      <alignment horizontal="left"/>
    </xf>
    <xf numFmtId="0" fontId="50" fillId="0" borderId="0" applyNumberFormat="0" applyAlignment="0"/>
    <xf numFmtId="0" fontId="50" fillId="0" borderId="0" applyNumberFormat="0" applyAlignment="0"/>
    <xf numFmtId="169" fontId="26" fillId="0" borderId="0">
      <alignment horizontal="left" wrapText="1"/>
    </xf>
    <xf numFmtId="169" fontId="26" fillId="0" borderId="0">
      <alignment horizontal="left" wrapText="1"/>
    </xf>
    <xf numFmtId="0" fontId="50" fillId="0" borderId="0" applyNumberFormat="0" applyAlignment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8" fontId="4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8" fontId="38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9" fontId="26" fillId="0" borderId="0">
      <alignment horizontal="left" wrapText="1"/>
    </xf>
    <xf numFmtId="178" fontId="20" fillId="0" borderId="0" applyFont="0" applyFill="0" applyBorder="0" applyAlignment="0" applyProtection="0"/>
    <xf numFmtId="169" fontId="26" fillId="0" borderId="0">
      <alignment horizontal="left" wrapText="1"/>
    </xf>
    <xf numFmtId="178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169" fontId="26" fillId="0" borderId="0">
      <alignment horizontal="left" wrapText="1"/>
    </xf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6" fillId="0" borderId="0">
      <alignment horizontal="left" wrapText="1"/>
    </xf>
    <xf numFmtId="44" fontId="20" fillId="0" borderId="0" applyFont="0" applyFill="0" applyBorder="0" applyAlignment="0" applyProtection="0"/>
    <xf numFmtId="5" fontId="41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79" fontId="20" fillId="0" borderId="0" applyFont="0" applyFill="0" applyBorder="0" applyAlignment="0" applyProtection="0"/>
    <xf numFmtId="180" fontId="53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6" fillId="0" borderId="0">
      <alignment horizontal="left" wrapText="1"/>
    </xf>
    <xf numFmtId="5" fontId="41" fillId="0" borderId="0" applyFill="0" applyBorder="0" applyAlignment="0" applyProtection="0"/>
    <xf numFmtId="179" fontId="20" fillId="0" borderId="0" applyFont="0" applyFill="0" applyBorder="0" applyAlignment="0" applyProtection="0"/>
    <xf numFmtId="180" fontId="41" fillId="0" borderId="0" applyFont="0" applyFill="0" applyBorder="0" applyAlignment="0" applyProtection="0"/>
    <xf numFmtId="5" fontId="41" fillId="0" borderId="0" applyFill="0" applyBorder="0" applyAlignment="0" applyProtection="0"/>
    <xf numFmtId="179" fontId="20" fillId="0" borderId="0" applyFont="0" applyFill="0" applyBorder="0" applyAlignment="0" applyProtection="0"/>
    <xf numFmtId="181" fontId="41" fillId="0" borderId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26" fillId="0" borderId="0">
      <alignment horizontal="left" wrapText="1"/>
    </xf>
    <xf numFmtId="181" fontId="41" fillId="0" borderId="0" applyFill="0" applyBorder="0" applyAlignment="0" applyProtection="0"/>
    <xf numFmtId="0" fontId="46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41" fillId="0" borderId="0" applyFill="0" applyBorder="0" applyAlignment="0" applyProtection="0"/>
    <xf numFmtId="0" fontId="53" fillId="0" borderId="0" applyFont="0" applyFill="0" applyBorder="0" applyAlignment="0" applyProtection="0"/>
    <xf numFmtId="0" fontId="30" fillId="0" borderId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169" fontId="20" fillId="0" borderId="0"/>
    <xf numFmtId="169" fontId="20" fillId="0" borderId="0"/>
    <xf numFmtId="169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/>
    <xf numFmtId="169" fontId="20" fillId="0" borderId="0"/>
    <xf numFmtId="169" fontId="26" fillId="0" borderId="0">
      <alignment horizontal="left" wrapText="1"/>
    </xf>
    <xf numFmtId="169" fontId="20" fillId="0" borderId="0"/>
    <xf numFmtId="169" fontId="26" fillId="0" borderId="0">
      <alignment horizontal="left" wrapText="1"/>
    </xf>
    <xf numFmtId="169" fontId="20" fillId="0" borderId="0"/>
    <xf numFmtId="169" fontId="26" fillId="0" borderId="0">
      <alignment horizontal="left" wrapText="1"/>
    </xf>
    <xf numFmtId="182" fontId="55" fillId="0" borderId="0"/>
    <xf numFmtId="169" fontId="26" fillId="0" borderId="0">
      <alignment horizontal="left" wrapText="1"/>
    </xf>
    <xf numFmtId="169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/>
    <xf numFmtId="169" fontId="20" fillId="0" borderId="0"/>
    <xf numFmtId="169" fontId="20" fillId="0" borderId="0"/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26" fillId="0" borderId="0">
      <alignment horizontal="left" wrapText="1"/>
    </xf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ill="0" applyBorder="0" applyAlignment="0" applyProtection="0"/>
    <xf numFmtId="2" fontId="46" fillId="0" borderId="0" applyFont="0" applyFill="0" applyBorder="0" applyAlignment="0" applyProtection="0"/>
    <xf numFmtId="0" fontId="42" fillId="0" borderId="0"/>
    <xf numFmtId="0" fontId="42" fillId="0" borderId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57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9" fontId="26" fillId="0" borderId="0">
      <alignment horizontal="left" wrapText="1"/>
    </xf>
    <xf numFmtId="38" fontId="58" fillId="71" borderId="0" applyNumberFormat="0" applyBorder="0" applyAlignment="0" applyProtection="0"/>
    <xf numFmtId="0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0" fontId="59" fillId="0" borderId="11"/>
    <xf numFmtId="184" fontId="60" fillId="0" borderId="0" applyNumberFormat="0" applyFill="0" applyBorder="0" applyProtection="0">
      <alignment horizontal="right"/>
    </xf>
    <xf numFmtId="0" fontId="61" fillId="0" borderId="14" applyNumberFormat="0" applyAlignment="0" applyProtection="0">
      <alignment horizontal="left"/>
    </xf>
    <xf numFmtId="0" fontId="61" fillId="0" borderId="14" applyNumberFormat="0" applyAlignment="0" applyProtection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61" fillId="0" borderId="14" applyNumberFormat="0" applyAlignment="0" applyProtection="0">
      <alignment horizontal="left"/>
    </xf>
    <xf numFmtId="169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61" fillId="0" borderId="15">
      <alignment horizontal="left"/>
    </xf>
    <xf numFmtId="0" fontId="61" fillId="0" borderId="15">
      <alignment horizontal="left"/>
    </xf>
    <xf numFmtId="169" fontId="26" fillId="0" borderId="0">
      <alignment horizontal="left" wrapText="1"/>
    </xf>
    <xf numFmtId="14" fontId="62" fillId="75" borderId="16">
      <alignment horizontal="center" vertical="center" wrapText="1"/>
    </xf>
    <xf numFmtId="0" fontId="46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3" fillId="0" borderId="1" applyNumberFormat="0" applyFill="0" applyAlignment="0" applyProtection="0"/>
    <xf numFmtId="0" fontId="64" fillId="0" borderId="18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4" fillId="0" borderId="18" applyNumberFormat="0" applyFill="0" applyAlignment="0" applyProtection="0"/>
    <xf numFmtId="0" fontId="3" fillId="0" borderId="1" applyNumberFormat="0" applyFill="0" applyAlignment="0" applyProtection="0"/>
    <xf numFmtId="0" fontId="64" fillId="0" borderId="18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5" fillId="0" borderId="0" applyNumberFormat="0" applyFill="0" applyBorder="0" applyAlignment="0" applyProtection="0"/>
    <xf numFmtId="169" fontId="26" fillId="0" borderId="0">
      <alignment horizontal="left" wrapText="1"/>
    </xf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3" fillId="0" borderId="1" applyNumberFormat="0" applyFill="0" applyAlignment="0" applyProtection="0"/>
    <xf numFmtId="0" fontId="46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67" fillId="0" borderId="20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58" fillId="0" borderId="0" applyNumberFormat="0" applyFill="0" applyBorder="0" applyAlignment="0" applyProtection="0"/>
    <xf numFmtId="169" fontId="26" fillId="0" borderId="0">
      <alignment horizontal="left" wrapText="1"/>
    </xf>
    <xf numFmtId="0" fontId="6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20" applyNumberFormat="0" applyFill="0" applyAlignment="0" applyProtection="0"/>
    <xf numFmtId="0" fontId="4" fillId="0" borderId="2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5" fillId="0" borderId="3" applyNumberFormat="0" applyFill="0" applyAlignment="0" applyProtection="0"/>
    <xf numFmtId="0" fontId="69" fillId="0" borderId="22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38" fontId="70" fillId="0" borderId="0"/>
    <xf numFmtId="38" fontId="70" fillId="0" borderId="0"/>
    <xf numFmtId="38" fontId="70" fillId="0" borderId="0"/>
    <xf numFmtId="38" fontId="70" fillId="0" borderId="0"/>
    <xf numFmtId="169" fontId="26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38" fontId="70" fillId="0" borderId="0"/>
    <xf numFmtId="38" fontId="70" fillId="0" borderId="0"/>
    <xf numFmtId="38" fontId="70" fillId="0" borderId="0"/>
    <xf numFmtId="40" fontId="70" fillId="0" borderId="0"/>
    <xf numFmtId="40" fontId="70" fillId="0" borderId="0"/>
    <xf numFmtId="40" fontId="70" fillId="0" borderId="0"/>
    <xf numFmtId="40" fontId="70" fillId="0" borderId="0"/>
    <xf numFmtId="169" fontId="26" fillId="0" borderId="0">
      <alignment horizontal="left" wrapText="1"/>
    </xf>
    <xf numFmtId="0" fontId="70" fillId="0" borderId="0"/>
    <xf numFmtId="0" fontId="70" fillId="0" borderId="0"/>
    <xf numFmtId="0" fontId="70" fillId="0" borderId="0"/>
    <xf numFmtId="40" fontId="70" fillId="0" borderId="0"/>
    <xf numFmtId="40" fontId="70" fillId="0" borderId="0"/>
    <xf numFmtId="4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169" fontId="26" fillId="0" borderId="0">
      <alignment horizontal="left" wrapText="1"/>
    </xf>
    <xf numFmtId="0" fontId="71" fillId="0" borderId="0" applyNumberFormat="0" applyFill="0" applyBorder="0" applyAlignment="0" applyProtection="0">
      <alignment vertical="top"/>
      <protection locked="0"/>
    </xf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69" fontId="26" fillId="0" borderId="0">
      <alignment horizontal="left" wrapText="1"/>
    </xf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0" fontId="58" fillId="67" borderId="23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169" fontId="26" fillId="0" borderId="0">
      <alignment horizontal="left" wrapText="1"/>
    </xf>
    <xf numFmtId="0" fontId="72" fillId="41" borderId="12" applyNumberFormat="0" applyAlignment="0" applyProtection="0"/>
    <xf numFmtId="0" fontId="72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2" fillId="41" borderId="12" applyNumberFormat="0" applyAlignment="0" applyProtection="0"/>
    <xf numFmtId="169" fontId="26" fillId="0" borderId="0">
      <alignment horizontal="left" wrapText="1"/>
    </xf>
    <xf numFmtId="0" fontId="72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0" fontId="72" fillId="41" borderId="12" applyNumberFormat="0" applyAlignment="0" applyProtection="0"/>
    <xf numFmtId="41" fontId="73" fillId="76" borderId="24">
      <alignment horizontal="left"/>
      <protection locked="0"/>
    </xf>
    <xf numFmtId="169" fontId="26" fillId="0" borderId="0">
      <alignment horizontal="left" wrapText="1"/>
    </xf>
    <xf numFmtId="41" fontId="73" fillId="76" borderId="24">
      <alignment horizontal="left"/>
      <protection locked="0"/>
    </xf>
    <xf numFmtId="10" fontId="73" fillId="76" borderId="24">
      <alignment horizontal="right"/>
      <protection locked="0"/>
    </xf>
    <xf numFmtId="169" fontId="26" fillId="0" borderId="0">
      <alignment horizontal="left" wrapText="1"/>
    </xf>
    <xf numFmtId="10" fontId="73" fillId="76" borderId="24">
      <alignment horizontal="right"/>
      <protection locked="0"/>
    </xf>
    <xf numFmtId="169" fontId="26" fillId="0" borderId="0">
      <alignment horizontal="left" wrapText="1"/>
    </xf>
    <xf numFmtId="41" fontId="73" fillId="76" borderId="24">
      <alignment horizontal="left"/>
      <protection locked="0"/>
    </xf>
    <xf numFmtId="0" fontId="59" fillId="0" borderId="25"/>
    <xf numFmtId="0" fontId="58" fillId="71" borderId="0"/>
    <xf numFmtId="0" fontId="58" fillId="71" borderId="0"/>
    <xf numFmtId="0" fontId="58" fillId="71" borderId="0"/>
    <xf numFmtId="0" fontId="58" fillId="71" borderId="0"/>
    <xf numFmtId="169" fontId="26" fillId="0" borderId="0">
      <alignment horizontal="left" wrapText="1"/>
    </xf>
    <xf numFmtId="3" fontId="74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2" fillId="0" borderId="6" applyNumberFormat="0" applyFill="0" applyAlignment="0" applyProtection="0"/>
    <xf numFmtId="0" fontId="76" fillId="0" borderId="27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169" fontId="26" fillId="0" borderId="0">
      <alignment horizontal="left" wrapText="1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8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169" fontId="26" fillId="0" borderId="0">
      <alignment horizontal="left" wrapText="1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44" fontId="62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8" fillId="4" borderId="0" applyNumberFormat="0" applyBorder="0" applyAlignment="0" applyProtection="0"/>
    <xf numFmtId="0" fontId="78" fillId="4" borderId="0" applyNumberForma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79" fillId="4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37" fontId="80" fillId="0" borderId="0"/>
    <xf numFmtId="37" fontId="8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37" fontId="80" fillId="0" borderId="0"/>
    <xf numFmtId="186" fontId="81" fillId="0" borderId="0"/>
    <xf numFmtId="187" fontId="20" fillId="0" borderId="0"/>
    <xf numFmtId="187" fontId="20" fillId="0" borderId="0"/>
    <xf numFmtId="169" fontId="26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6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6" fillId="0" borderId="0">
      <alignment horizontal="left" wrapText="1"/>
    </xf>
    <xf numFmtId="187" fontId="20" fillId="0" borderId="0"/>
    <xf numFmtId="187" fontId="20" fillId="0" borderId="0"/>
    <xf numFmtId="188" fontId="26" fillId="0" borderId="0"/>
    <xf numFmtId="188" fontId="26" fillId="0" borderId="0"/>
    <xf numFmtId="186" fontId="81" fillId="0" borderId="0"/>
    <xf numFmtId="0" fontId="20" fillId="0" borderId="0"/>
    <xf numFmtId="186" fontId="81" fillId="0" borderId="0"/>
    <xf numFmtId="189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8" fontId="26" fillId="0" borderId="0"/>
    <xf numFmtId="190" fontId="20" fillId="0" borderId="0"/>
    <xf numFmtId="191" fontId="4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187" fontId="26" fillId="0" borderId="0">
      <alignment horizontal="left" wrapText="1"/>
    </xf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18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187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187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187" fontId="26" fillId="0" borderId="0">
      <alignment horizontal="left" wrapText="1"/>
    </xf>
    <xf numFmtId="169" fontId="20" fillId="0" borderId="0">
      <alignment horizontal="left" wrapText="1"/>
    </xf>
    <xf numFmtId="187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87" fontId="26" fillId="0" borderId="0">
      <alignment horizontal="left" wrapText="1"/>
    </xf>
    <xf numFmtId="187" fontId="26" fillId="0" borderId="0">
      <alignment horizontal="left" wrapText="1"/>
    </xf>
    <xf numFmtId="187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87" fontId="26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2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9" fillId="0" borderId="0"/>
    <xf numFmtId="169" fontId="26" fillId="0" borderId="0">
      <alignment horizontal="left" wrapText="1"/>
    </xf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2" fontId="20" fillId="0" borderId="0">
      <alignment horizontal="left" wrapText="1"/>
    </xf>
    <xf numFmtId="192" fontId="20" fillId="0" borderId="0">
      <alignment horizontal="left" wrapText="1"/>
    </xf>
    <xf numFmtId="169" fontId="26" fillId="0" borderId="0">
      <alignment horizontal="left" wrapText="1"/>
    </xf>
    <xf numFmtId="192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92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2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6" fillId="0" borderId="0"/>
    <xf numFmtId="194" fontId="26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31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0" fontId="51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39" fontId="83" fillId="0" borderId="0" applyNumberFormat="0" applyFill="0" applyBorder="0" applyAlignment="0" applyProtection="0"/>
    <xf numFmtId="39" fontId="83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39" fontId="83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39" fontId="83" fillId="0" borderId="0" applyNumberFormat="0" applyFill="0" applyBorder="0" applyAlignment="0" applyProtection="0"/>
    <xf numFmtId="169" fontId="26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9" fontId="26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20" fillId="0" borderId="0"/>
    <xf numFmtId="169" fontId="26" fillId="0" borderId="0">
      <alignment horizontal="left" wrapText="1"/>
    </xf>
    <xf numFmtId="171" fontId="26" fillId="0" borderId="0">
      <alignment horizontal="left" wrapText="1"/>
    </xf>
    <xf numFmtId="0" fontId="20" fillId="0" borderId="0"/>
    <xf numFmtId="0" fontId="20" fillId="0" borderId="0"/>
    <xf numFmtId="19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0" fontId="39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71" fontId="26" fillId="0" borderId="0">
      <alignment horizontal="left" wrapText="1"/>
    </xf>
    <xf numFmtId="171" fontId="26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0" fontId="20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2" fillId="0" borderId="0"/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31" fillId="0" borderId="0"/>
    <xf numFmtId="0" fontId="20" fillId="0" borderId="0"/>
    <xf numFmtId="0" fontId="20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" fillId="0" borderId="0"/>
    <xf numFmtId="0" fontId="1" fillId="0" borderId="0"/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0" fillId="39" borderId="30" applyNumberFormat="0" applyFont="0" applyAlignment="0" applyProtection="0"/>
    <xf numFmtId="169" fontId="26" fillId="0" borderId="0">
      <alignment horizontal="left" wrapText="1"/>
    </xf>
    <xf numFmtId="0" fontId="20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6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169" fontId="26" fillId="0" borderId="0">
      <alignment horizontal="left" wrapText="1"/>
    </xf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169" fontId="26" fillId="0" borderId="0">
      <alignment horizontal="left" wrapText="1"/>
    </xf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39" borderId="30" applyNumberFormat="0" applyFont="0" applyAlignment="0" applyProtection="0"/>
    <xf numFmtId="0" fontId="31" fillId="39" borderId="30" applyNumberFormat="0" applyFont="0" applyAlignment="0" applyProtection="0"/>
    <xf numFmtId="0" fontId="84" fillId="68" borderId="31" applyNumberFormat="0" applyAlignment="0" applyProtection="0"/>
    <xf numFmtId="0" fontId="84" fillId="68" borderId="31" applyNumberFormat="0" applyAlignment="0" applyProtection="0"/>
    <xf numFmtId="169" fontId="26" fillId="0" borderId="0">
      <alignment horizontal="left" wrapText="1"/>
    </xf>
    <xf numFmtId="0" fontId="84" fillId="68" borderId="31" applyNumberFormat="0" applyAlignment="0" applyProtection="0"/>
    <xf numFmtId="0" fontId="84" fillId="68" borderId="31" applyNumberFormat="0" applyAlignment="0" applyProtection="0"/>
    <xf numFmtId="0" fontId="84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84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5" fillId="0" borderId="0"/>
    <xf numFmtId="19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0" fontId="20" fillId="0" borderId="24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52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0" fontId="20" fillId="0" borderId="24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39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24"/>
    <xf numFmtId="9" fontId="38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9" fontId="39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39" fillId="0" borderId="0" applyFont="0" applyFill="0" applyBorder="0" applyAlignment="0" applyProtection="0"/>
    <xf numFmtId="10" fontId="20" fillId="0" borderId="24"/>
    <xf numFmtId="9" fontId="39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9" fontId="39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24"/>
    <xf numFmtId="10" fontId="20" fillId="0" borderId="24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9" fontId="26" fillId="0" borderId="0">
      <alignment horizontal="left" wrapText="1"/>
    </xf>
    <xf numFmtId="10" fontId="20" fillId="0" borderId="24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69" fontId="26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9" fontId="38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6" fillId="0" borderId="0">
      <alignment horizontal="left" wrapText="1"/>
    </xf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9" fontId="26" fillId="0" borderId="0">
      <alignment horizontal="left" wrapText="1"/>
    </xf>
    <xf numFmtId="41" fontId="20" fillId="77" borderId="24"/>
    <xf numFmtId="41" fontId="20" fillId="77" borderId="24"/>
    <xf numFmtId="169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" fontId="39" fillId="0" borderId="0" applyFont="0" applyFill="0" applyBorder="0" applyAlignment="0" applyProtection="0"/>
    <xf numFmtId="0" fontId="85" fillId="0" borderId="16">
      <alignment horizontal="center"/>
    </xf>
    <xf numFmtId="0" fontId="85" fillId="0" borderId="16">
      <alignment horizontal="center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85" fillId="0" borderId="16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39" fillId="0" borderId="0" applyFont="0" applyFill="0" applyBorder="0" applyAlignment="0" applyProtection="0"/>
    <xf numFmtId="0" fontId="39" fillId="78" borderId="0" applyNumberFormat="0" applyFont="0" applyBorder="0" applyAlignment="0" applyProtection="0"/>
    <xf numFmtId="0" fontId="39" fillId="78" borderId="0" applyNumberFormat="0" applyFont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39" fillId="78" borderId="0" applyNumberFormat="0" applyFont="0" applyBorder="0" applyAlignment="0" applyProtection="0"/>
    <xf numFmtId="0" fontId="44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3" fontId="86" fillId="0" borderId="0" applyFill="0" applyBorder="0" applyAlignment="0" applyProtection="0"/>
    <xf numFmtId="0" fontId="87" fillId="0" borderId="0"/>
    <xf numFmtId="0" fontId="88" fillId="0" borderId="0"/>
    <xf numFmtId="0" fontId="88" fillId="0" borderId="0"/>
    <xf numFmtId="0" fontId="87" fillId="0" borderId="0"/>
    <xf numFmtId="0" fontId="88" fillId="0" borderId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3" fontId="86" fillId="0" borderId="0" applyFill="0" applyBorder="0" applyAlignment="0" applyProtection="0"/>
    <xf numFmtId="42" fontId="20" fillId="67" borderId="0"/>
    <xf numFmtId="0" fontId="43" fillId="79" borderId="0"/>
    <xf numFmtId="0" fontId="89" fillId="79" borderId="25"/>
    <xf numFmtId="0" fontId="90" fillId="80" borderId="32"/>
    <xf numFmtId="0" fontId="91" fillId="79" borderId="33"/>
    <xf numFmtId="42" fontId="20" fillId="67" borderId="0"/>
    <xf numFmtId="169" fontId="26" fillId="0" borderId="0">
      <alignment horizontal="left" wrapText="1"/>
    </xf>
    <xf numFmtId="42" fontId="20" fillId="67" borderId="0"/>
    <xf numFmtId="169" fontId="26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9" fontId="26" fillId="0" borderId="0">
      <alignment horizontal="left" wrapText="1"/>
    </xf>
    <xf numFmtId="42" fontId="20" fillId="67" borderId="34">
      <alignment vertical="center"/>
    </xf>
    <xf numFmtId="169" fontId="26" fillId="0" borderId="0">
      <alignment horizontal="left" wrapText="1"/>
    </xf>
    <xf numFmtId="42" fontId="20" fillId="67" borderId="34">
      <alignment vertical="center"/>
    </xf>
    <xf numFmtId="169" fontId="26" fillId="0" borderId="0">
      <alignment horizontal="left" wrapText="1"/>
    </xf>
    <xf numFmtId="0" fontId="62" fillId="67" borderId="35" applyNumberFormat="0">
      <alignment horizontal="center" vertical="center" wrapText="1"/>
    </xf>
    <xf numFmtId="0" fontId="62" fillId="67" borderId="35" applyNumberFormat="0">
      <alignment horizontal="center" vertical="center" wrapText="1"/>
    </xf>
    <xf numFmtId="0" fontId="62" fillId="67" borderId="35" applyNumberFormat="0">
      <alignment horizontal="center" vertical="center" wrapText="1"/>
    </xf>
    <xf numFmtId="169" fontId="26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67" borderId="0"/>
    <xf numFmtId="10" fontId="20" fillId="67" borderId="0"/>
    <xf numFmtId="169" fontId="26" fillId="0" borderId="0">
      <alignment horizontal="left" wrapText="1"/>
    </xf>
    <xf numFmtId="10" fontId="20" fillId="67" borderId="0"/>
    <xf numFmtId="169" fontId="26" fillId="0" borderId="0">
      <alignment horizontal="left" wrapText="1"/>
    </xf>
    <xf numFmtId="10" fontId="20" fillId="67" borderId="0"/>
    <xf numFmtId="169" fontId="26" fillId="0" borderId="0">
      <alignment horizontal="left" wrapText="1"/>
    </xf>
    <xf numFmtId="10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7" fontId="20" fillId="67" borderId="0"/>
    <xf numFmtId="197" fontId="20" fillId="67" borderId="0"/>
    <xf numFmtId="197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97" fontId="20" fillId="67" borderId="0"/>
    <xf numFmtId="197" fontId="20" fillId="67" borderId="0"/>
    <xf numFmtId="169" fontId="26" fillId="0" borderId="0">
      <alignment horizontal="left" wrapText="1"/>
    </xf>
    <xf numFmtId="197" fontId="20" fillId="67" borderId="0"/>
    <xf numFmtId="169" fontId="26" fillId="0" borderId="0">
      <alignment horizontal="left" wrapText="1"/>
    </xf>
    <xf numFmtId="197" fontId="20" fillId="67" borderId="0"/>
    <xf numFmtId="169" fontId="26" fillId="0" borderId="0">
      <alignment horizontal="left" wrapText="1"/>
    </xf>
    <xf numFmtId="197" fontId="20" fillId="67" borderId="0"/>
    <xf numFmtId="169" fontId="26" fillId="0" borderId="0">
      <alignment horizontal="left" wrapText="1"/>
    </xf>
    <xf numFmtId="169" fontId="26" fillId="0" borderId="0">
      <alignment horizontal="left" wrapText="1"/>
    </xf>
    <xf numFmtId="197" fontId="20" fillId="67" borderId="0"/>
    <xf numFmtId="197" fontId="20" fillId="67" borderId="0"/>
    <xf numFmtId="197" fontId="20" fillId="67" borderId="0"/>
    <xf numFmtId="42" fontId="20" fillId="67" borderId="0"/>
    <xf numFmtId="167" fontId="70" fillId="0" borderId="0" applyBorder="0" applyAlignment="0"/>
    <xf numFmtId="167" fontId="70" fillId="0" borderId="0" applyBorder="0" applyAlignment="0"/>
    <xf numFmtId="167" fontId="70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9" fontId="26" fillId="0" borderId="0">
      <alignment horizontal="left" wrapText="1"/>
    </xf>
    <xf numFmtId="42" fontId="20" fillId="67" borderId="36">
      <alignment horizontal="left"/>
    </xf>
    <xf numFmtId="169" fontId="26" fillId="0" borderId="0">
      <alignment horizontal="left" wrapText="1"/>
    </xf>
    <xf numFmtId="42" fontId="20" fillId="67" borderId="36">
      <alignment horizontal="left"/>
    </xf>
    <xf numFmtId="169" fontId="26" fillId="0" borderId="0">
      <alignment horizontal="left" wrapText="1"/>
    </xf>
    <xf numFmtId="197" fontId="92" fillId="67" borderId="36">
      <alignment horizontal="left"/>
    </xf>
    <xf numFmtId="169" fontId="26" fillId="0" borderId="0">
      <alignment horizontal="left" wrapText="1"/>
    </xf>
    <xf numFmtId="197" fontId="92" fillId="67" borderId="36">
      <alignment horizontal="left"/>
    </xf>
    <xf numFmtId="167" fontId="70" fillId="0" borderId="0" applyBorder="0" applyAlignment="0"/>
    <xf numFmtId="14" fontId="26" fillId="0" borderId="0" applyNumberFormat="0" applyFill="0" applyBorder="0" applyAlignment="0" applyProtection="0">
      <alignment horizontal="left"/>
    </xf>
    <xf numFmtId="14" fontId="26" fillId="0" borderId="0" applyNumberFormat="0" applyFill="0" applyBorder="0" applyAlignment="0" applyProtection="0">
      <alignment horizontal="lef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69" fontId="26" fillId="0" borderId="0">
      <alignment horizontal="left" wrapText="1"/>
    </xf>
    <xf numFmtId="169" fontId="26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4" fontId="93" fillId="76" borderId="31" applyNumberFormat="0" applyProtection="0">
      <alignment vertical="center"/>
    </xf>
    <xf numFmtId="169" fontId="26" fillId="0" borderId="0">
      <alignment horizontal="left" wrapText="1"/>
    </xf>
    <xf numFmtId="4" fontId="93" fillId="76" borderId="31" applyNumberFormat="0" applyProtection="0">
      <alignment vertical="center"/>
    </xf>
    <xf numFmtId="4" fontId="94" fillId="76" borderId="31" applyNumberFormat="0" applyProtection="0">
      <alignment vertical="center"/>
    </xf>
    <xf numFmtId="169" fontId="26" fillId="0" borderId="0">
      <alignment horizontal="left" wrapText="1"/>
    </xf>
    <xf numFmtId="4" fontId="94" fillId="76" borderId="31" applyNumberFormat="0" applyProtection="0">
      <alignment vertical="center"/>
    </xf>
    <xf numFmtId="4" fontId="93" fillId="76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76" borderId="31" applyNumberFormat="0" applyProtection="0">
      <alignment horizontal="left" vertical="center" indent="1"/>
    </xf>
    <xf numFmtId="4" fontId="93" fillId="76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3" fillId="83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3" borderId="31" applyNumberFormat="0" applyProtection="0">
      <alignment horizontal="right" vertical="center"/>
    </xf>
    <xf numFmtId="4" fontId="93" fillId="84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4" borderId="31" applyNumberFormat="0" applyProtection="0">
      <alignment horizontal="right" vertical="center"/>
    </xf>
    <xf numFmtId="4" fontId="93" fillId="85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5" borderId="31" applyNumberFormat="0" applyProtection="0">
      <alignment horizontal="right" vertical="center"/>
    </xf>
    <xf numFmtId="4" fontId="93" fillId="86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6" borderId="31" applyNumberFormat="0" applyProtection="0">
      <alignment horizontal="right" vertical="center"/>
    </xf>
    <xf numFmtId="4" fontId="93" fillId="87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7" borderId="31" applyNumberFormat="0" applyProtection="0">
      <alignment horizontal="right" vertical="center"/>
    </xf>
    <xf numFmtId="4" fontId="93" fillId="88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8" borderId="31" applyNumberFormat="0" applyProtection="0">
      <alignment horizontal="right" vertical="center"/>
    </xf>
    <xf numFmtId="4" fontId="93" fillId="89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89" borderId="31" applyNumberFormat="0" applyProtection="0">
      <alignment horizontal="right" vertical="center"/>
    </xf>
    <xf numFmtId="4" fontId="93" fillId="90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90" borderId="31" applyNumberFormat="0" applyProtection="0">
      <alignment horizontal="right" vertical="center"/>
    </xf>
    <xf numFmtId="4" fontId="93" fillId="91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91" borderId="31" applyNumberFormat="0" applyProtection="0">
      <alignment horizontal="right" vertical="center"/>
    </xf>
    <xf numFmtId="4" fontId="95" fillId="92" borderId="31" applyNumberFormat="0" applyProtection="0">
      <alignment horizontal="left" vertical="center" indent="1"/>
    </xf>
    <xf numFmtId="4" fontId="95" fillId="93" borderId="0" applyNumberFormat="0" applyProtection="0">
      <alignment horizontal="left" vertical="center" indent="1"/>
    </xf>
    <xf numFmtId="4" fontId="95" fillId="93" borderId="0" applyNumberFormat="0" applyProtection="0">
      <alignment horizontal="left" vertical="center" indent="1"/>
    </xf>
    <xf numFmtId="4" fontId="95" fillId="92" borderId="31" applyNumberFormat="0" applyProtection="0">
      <alignment horizontal="left" vertical="center" indent="1"/>
    </xf>
    <xf numFmtId="4" fontId="93" fillId="94" borderId="37" applyNumberFormat="0" applyProtection="0">
      <alignment horizontal="left" vertical="center" indent="1"/>
    </xf>
    <xf numFmtId="4" fontId="93" fillId="94" borderId="0" applyNumberFormat="0" applyProtection="0">
      <alignment horizontal="left" vertical="center" indent="1"/>
    </xf>
    <xf numFmtId="4" fontId="93" fillId="94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4" fontId="96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4" borderId="31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4" fontId="97" fillId="0" borderId="0" applyNumberFormat="0" applyProtection="0">
      <alignment horizontal="left" vertical="center" indent="1"/>
    </xf>
    <xf numFmtId="4" fontId="93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70" fillId="64" borderId="38" applyBorder="0"/>
    <xf numFmtId="4" fontId="93" fillId="98" borderId="31" applyNumberFormat="0" applyProtection="0">
      <alignment vertical="center"/>
    </xf>
    <xf numFmtId="169" fontId="26" fillId="0" borderId="0">
      <alignment horizontal="left" wrapText="1"/>
    </xf>
    <xf numFmtId="4" fontId="93" fillId="98" borderId="31" applyNumberFormat="0" applyProtection="0">
      <alignment vertical="center"/>
    </xf>
    <xf numFmtId="4" fontId="94" fillId="98" borderId="31" applyNumberFormat="0" applyProtection="0">
      <alignment vertical="center"/>
    </xf>
    <xf numFmtId="169" fontId="26" fillId="0" borderId="0">
      <alignment horizontal="left" wrapText="1"/>
    </xf>
    <xf numFmtId="4" fontId="94" fillId="98" borderId="31" applyNumberFormat="0" applyProtection="0">
      <alignment vertical="center"/>
    </xf>
    <xf numFmtId="4" fontId="93" fillId="98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98" borderId="31" applyNumberFormat="0" applyProtection="0">
      <alignment horizontal="left" vertical="center" indent="1"/>
    </xf>
    <xf numFmtId="4" fontId="93" fillId="98" borderId="31" applyNumberFormat="0" applyProtection="0">
      <alignment horizontal="left" vertical="center" indent="1"/>
    </xf>
    <xf numFmtId="169" fontId="26" fillId="0" borderId="0">
      <alignment horizontal="left" wrapText="1"/>
    </xf>
    <xf numFmtId="4" fontId="93" fillId="98" borderId="31" applyNumberFormat="0" applyProtection="0">
      <alignment horizontal="left" vertical="center" indent="1"/>
    </xf>
    <xf numFmtId="4" fontId="93" fillId="94" borderId="31" applyNumberFormat="0" applyProtection="0">
      <alignment horizontal="right" vertical="center"/>
    </xf>
    <xf numFmtId="4" fontId="93" fillId="94" borderId="31" applyNumberFormat="0" applyProtection="0">
      <alignment horizontal="right" vertical="center"/>
    </xf>
    <xf numFmtId="169" fontId="26" fillId="0" borderId="0">
      <alignment horizontal="left" wrapText="1"/>
    </xf>
    <xf numFmtId="4" fontId="93" fillId="94" borderId="31" applyNumberFormat="0" applyProtection="0">
      <alignment horizontal="right" vertical="center"/>
    </xf>
    <xf numFmtId="4" fontId="94" fillId="94" borderId="31" applyNumberFormat="0" applyProtection="0">
      <alignment horizontal="right" vertical="center"/>
    </xf>
    <xf numFmtId="169" fontId="26" fillId="0" borderId="0">
      <alignment horizontal="left" wrapText="1"/>
    </xf>
    <xf numFmtId="4" fontId="94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6" fillId="0" borderId="0">
      <alignment horizontal="left" wrapText="1"/>
    </xf>
    <xf numFmtId="169" fontId="26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8" fillId="0" borderId="0"/>
    <xf numFmtId="0" fontId="98" fillId="0" borderId="0"/>
    <xf numFmtId="0" fontId="99" fillId="0" borderId="0" applyNumberFormat="0" applyProtection="0">
      <alignment horizontal="left" indent="5"/>
    </xf>
    <xf numFmtId="0" fontId="58" fillId="99" borderId="23"/>
    <xf numFmtId="4" fontId="100" fillId="94" borderId="31" applyNumberFormat="0" applyProtection="0">
      <alignment horizontal="right" vertical="center"/>
    </xf>
    <xf numFmtId="169" fontId="26" fillId="0" borderId="0">
      <alignment horizontal="left" wrapText="1"/>
    </xf>
    <xf numFmtId="4" fontId="100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9" fontId="26" fillId="0" borderId="0">
      <alignment horizontal="left" wrapText="1"/>
    </xf>
    <xf numFmtId="169" fontId="26" fillId="0" borderId="0">
      <alignment horizontal="left" wrapText="1"/>
    </xf>
    <xf numFmtId="39" fontId="20" fillId="100" borderId="0"/>
    <xf numFmtId="39" fontId="20" fillId="100" borderId="0"/>
    <xf numFmtId="169" fontId="26" fillId="0" borderId="0">
      <alignment horizontal="left" wrapText="1"/>
    </xf>
    <xf numFmtId="39" fontId="20" fillId="100" borderId="0"/>
    <xf numFmtId="169" fontId="26" fillId="0" borderId="0">
      <alignment horizontal="left" wrapText="1"/>
    </xf>
    <xf numFmtId="39" fontId="20" fillId="100" borderId="0"/>
    <xf numFmtId="169" fontId="26" fillId="0" borderId="0">
      <alignment horizontal="left" wrapText="1"/>
    </xf>
    <xf numFmtId="39" fontId="20" fillId="100" borderId="0"/>
    <xf numFmtId="169" fontId="26" fillId="0" borderId="0">
      <alignment horizontal="left" wrapText="1"/>
    </xf>
    <xf numFmtId="169" fontId="26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101" fillId="0" borderId="0" applyNumberFormat="0" applyFill="0" applyBorder="0" applyAlignment="0" applyProtection="0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38" fontId="58" fillId="0" borderId="39"/>
    <xf numFmtId="169" fontId="26" fillId="0" borderId="0">
      <alignment horizontal="left" wrapText="1"/>
    </xf>
    <xf numFmtId="38" fontId="58" fillId="0" borderId="39"/>
    <xf numFmtId="0" fontId="58" fillId="0" borderId="39"/>
    <xf numFmtId="38" fontId="58" fillId="0" borderId="39"/>
    <xf numFmtId="38" fontId="58" fillId="0" borderId="39"/>
    <xf numFmtId="38" fontId="58" fillId="0" borderId="39"/>
    <xf numFmtId="38" fontId="70" fillId="0" borderId="36"/>
    <xf numFmtId="38" fontId="70" fillId="0" borderId="36"/>
    <xf numFmtId="38" fontId="70" fillId="0" borderId="36"/>
    <xf numFmtId="38" fontId="70" fillId="0" borderId="36"/>
    <xf numFmtId="169" fontId="26" fillId="0" borderId="0">
      <alignment horizontal="left" wrapText="1"/>
    </xf>
    <xf numFmtId="0" fontId="70" fillId="0" borderId="36"/>
    <xf numFmtId="0" fontId="70" fillId="0" borderId="36"/>
    <xf numFmtId="0" fontId="70" fillId="0" borderId="36"/>
    <xf numFmtId="38" fontId="70" fillId="0" borderId="36"/>
    <xf numFmtId="38" fontId="70" fillId="0" borderId="36"/>
    <xf numFmtId="38" fontId="70" fillId="0" borderId="36"/>
    <xf numFmtId="38" fontId="70" fillId="0" borderId="36"/>
    <xf numFmtId="39" fontId="26" fillId="101" borderId="0"/>
    <xf numFmtId="39" fontId="26" fillId="101" borderId="0"/>
    <xf numFmtId="169" fontId="20" fillId="0" borderId="0">
      <alignment horizontal="left" wrapText="1"/>
    </xf>
    <xf numFmtId="200" fontId="20" fillId="0" borderId="0">
      <alignment horizontal="left" wrapText="1"/>
    </xf>
    <xf numFmtId="192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8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6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9" fontId="26" fillId="0" borderId="0">
      <alignment horizontal="left" wrapText="1"/>
    </xf>
    <xf numFmtId="169" fontId="26" fillId="0" borderId="0">
      <alignment horizontal="left" wrapText="1"/>
    </xf>
    <xf numFmtId="195" fontId="20" fillId="0" borderId="0">
      <alignment horizontal="left" wrapText="1"/>
    </xf>
    <xf numFmtId="200" fontId="20" fillId="0" borderId="0">
      <alignment horizontal="left" wrapText="1"/>
    </xf>
    <xf numFmtId="200" fontId="20" fillId="0" borderId="0">
      <alignment horizontal="left" wrapText="1"/>
    </xf>
    <xf numFmtId="169" fontId="26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3" fontId="20" fillId="0" borderId="0">
      <alignment horizontal="left" wrapText="1"/>
    </xf>
    <xf numFmtId="169" fontId="20" fillId="0" borderId="0">
      <alignment horizontal="left" wrapText="1"/>
    </xf>
    <xf numFmtId="198" fontId="20" fillId="0" borderId="0">
      <alignment horizontal="left" wrapText="1"/>
    </xf>
    <xf numFmtId="169" fontId="20" fillId="0" borderId="0">
      <alignment horizontal="left" wrapText="1"/>
    </xf>
    <xf numFmtId="0" fontId="20" fillId="0" borderId="0">
      <alignment horizontal="left" wrapText="1"/>
    </xf>
    <xf numFmtId="0" fontId="93" fillId="0" borderId="0" applyNumberFormat="0" applyBorder="0" applyAlignment="0"/>
    <xf numFmtId="0" fontId="102" fillId="0" borderId="0" applyNumberFormat="0" applyBorder="0" applyAlignment="0"/>
    <xf numFmtId="0" fontId="95" fillId="0" borderId="0" applyNumberFormat="0" applyBorder="0" applyAlignment="0"/>
    <xf numFmtId="0" fontId="103" fillId="0" borderId="0"/>
    <xf numFmtId="0" fontId="59" fillId="0" borderId="33"/>
    <xf numFmtId="40" fontId="104" fillId="0" borderId="0" applyBorder="0">
      <alignment horizontal="right"/>
    </xf>
    <xf numFmtId="41" fontId="105" fillId="67" borderId="0">
      <alignment horizontal="left"/>
    </xf>
    <xf numFmtId="40" fontId="104" fillId="0" borderId="0" applyBorder="0">
      <alignment horizontal="right"/>
    </xf>
    <xf numFmtId="41" fontId="105" fillId="67" borderId="0">
      <alignment horizontal="left"/>
    </xf>
    <xf numFmtId="40" fontId="104" fillId="0" borderId="0" applyBorder="0">
      <alignment horizontal="right"/>
    </xf>
    <xf numFmtId="41" fontId="105" fillId="67" borderId="0">
      <alignment horizontal="left"/>
    </xf>
    <xf numFmtId="0" fontId="106" fillId="0" borderId="0"/>
    <xf numFmtId="0" fontId="20" fillId="0" borderId="0" applyNumberFormat="0" applyBorder="0" applyAlignment="0"/>
    <xf numFmtId="0" fontId="107" fillId="0" borderId="0" applyFill="0" applyBorder="0" applyProtection="0">
      <alignment horizontal="left" vertical="top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/>
    <xf numFmtId="0" fontId="89" fillId="79" borderId="0"/>
    <xf numFmtId="201" fontId="109" fillId="67" borderId="0">
      <alignment horizontal="left" vertical="center"/>
    </xf>
    <xf numFmtId="201" fontId="110" fillId="0" borderId="0">
      <alignment horizontal="left" vertical="center"/>
    </xf>
    <xf numFmtId="201" fontId="110" fillId="0" borderId="0">
      <alignment horizontal="left" vertical="center"/>
    </xf>
    <xf numFmtId="0" fontId="62" fillId="67" borderId="0">
      <alignment horizontal="left" wrapText="1"/>
    </xf>
    <xf numFmtId="0" fontId="62" fillId="67" borderId="0">
      <alignment horizontal="left" wrapText="1"/>
    </xf>
    <xf numFmtId="0" fontId="62" fillId="67" borderId="0">
      <alignment horizontal="left" wrapText="1"/>
    </xf>
    <xf numFmtId="169" fontId="26" fillId="0" borderId="0">
      <alignment horizontal="left" wrapText="1"/>
    </xf>
    <xf numFmtId="0" fontId="111" fillId="0" borderId="0">
      <alignment horizontal="left" vertical="center"/>
    </xf>
    <xf numFmtId="0" fontId="111" fillId="0" borderId="0">
      <alignment horizontal="left" vertical="center"/>
    </xf>
    <xf numFmtId="0" fontId="46" fillId="0" borderId="40" applyNumberFormat="0" applyFon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6" fillId="0" borderId="0">
      <alignment horizontal="left" wrapText="1"/>
    </xf>
    <xf numFmtId="169" fontId="26" fillId="0" borderId="0">
      <alignment horizontal="left" wrapText="1"/>
    </xf>
    <xf numFmtId="41" fontId="62" fillId="67" borderId="0">
      <alignment horizontal="left"/>
    </xf>
    <xf numFmtId="169" fontId="26" fillId="0" borderId="0">
      <alignment horizontal="left" wrapText="1"/>
    </xf>
    <xf numFmtId="169" fontId="26" fillId="0" borderId="0">
      <alignment horizontal="left" wrapText="1"/>
    </xf>
    <xf numFmtId="41" fontId="62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4" fillId="0" borderId="43"/>
    <xf numFmtId="0" fontId="45" fillId="0" borderId="43"/>
    <xf numFmtId="0" fontId="45" fillId="0" borderId="43"/>
    <xf numFmtId="0" fontId="44" fillId="0" borderId="43"/>
    <xf numFmtId="0" fontId="45" fillId="0" borderId="43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9" fontId="26" fillId="0" borderId="0">
      <alignment horizontal="left" wrapText="1"/>
    </xf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2" fillId="67" borderId="10" applyNumberFormat="0">
      <alignment horizontal="center" vertical="center" wrapText="1"/>
    </xf>
    <xf numFmtId="0" fontId="62" fillId="67" borderId="10" applyNumberFormat="0">
      <alignment horizontal="center" vertical="center" wrapText="1"/>
    </xf>
  </cellStyleXfs>
  <cellXfs count="85">
    <xf numFmtId="0" fontId="0" fillId="0" borderId="0" xfId="0"/>
    <xf numFmtId="0" fontId="18" fillId="0" borderId="0" xfId="4"/>
    <xf numFmtId="0" fontId="19" fillId="0" borderId="0" xfId="4" applyFont="1"/>
    <xf numFmtId="0" fontId="18" fillId="33" borderId="0" xfId="4" applyFill="1"/>
    <xf numFmtId="0" fontId="19" fillId="33" borderId="0" xfId="4" quotePrefix="1" applyFont="1" applyFill="1" applyAlignment="1">
      <alignment horizontal="left"/>
    </xf>
    <xf numFmtId="0" fontId="18" fillId="33" borderId="0" xfId="4" applyFill="1" applyAlignment="1">
      <alignment horizontal="center"/>
    </xf>
    <xf numFmtId="44" fontId="19" fillId="33" borderId="0" xfId="4" applyNumberFormat="1" applyFont="1" applyFill="1"/>
    <xf numFmtId="0" fontId="19" fillId="33" borderId="0" xfId="4" applyFont="1" applyFill="1" applyAlignment="1">
      <alignment horizontal="center"/>
    </xf>
    <xf numFmtId="164" fontId="19" fillId="33" borderId="0" xfId="4" applyNumberFormat="1" applyFont="1" applyFill="1"/>
    <xf numFmtId="0" fontId="19" fillId="33" borderId="0" xfId="4" applyFont="1" applyFill="1"/>
    <xf numFmtId="10" fontId="19" fillId="33" borderId="0" xfId="3" applyNumberFormat="1" applyFont="1" applyFill="1"/>
    <xf numFmtId="164" fontId="20" fillId="33" borderId="0" xfId="4" applyNumberFormat="1" applyFont="1" applyFill="1"/>
    <xf numFmtId="164" fontId="19" fillId="33" borderId="0" xfId="2" applyNumberFormat="1" applyFont="1" applyFill="1"/>
    <xf numFmtId="165" fontId="19" fillId="33" borderId="0" xfId="2" applyNumberFormat="1" applyFont="1" applyFill="1"/>
    <xf numFmtId="0" fontId="21" fillId="33" borderId="0" xfId="4" applyFont="1" applyFill="1"/>
    <xf numFmtId="0" fontId="20" fillId="33" borderId="0" xfId="4" applyFont="1" applyFill="1"/>
    <xf numFmtId="44" fontId="19" fillId="0" borderId="0" xfId="5" applyFont="1"/>
    <xf numFmtId="164" fontId="20" fillId="33" borderId="0" xfId="5" applyNumberFormat="1" applyFont="1" applyFill="1"/>
    <xf numFmtId="164" fontId="22" fillId="0" borderId="0" xfId="4" applyNumberFormat="1" applyFont="1"/>
    <xf numFmtId="166" fontId="22" fillId="0" borderId="0" xfId="4" applyNumberFormat="1" applyFont="1"/>
    <xf numFmtId="166" fontId="19" fillId="33" borderId="0" xfId="4" applyNumberFormat="1" applyFont="1" applyFill="1"/>
    <xf numFmtId="165" fontId="20" fillId="33" borderId="0" xfId="5" applyNumberFormat="1" applyFont="1" applyFill="1"/>
    <xf numFmtId="166" fontId="20" fillId="33" borderId="0" xfId="5" applyNumberFormat="1" applyFont="1" applyFill="1"/>
    <xf numFmtId="0" fontId="19" fillId="33" borderId="0" xfId="4" applyFont="1" applyFill="1" applyAlignment="1">
      <alignment horizontal="center" wrapText="1"/>
    </xf>
    <xf numFmtId="167" fontId="22" fillId="0" borderId="0" xfId="6" applyNumberFormat="1" applyFont="1"/>
    <xf numFmtId="167" fontId="20" fillId="33" borderId="0" xfId="6" applyNumberFormat="1" applyFont="1" applyFill="1"/>
    <xf numFmtId="0" fontId="22" fillId="0" borderId="0" xfId="4" applyFont="1"/>
    <xf numFmtId="44" fontId="22" fillId="0" borderId="0" xfId="4" applyNumberFormat="1" applyFont="1"/>
    <xf numFmtId="44" fontId="20" fillId="33" borderId="0" xfId="4" applyNumberFormat="1" applyFont="1" applyFill="1"/>
    <xf numFmtId="167" fontId="19" fillId="33" borderId="0" xfId="6" applyNumberFormat="1" applyFont="1" applyFill="1"/>
    <xf numFmtId="168" fontId="18" fillId="0" borderId="0" xfId="4" applyNumberFormat="1"/>
    <xf numFmtId="168" fontId="19" fillId="0" borderId="0" xfId="4" applyNumberFormat="1" applyFont="1" applyBorder="1" applyAlignment="1">
      <alignment horizontal="center"/>
    </xf>
    <xf numFmtId="168" fontId="23" fillId="33" borderId="10" xfId="4" applyNumberFormat="1" applyFont="1" applyFill="1" applyBorder="1" applyAlignment="1">
      <alignment horizontal="center" vertical="center"/>
    </xf>
    <xf numFmtId="0" fontId="23" fillId="33" borderId="10" xfId="4" applyFont="1" applyFill="1" applyBorder="1" applyAlignment="1">
      <alignment horizontal="center" vertical="center"/>
    </xf>
    <xf numFmtId="0" fontId="23" fillId="33" borderId="10" xfId="4" applyFont="1" applyFill="1" applyBorder="1" applyAlignment="1">
      <alignment vertical="center"/>
    </xf>
    <xf numFmtId="0" fontId="24" fillId="33" borderId="10" xfId="4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18" fillId="0" borderId="0" xfId="4" applyAlignment="1">
      <alignment horizontal="right"/>
    </xf>
    <xf numFmtId="165" fontId="18" fillId="33" borderId="0" xfId="2" applyNumberFormat="1" applyFont="1" applyFill="1"/>
    <xf numFmtId="164" fontId="18" fillId="33" borderId="0" xfId="2" applyNumberFormat="1" applyFont="1" applyFill="1"/>
    <xf numFmtId="44" fontId="112" fillId="33" borderId="0" xfId="4" applyNumberFormat="1" applyFont="1" applyFill="1"/>
    <xf numFmtId="167" fontId="112" fillId="33" borderId="0" xfId="6" applyNumberFormat="1" applyFont="1" applyFill="1"/>
    <xf numFmtId="44" fontId="18" fillId="33" borderId="0" xfId="2" applyFont="1" applyFill="1"/>
    <xf numFmtId="164" fontId="19" fillId="33" borderId="0" xfId="2" applyNumberFormat="1" applyFont="1" applyFill="1" applyBorder="1"/>
    <xf numFmtId="165" fontId="19" fillId="33" borderId="0" xfId="4" applyNumberFormat="1" applyFont="1" applyFill="1"/>
    <xf numFmtId="0" fontId="19" fillId="33" borderId="0" xfId="4" applyFont="1" applyFill="1" applyAlignment="1">
      <alignment horizontal="left"/>
    </xf>
    <xf numFmtId="165" fontId="19" fillId="33" borderId="44" xfId="2" applyNumberFormat="1" applyFont="1" applyFill="1" applyBorder="1"/>
    <xf numFmtId="3" fontId="19" fillId="33" borderId="10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7" fontId="19" fillId="33" borderId="0" xfId="1" applyNumberFormat="1" applyFont="1" applyFill="1" applyBorder="1"/>
    <xf numFmtId="167" fontId="19" fillId="33" borderId="10" xfId="1" applyNumberFormat="1" applyFont="1" applyFill="1" applyBorder="1"/>
    <xf numFmtId="167" fontId="19" fillId="33" borderId="10" xfId="6" applyNumberFormat="1" applyFont="1" applyFill="1" applyBorder="1"/>
    <xf numFmtId="0" fontId="19" fillId="33" borderId="0" xfId="4" quotePrefix="1" applyFont="1" applyFill="1" applyAlignment="1">
      <alignment horizontal="center"/>
    </xf>
    <xf numFmtId="164" fontId="19" fillId="33" borderId="10" xfId="2" applyNumberFormat="1" applyFont="1" applyFill="1" applyBorder="1"/>
    <xf numFmtId="0" fontId="113" fillId="33" borderId="0" xfId="4" applyFont="1" applyFill="1" applyAlignment="1">
      <alignment horizontal="left"/>
    </xf>
    <xf numFmtId="41" fontId="62" fillId="33" borderId="10" xfId="9506" applyNumberFormat="1" applyFont="1" applyFill="1" applyBorder="1">
      <alignment horizontal="center" vertical="center" wrapText="1"/>
    </xf>
    <xf numFmtId="0" fontId="19" fillId="33" borderId="10" xfId="4" applyFont="1" applyFill="1" applyBorder="1"/>
    <xf numFmtId="0" fontId="62" fillId="0" borderId="0" xfId="4" applyFont="1" applyAlignment="1"/>
    <xf numFmtId="43" fontId="0" fillId="0" borderId="0" xfId="1" applyFont="1"/>
    <xf numFmtId="0" fontId="0" fillId="33" borderId="0" xfId="0" applyFill="1"/>
    <xf numFmtId="166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66" fontId="19" fillId="33" borderId="0" xfId="2" applyNumberFormat="1" applyFont="1" applyFill="1"/>
    <xf numFmtId="165" fontId="19" fillId="33" borderId="10" xfId="2" applyNumberFormat="1" applyFont="1" applyFill="1" applyBorder="1"/>
    <xf numFmtId="164" fontId="19" fillId="33" borderId="10" xfId="4" applyNumberFormat="1" applyFont="1" applyFill="1" applyBorder="1"/>
    <xf numFmtId="41" fontId="62" fillId="33" borderId="10" xfId="9507" applyNumberFormat="1" applyFont="1" applyFill="1" applyBorder="1">
      <alignment horizontal="center" vertical="center" wrapText="1"/>
    </xf>
    <xf numFmtId="200" fontId="19" fillId="33" borderId="0" xfId="8777" applyNumberFormat="1" applyFont="1" applyFill="1"/>
    <xf numFmtId="165" fontId="20" fillId="33" borderId="0" xfId="4" applyNumberFormat="1" applyFont="1" applyFill="1"/>
    <xf numFmtId="164" fontId="112" fillId="0" borderId="0" xfId="4" applyNumberFormat="1" applyFont="1"/>
    <xf numFmtId="166" fontId="112" fillId="0" borderId="0" xfId="4" applyNumberFormat="1" applyFont="1"/>
    <xf numFmtId="167" fontId="112" fillId="0" borderId="0" xfId="6" applyNumberFormat="1" applyFont="1"/>
    <xf numFmtId="0" fontId="112" fillId="0" borderId="0" xfId="4" applyFont="1"/>
    <xf numFmtId="44" fontId="112" fillId="0" borderId="0" xfId="4" applyNumberFormat="1" applyFont="1"/>
    <xf numFmtId="168" fontId="19" fillId="0" borderId="0" xfId="4" applyNumberFormat="1" applyFont="1"/>
    <xf numFmtId="0" fontId="23" fillId="33" borderId="10" xfId="4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165" fontId="18" fillId="33" borderId="0" xfId="4" applyNumberFormat="1" applyFill="1"/>
    <xf numFmtId="10" fontId="19" fillId="0" borderId="0" xfId="3" applyNumberFormat="1" applyFont="1"/>
    <xf numFmtId="0" fontId="23" fillId="33" borderId="0" xfId="4" applyFont="1" applyFill="1" applyAlignment="1">
      <alignment horizontal="center"/>
    </xf>
    <xf numFmtId="0" fontId="23" fillId="33" borderId="0" xfId="4" quotePrefix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62" fillId="33" borderId="0" xfId="4" applyFont="1" applyFill="1" applyAlignment="1">
      <alignment horizontal="center"/>
    </xf>
    <xf numFmtId="0" fontId="23" fillId="33" borderId="0" xfId="0" applyFont="1" applyFill="1" applyAlignment="1">
      <alignment horizontal="center"/>
    </xf>
  </cellXfs>
  <cellStyles count="9508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7" xfId="7239"/>
    <cellStyle name="Comma 7 2" xfId="7240"/>
    <cellStyle name="Comma 7 2 2" xfId="7241"/>
    <cellStyle name="Comma 7 3" xfId="7242"/>
    <cellStyle name="Comma 7 4" xfId="7243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 2" xfId="7728"/>
    <cellStyle name="Hyperlink 3" xfId="7729"/>
    <cellStyle name="Hyperlink_F2009Tables_Final_with_link" xfId="7730"/>
    <cellStyle name="Input [yellow]" xfId="7731"/>
    <cellStyle name="Input [yellow] 2" xfId="7732"/>
    <cellStyle name="Input [yellow] 2 2" xfId="7733"/>
    <cellStyle name="Input [yellow] 2 3" xfId="7734"/>
    <cellStyle name="Input [yellow] 2 4" xfId="7735"/>
    <cellStyle name="Input [yellow] 2 5" xfId="7736"/>
    <cellStyle name="Input [yellow] 3" xfId="7737"/>
    <cellStyle name="Input [yellow] 3 2" xfId="7738"/>
    <cellStyle name="Input [yellow] 3 3" xfId="7739"/>
    <cellStyle name="Input [yellow] 3 4" xfId="7740"/>
    <cellStyle name="Input [yellow] 3 5" xfId="7741"/>
    <cellStyle name="Input [yellow] 4" xfId="7742"/>
    <cellStyle name="Input [yellow] 4 2" xfId="7743"/>
    <cellStyle name="Input [yellow] 4 3" xfId="7744"/>
    <cellStyle name="Input [yellow] 4 4" xfId="7745"/>
    <cellStyle name="Input [yellow] 4 5" xfId="7746"/>
    <cellStyle name="Input [yellow] 5" xfId="7747"/>
    <cellStyle name="Input [yellow] 5 2" xfId="7748"/>
    <cellStyle name="Input [yellow] 6" xfId="7749"/>
    <cellStyle name="Input [yellow] 7" xfId="7750"/>
    <cellStyle name="Input [yellow] 8" xfId="7751"/>
    <cellStyle name="Input [yellow] 9" xfId="7752"/>
    <cellStyle name="Input [yellow]_(C) WHE Proforma with ITC cash grant 10 Yr Amort_for deferral_102809" xfId="7753"/>
    <cellStyle name="Input 10" xfId="7754"/>
    <cellStyle name="Input 11" xfId="7755"/>
    <cellStyle name="Input 12" xfId="7756"/>
    <cellStyle name="Input 13" xfId="7757"/>
    <cellStyle name="Input 14" xfId="7758"/>
    <cellStyle name="Input 15" xfId="7759"/>
    <cellStyle name="Input 16" xfId="7760"/>
    <cellStyle name="Input 17" xfId="7761"/>
    <cellStyle name="Input 18" xfId="7762"/>
    <cellStyle name="Input 19" xfId="7763"/>
    <cellStyle name="Input 2" xfId="7764"/>
    <cellStyle name="Input 2 2" xfId="7765"/>
    <cellStyle name="Input 2 2 2" xfId="7766"/>
    <cellStyle name="Input 2 2 3" xfId="7767"/>
    <cellStyle name="Input 2 3" xfId="7768"/>
    <cellStyle name="Input 3" xfId="7769"/>
    <cellStyle name="Input 3 2" xfId="7770"/>
    <cellStyle name="Input 3 3" xfId="7771"/>
    <cellStyle name="Input 3 4" xfId="7772"/>
    <cellStyle name="Input 3 5" xfId="7773"/>
    <cellStyle name="Input 4" xfId="7774"/>
    <cellStyle name="Input 4 2" xfId="7775"/>
    <cellStyle name="Input 4 3" xfId="7776"/>
    <cellStyle name="Input 4 4" xfId="7777"/>
    <cellStyle name="Input 5" xfId="7778"/>
    <cellStyle name="Input 6" xfId="7779"/>
    <cellStyle name="Input 7" xfId="7780"/>
    <cellStyle name="Input 8" xfId="7781"/>
    <cellStyle name="Input 9" xfId="7782"/>
    <cellStyle name="Input Cells" xfId="7783"/>
    <cellStyle name="Input Cells 2" xfId="7784"/>
    <cellStyle name="Input Cells 3" xfId="7785"/>
    <cellStyle name="Input Cells Percent" xfId="7786"/>
    <cellStyle name="Input Cells Percent 2" xfId="7787"/>
    <cellStyle name="Input Cells Percent 3" xfId="7788"/>
    <cellStyle name="Input Cells Percent_AURORA Total New" xfId="7789"/>
    <cellStyle name="Input Cells_4.34E Mint Farm Deferral" xfId="7790"/>
    <cellStyle name="line b - Style6" xfId="7791"/>
    <cellStyle name="Lines" xfId="7792"/>
    <cellStyle name="Lines 2" xfId="7793"/>
    <cellStyle name="Lines 3" xfId="7794"/>
    <cellStyle name="Lines 4" xfId="7795"/>
    <cellStyle name="Lines_Electric Rev Req Model (2009 GRC) Rebuttal" xfId="7796"/>
    <cellStyle name="LINKED" xfId="7797"/>
    <cellStyle name="LINKED 2" xfId="7798"/>
    <cellStyle name="LINKED 2 2" xfId="7799"/>
    <cellStyle name="LINKED 3" xfId="7800"/>
    <cellStyle name="LINKED 4" xfId="7801"/>
    <cellStyle name="Linked Cell 2" xfId="7802"/>
    <cellStyle name="Linked Cell 2 2" xfId="7803"/>
    <cellStyle name="Linked Cell 2 2 2" xfId="7804"/>
    <cellStyle name="Linked Cell 2 3" xfId="7805"/>
    <cellStyle name="Linked Cell 3" xfId="7806"/>
    <cellStyle name="Linked Cell 3 2" xfId="7807"/>
    <cellStyle name="Linked Cell 3 3" xfId="7808"/>
    <cellStyle name="Linked Cell 3 4" xfId="7809"/>
    <cellStyle name="Linked Cell 4" xfId="7810"/>
    <cellStyle name="Linked Cell 5" xfId="7811"/>
    <cellStyle name="Linked Cell 6" xfId="7812"/>
    <cellStyle name="Millares [0]_2AV_M_M " xfId="7813"/>
    <cellStyle name="Millares_2AV_M_M " xfId="7814"/>
    <cellStyle name="modified border" xfId="7815"/>
    <cellStyle name="modified border 2" xfId="7816"/>
    <cellStyle name="modified border 2 2" xfId="7817"/>
    <cellStyle name="modified border 2 3" xfId="7818"/>
    <cellStyle name="modified border 3" xfId="7819"/>
    <cellStyle name="modified border 3 2" xfId="7820"/>
    <cellStyle name="modified border 3 3" xfId="7821"/>
    <cellStyle name="modified border 4" xfId="7822"/>
    <cellStyle name="modified border 4 2" xfId="7823"/>
    <cellStyle name="modified border 4 3" xfId="7824"/>
    <cellStyle name="modified border 5" xfId="7825"/>
    <cellStyle name="modified border 5 2" xfId="7826"/>
    <cellStyle name="modified border 6" xfId="7827"/>
    <cellStyle name="modified border 7" xfId="7828"/>
    <cellStyle name="modified border 8" xfId="7829"/>
    <cellStyle name="modified border_4.34E Mint Farm Deferral" xfId="7830"/>
    <cellStyle name="modified border1" xfId="7831"/>
    <cellStyle name="modified border1 2" xfId="7832"/>
    <cellStyle name="modified border1 2 2" xfId="7833"/>
    <cellStyle name="modified border1 2 3" xfId="7834"/>
    <cellStyle name="modified border1 3" xfId="7835"/>
    <cellStyle name="modified border1 3 2" xfId="7836"/>
    <cellStyle name="modified border1 3 3" xfId="7837"/>
    <cellStyle name="modified border1 4" xfId="7838"/>
    <cellStyle name="modified border1 4 2" xfId="7839"/>
    <cellStyle name="modified border1 4 3" xfId="7840"/>
    <cellStyle name="modified border1 5" xfId="7841"/>
    <cellStyle name="modified border1 5 2" xfId="7842"/>
    <cellStyle name="modified border1 6" xfId="7843"/>
    <cellStyle name="modified border1 7" xfId="7844"/>
    <cellStyle name="modified border1 8" xfId="7845"/>
    <cellStyle name="modified border1_4.34E Mint Farm Deferral" xfId="7846"/>
    <cellStyle name="Moneda [0]_2AV_M_M " xfId="7847"/>
    <cellStyle name="Moneda_2AV_M_M " xfId="7848"/>
    <cellStyle name="Neutral 2" xfId="7849"/>
    <cellStyle name="Neutral 2 2" xfId="7850"/>
    <cellStyle name="Neutral 2 2 2" xfId="7851"/>
    <cellStyle name="Neutral 2 3" xfId="7852"/>
    <cellStyle name="Neutral 3" xfId="7853"/>
    <cellStyle name="Neutral 3 2" xfId="7854"/>
    <cellStyle name="Neutral 3 3" xfId="7855"/>
    <cellStyle name="Neutral 3 4" xfId="7856"/>
    <cellStyle name="Neutral 4" xfId="7857"/>
    <cellStyle name="Neutral 5" xfId="7858"/>
    <cellStyle name="Neutral 6" xfId="7859"/>
    <cellStyle name="no dec" xfId="7860"/>
    <cellStyle name="no dec 2" xfId="7861"/>
    <cellStyle name="no dec 2 2" xfId="7862"/>
    <cellStyle name="no dec 3" xfId="7863"/>
    <cellStyle name="no dec 4" xfId="7864"/>
    <cellStyle name="Normal" xfId="0" builtinId="0"/>
    <cellStyle name="Normal - Style1" xfId="7865"/>
    <cellStyle name="Normal - Style1 2" xfId="7866"/>
    <cellStyle name="Normal - Style1 2 2" xfId="7867"/>
    <cellStyle name="Normal - Style1 2 2 2" xfId="7868"/>
    <cellStyle name="Normal - Style1 2 3" xfId="7869"/>
    <cellStyle name="Normal - Style1 2 4" xfId="7870"/>
    <cellStyle name="Normal - Style1 3" xfId="7871"/>
    <cellStyle name="Normal - Style1 3 2" xfId="7872"/>
    <cellStyle name="Normal - Style1 3 2 2" xfId="7873"/>
    <cellStyle name="Normal - Style1 3 3" xfId="7874"/>
    <cellStyle name="Normal - Style1 3 4" xfId="7875"/>
    <cellStyle name="Normal - Style1 4" xfId="7876"/>
    <cellStyle name="Normal - Style1 4 2" xfId="7877"/>
    <cellStyle name="Normal - Style1 4 2 2" xfId="7878"/>
    <cellStyle name="Normal - Style1 4 3" xfId="7879"/>
    <cellStyle name="Normal - Style1 4 4" xfId="7880"/>
    <cellStyle name="Normal - Style1 5" xfId="7881"/>
    <cellStyle name="Normal - Style1 5 2" xfId="7882"/>
    <cellStyle name="Normal - Style1 5 3" xfId="7883"/>
    <cellStyle name="Normal - Style1 5 4" xfId="7884"/>
    <cellStyle name="Normal - Style1 6" xfId="7885"/>
    <cellStyle name="Normal - Style1 6 2" xfId="7886"/>
    <cellStyle name="Normal - Style1 6 2 2" xfId="7887"/>
    <cellStyle name="Normal - Style1 6 3" xfId="7888"/>
    <cellStyle name="Normal - Style1 6 4" xfId="7889"/>
    <cellStyle name="Normal - Style1 7" xfId="7890"/>
    <cellStyle name="Normal - Style1 8" xfId="7891"/>
    <cellStyle name="Normal - Style1_(C) WHE Proforma with ITC cash grant 10 Yr Amort_for deferral_102809" xfId="7892"/>
    <cellStyle name="Normal 1" xfId="7893"/>
    <cellStyle name="Normal 1 2" xfId="7894"/>
    <cellStyle name="Normal 10" xfId="7895"/>
    <cellStyle name="Normal 10 2" xfId="7896"/>
    <cellStyle name="Normal 10 2 2" xfId="7897"/>
    <cellStyle name="Normal 10 2 2 2" xfId="7898"/>
    <cellStyle name="Normal 10 2 2 3" xfId="7899"/>
    <cellStyle name="Normal 10 2 3" xfId="7900"/>
    <cellStyle name="Normal 10 2 4" xfId="7901"/>
    <cellStyle name="Normal 10 3" xfId="7902"/>
    <cellStyle name="Normal 10 3 2" xfId="7903"/>
    <cellStyle name="Normal 10 3 2 2" xfId="7904"/>
    <cellStyle name="Normal 10 3 3" xfId="7905"/>
    <cellStyle name="Normal 10 3 4" xfId="7906"/>
    <cellStyle name="Normal 10 4" xfId="7907"/>
    <cellStyle name="Normal 10 4 2" xfId="7908"/>
    <cellStyle name="Normal 10 4 2 2" xfId="7909"/>
    <cellStyle name="Normal 10 4 3" xfId="7910"/>
    <cellStyle name="Normal 10 5" xfId="7911"/>
    <cellStyle name="Normal 10 5 2" xfId="7912"/>
    <cellStyle name="Normal 10 5 3" xfId="7913"/>
    <cellStyle name="Normal 10 6" xfId="7914"/>
    <cellStyle name="Normal 10 6 2" xfId="7915"/>
    <cellStyle name="Normal 10 7" xfId="7916"/>
    <cellStyle name="Normal 10 8" xfId="7917"/>
    <cellStyle name="Normal 10 9" xfId="7918"/>
    <cellStyle name="Normal 10_ Price Inputs" xfId="7919"/>
    <cellStyle name="Normal 100" xfId="7920"/>
    <cellStyle name="Normal 101" xfId="7921"/>
    <cellStyle name="Normal 102" xfId="7922"/>
    <cellStyle name="Normal 103" xfId="7923"/>
    <cellStyle name="Normal 104" xfId="7924"/>
    <cellStyle name="Normal 105" xfId="7925"/>
    <cellStyle name="Normal 106" xfId="7926"/>
    <cellStyle name="Normal 107" xfId="7927"/>
    <cellStyle name="Normal 108" xfId="7928"/>
    <cellStyle name="Normal 109" xfId="7929"/>
    <cellStyle name="Normal 11" xfId="7930"/>
    <cellStyle name="Normal 11 2" xfId="7931"/>
    <cellStyle name="Normal 11 2 2" xfId="7932"/>
    <cellStyle name="Normal 11 2 2 2" xfId="7933"/>
    <cellStyle name="Normal 11 2 3" xfId="7934"/>
    <cellStyle name="Normal 11 3" xfId="7935"/>
    <cellStyle name="Normal 11 3 2" xfId="7936"/>
    <cellStyle name="Normal 11 3 3" xfId="7937"/>
    <cellStyle name="Normal 11 4" xfId="7938"/>
    <cellStyle name="Normal 11 4 2" xfId="7939"/>
    <cellStyle name="Normal 11 5" xfId="7940"/>
    <cellStyle name="Normal 11 6" xfId="7941"/>
    <cellStyle name="Normal 11 7" xfId="7942"/>
    <cellStyle name="Normal 11_16.37E Wild Horse Expansion DeferralRevwrkingfile SF" xfId="7943"/>
    <cellStyle name="Normal 110" xfId="7944"/>
    <cellStyle name="Normal 111" xfId="7945"/>
    <cellStyle name="Normal 112" xfId="7946"/>
    <cellStyle name="Normal 112 2" xfId="7947"/>
    <cellStyle name="Normal 113" xfId="7948"/>
    <cellStyle name="Normal 114" xfId="7949"/>
    <cellStyle name="Normal 115" xfId="7950"/>
    <cellStyle name="Normal 116" xfId="7951"/>
    <cellStyle name="Normal 116 2" xfId="7952"/>
    <cellStyle name="Normal 117" xfId="7953"/>
    <cellStyle name="Normal 118" xfId="7954"/>
    <cellStyle name="Normal 119" xfId="7955"/>
    <cellStyle name="Normal 12" xfId="7956"/>
    <cellStyle name="Normal 12 2" xfId="7957"/>
    <cellStyle name="Normal 12 2 2" xfId="7958"/>
    <cellStyle name="Normal 12 2 2 2" xfId="7959"/>
    <cellStyle name="Normal 12 2 3" xfId="7960"/>
    <cellStyle name="Normal 12 3" xfId="7961"/>
    <cellStyle name="Normal 12 3 2" xfId="7962"/>
    <cellStyle name="Normal 12 3 3" xfId="7963"/>
    <cellStyle name="Normal 12 4" xfId="7964"/>
    <cellStyle name="Normal 12 4 2" xfId="7965"/>
    <cellStyle name="Normal 12 5" xfId="7966"/>
    <cellStyle name="Normal 12 6" xfId="7967"/>
    <cellStyle name="Normal 12 7" xfId="7968"/>
    <cellStyle name="Normal 12_2011 CBR Rev Calc by schedule" xfId="7969"/>
    <cellStyle name="Normal 120" xfId="7970"/>
    <cellStyle name="Normal 121" xfId="7971"/>
    <cellStyle name="Normal 122" xfId="7972"/>
    <cellStyle name="Normal 123" xfId="7973"/>
    <cellStyle name="Normal 124" xfId="7974"/>
    <cellStyle name="Normal 125" xfId="7975"/>
    <cellStyle name="Normal 126" xfId="7976"/>
    <cellStyle name="Normal 127" xfId="7977"/>
    <cellStyle name="Normal 128" xfId="7978"/>
    <cellStyle name="Normal 129" xfId="7979"/>
    <cellStyle name="Normal 13" xfId="7980"/>
    <cellStyle name="Normal 13 2" xfId="7981"/>
    <cellStyle name="Normal 13 2 2" xfId="7982"/>
    <cellStyle name="Normal 13 2 2 2" xfId="7983"/>
    <cellStyle name="Normal 13 2 3" xfId="7984"/>
    <cellStyle name="Normal 13 3" xfId="7985"/>
    <cellStyle name="Normal 13 3 2" xfId="7986"/>
    <cellStyle name="Normal 13 3 3" xfId="7987"/>
    <cellStyle name="Normal 13 4" xfId="7988"/>
    <cellStyle name="Normal 13 4 2" xfId="7989"/>
    <cellStyle name="Normal 13 5" xfId="7990"/>
    <cellStyle name="Normal 13 6" xfId="7991"/>
    <cellStyle name="Normal 13 7" xfId="7992"/>
    <cellStyle name="Normal 13_2011 CBR Rev Calc by schedule" xfId="7993"/>
    <cellStyle name="Normal 130" xfId="7994"/>
    <cellStyle name="Normal 131" xfId="7995"/>
    <cellStyle name="Normal 132" xfId="7996"/>
    <cellStyle name="Normal 133" xfId="7997"/>
    <cellStyle name="Normal 134" xfId="7998"/>
    <cellStyle name="Normal 135" xfId="7999"/>
    <cellStyle name="Normal 136" xfId="8000"/>
    <cellStyle name="Normal 137" xfId="8001"/>
    <cellStyle name="Normal 138" xfId="8002"/>
    <cellStyle name="Normal 139" xfId="8003"/>
    <cellStyle name="Normal 14" xfId="8004"/>
    <cellStyle name="Normal 14 2" xfId="8005"/>
    <cellStyle name="Normal 14 2 2" xfId="8006"/>
    <cellStyle name="Normal 14 3" xfId="8007"/>
    <cellStyle name="Normal 14 4" xfId="8008"/>
    <cellStyle name="Normal 14_2011 CBR Rev Calc by schedule" xfId="8009"/>
    <cellStyle name="Normal 140" xfId="8010"/>
    <cellStyle name="Normal 141" xfId="8011"/>
    <cellStyle name="Normal 142" xfId="8012"/>
    <cellStyle name="Normal 143" xfId="8013"/>
    <cellStyle name="Normal 144" xfId="8014"/>
    <cellStyle name="Normal 145" xfId="8015"/>
    <cellStyle name="Normal 146" xfId="8016"/>
    <cellStyle name="Normal 147" xfId="8017"/>
    <cellStyle name="Normal 148" xfId="8018"/>
    <cellStyle name="Normal 149" xfId="8019"/>
    <cellStyle name="Normal 15" xfId="8020"/>
    <cellStyle name="Normal 15 2" xfId="8021"/>
    <cellStyle name="Normal 15 3" xfId="8022"/>
    <cellStyle name="Normal 15 3 2" xfId="8023"/>
    <cellStyle name="Normal 15 3 3" xfId="8024"/>
    <cellStyle name="Normal 15 4" xfId="8025"/>
    <cellStyle name="Normal 15 4 2" xfId="8026"/>
    <cellStyle name="Normal 15 5" xfId="8027"/>
    <cellStyle name="Normal 15 6" xfId="8028"/>
    <cellStyle name="Normal 15 7" xfId="8029"/>
    <cellStyle name="Normal 15_2011 CBR Rev Calc by schedule" xfId="8030"/>
    <cellStyle name="Normal 150" xfId="8031"/>
    <cellStyle name="Normal 151" xfId="8032"/>
    <cellStyle name="Normal 16" xfId="8033"/>
    <cellStyle name="Normal 16 2" xfId="8034"/>
    <cellStyle name="Normal 16 3" xfId="8035"/>
    <cellStyle name="Normal 16 3 2" xfId="8036"/>
    <cellStyle name="Normal 16 3 3" xfId="8037"/>
    <cellStyle name="Normal 16 4" xfId="8038"/>
    <cellStyle name="Normal 16 4 2" xfId="8039"/>
    <cellStyle name="Normal 16 5" xfId="8040"/>
    <cellStyle name="Normal 16 6" xfId="8041"/>
    <cellStyle name="Normal 16 7" xfId="8042"/>
    <cellStyle name="Normal 16_2011 CBR Rev Calc by schedule" xfId="8043"/>
    <cellStyle name="Normal 17" xfId="8044"/>
    <cellStyle name="Normal 17 2" xfId="8045"/>
    <cellStyle name="Normal 17 3" xfId="8046"/>
    <cellStyle name="Normal 17 3 2" xfId="8047"/>
    <cellStyle name="Normal 17 4" xfId="8048"/>
    <cellStyle name="Normal 17 5" xfId="8049"/>
    <cellStyle name="Normal 18" xfId="8050"/>
    <cellStyle name="Normal 18 2" xfId="8051"/>
    <cellStyle name="Normal 18 3" xfId="8052"/>
    <cellStyle name="Normal 18 3 2" xfId="8053"/>
    <cellStyle name="Normal 18 4" xfId="8054"/>
    <cellStyle name="Normal 18 5" xfId="8055"/>
    <cellStyle name="Normal 19" xfId="8056"/>
    <cellStyle name="Normal 19 2" xfId="8057"/>
    <cellStyle name="Normal 19 3" xfId="8058"/>
    <cellStyle name="Normal 19 3 2" xfId="8059"/>
    <cellStyle name="Normal 19 4" xfId="8060"/>
    <cellStyle name="Normal 2" xfId="4"/>
    <cellStyle name="Normal 2 10" xfId="8061"/>
    <cellStyle name="Normal 2 10 2" xfId="8062"/>
    <cellStyle name="Normal 2 10 2 2" xfId="8063"/>
    <cellStyle name="Normal 2 10 3" xfId="8064"/>
    <cellStyle name="Normal 2 11" xfId="8065"/>
    <cellStyle name="Normal 2 11 2" xfId="8066"/>
    <cellStyle name="Normal 2 12" xfId="8067"/>
    <cellStyle name="Normal 2 2" xfId="8068"/>
    <cellStyle name="Normal 2 2 10" xfId="8069"/>
    <cellStyle name="Normal 2 2 11" xfId="8070"/>
    <cellStyle name="Normal 2 2 2" xfId="8071"/>
    <cellStyle name="Normal 2 2 2 2" xfId="8072"/>
    <cellStyle name="Normal 2 2 2 2 2" xfId="8073"/>
    <cellStyle name="Normal 2 2 2 3" xfId="8074"/>
    <cellStyle name="Normal 2 2 2 3 2" xfId="8075"/>
    <cellStyle name="Normal 2 2 2 4" xfId="8076"/>
    <cellStyle name="Normal 2 2 2 5" xfId="8077"/>
    <cellStyle name="Normal 2 2 2 6" xfId="8078"/>
    <cellStyle name="Normal 2 2 2 7" xfId="8079"/>
    <cellStyle name="Normal 2 2 2_Chelan PUD Power Costs (8-10)" xfId="8080"/>
    <cellStyle name="Normal 2 2 3" xfId="8081"/>
    <cellStyle name="Normal 2 2 3 2" xfId="8082"/>
    <cellStyle name="Normal 2 2 3 3" xfId="8083"/>
    <cellStyle name="Normal 2 2 4" xfId="8084"/>
    <cellStyle name="Normal 2 2 4 2" xfId="8085"/>
    <cellStyle name="Normal 2 2 5" xfId="8086"/>
    <cellStyle name="Normal 2 2 6" xfId="8087"/>
    <cellStyle name="Normal 2 2 7" xfId="8088"/>
    <cellStyle name="Normal 2 2 8" xfId="8089"/>
    <cellStyle name="Normal 2 2 9" xfId="8090"/>
    <cellStyle name="Normal 2 2_ Price Inputs" xfId="8091"/>
    <cellStyle name="Normal 2 3" xfId="8092"/>
    <cellStyle name="Normal 2 3 2" xfId="8093"/>
    <cellStyle name="Normal 2 3 3" xfId="8094"/>
    <cellStyle name="Normal 2 3 4" xfId="8095"/>
    <cellStyle name="Normal 2 4" xfId="8096"/>
    <cellStyle name="Normal 2 4 2" xfId="8097"/>
    <cellStyle name="Normal 2 4 3" xfId="8098"/>
    <cellStyle name="Normal 2 5" xfId="8099"/>
    <cellStyle name="Normal 2 5 2" xfId="8100"/>
    <cellStyle name="Normal 2 5 3" xfId="8101"/>
    <cellStyle name="Normal 2 6" xfId="8102"/>
    <cellStyle name="Normal 2 6 2" xfId="8103"/>
    <cellStyle name="Normal 2 6 2 2" xfId="8104"/>
    <cellStyle name="Normal 2 6 3" xfId="8105"/>
    <cellStyle name="Normal 2 6 4" xfId="8106"/>
    <cellStyle name="Normal 2 6 5" xfId="8107"/>
    <cellStyle name="Normal 2 6 6" xfId="8108"/>
    <cellStyle name="Normal 2 7" xfId="8109"/>
    <cellStyle name="Normal 2 7 2" xfId="8110"/>
    <cellStyle name="Normal 2 7 2 2" xfId="8111"/>
    <cellStyle name="Normal 2 7 3" xfId="8112"/>
    <cellStyle name="Normal 2 7 4" xfId="8113"/>
    <cellStyle name="Normal 2 8" xfId="8114"/>
    <cellStyle name="Normal 2 8 2" xfId="8115"/>
    <cellStyle name="Normal 2 8 2 2" xfId="8116"/>
    <cellStyle name="Normal 2 8 2 2 2" xfId="8117"/>
    <cellStyle name="Normal 2 8 2 3" xfId="8118"/>
    <cellStyle name="Normal 2 8 3" xfId="8119"/>
    <cellStyle name="Normal 2 8 3 2" xfId="8120"/>
    <cellStyle name="Normal 2 8 4" xfId="8121"/>
    <cellStyle name="Normal 2 8 5" xfId="8122"/>
    <cellStyle name="Normal 2 9" xfId="8123"/>
    <cellStyle name="Normal 2 9 2" xfId="8124"/>
    <cellStyle name="Normal 2 9 2 2" xfId="8125"/>
    <cellStyle name="Normal 2 9 3" xfId="8126"/>
    <cellStyle name="Normal 2 9 4" xfId="8127"/>
    <cellStyle name="Normal 2_16.37E Wild Horse Expansion DeferralRevwrkingfile SF" xfId="8128"/>
    <cellStyle name="Normal 20" xfId="8129"/>
    <cellStyle name="Normal 20 2" xfId="8130"/>
    <cellStyle name="Normal 20 2 2" xfId="8131"/>
    <cellStyle name="Normal 20 3" xfId="8132"/>
    <cellStyle name="Normal 20 3 2" xfId="8133"/>
    <cellStyle name="Normal 20 4" xfId="8134"/>
    <cellStyle name="Normal 20 4 2" xfId="8135"/>
    <cellStyle name="Normal 20 5" xfId="8136"/>
    <cellStyle name="Normal 20 6" xfId="8137"/>
    <cellStyle name="Normal 21" xfId="8138"/>
    <cellStyle name="Normal 21 2" xfId="8139"/>
    <cellStyle name="Normal 21 2 2" xfId="8140"/>
    <cellStyle name="Normal 21 2 3" xfId="8141"/>
    <cellStyle name="Normal 21 3" xfId="8142"/>
    <cellStyle name="Normal 21 3 2" xfId="8143"/>
    <cellStyle name="Normal 21 4" xfId="8144"/>
    <cellStyle name="Normal 21 5" xfId="8145"/>
    <cellStyle name="Normal 21 6" xfId="8146"/>
    <cellStyle name="Normal 22" xfId="8147"/>
    <cellStyle name="Normal 22 2" xfId="8148"/>
    <cellStyle name="Normal 22 2 2" xfId="8149"/>
    <cellStyle name="Normal 22 2 3" xfId="8150"/>
    <cellStyle name="Normal 22 3" xfId="8151"/>
    <cellStyle name="Normal 22 3 2" xfId="8152"/>
    <cellStyle name="Normal 22 4" xfId="8153"/>
    <cellStyle name="Normal 22 5" xfId="8154"/>
    <cellStyle name="Normal 22 6" xfId="8155"/>
    <cellStyle name="Normal 23" xfId="8156"/>
    <cellStyle name="Normal 23 2" xfId="8157"/>
    <cellStyle name="Normal 23 2 2" xfId="8158"/>
    <cellStyle name="Normal 23 2 3" xfId="8159"/>
    <cellStyle name="Normal 23 3" xfId="8160"/>
    <cellStyle name="Normal 23 3 2" xfId="8161"/>
    <cellStyle name="Normal 23 4" xfId="8162"/>
    <cellStyle name="Normal 23 5" xfId="8163"/>
    <cellStyle name="Normal 23 6" xfId="8164"/>
    <cellStyle name="Normal 24" xfId="8165"/>
    <cellStyle name="Normal 24 2" xfId="8166"/>
    <cellStyle name="Normal 24 2 2" xfId="8167"/>
    <cellStyle name="Normal 24 2 3" xfId="8168"/>
    <cellStyle name="Normal 24 3" xfId="8169"/>
    <cellStyle name="Normal 24 3 2" xfId="8170"/>
    <cellStyle name="Normal 24 4" xfId="8171"/>
    <cellStyle name="Normal 24 5" xfId="8172"/>
    <cellStyle name="Normal 25" xfId="8173"/>
    <cellStyle name="Normal 25 2" xfId="8174"/>
    <cellStyle name="Normal 25 2 2" xfId="8175"/>
    <cellStyle name="Normal 25 2 3" xfId="8176"/>
    <cellStyle name="Normal 25 3" xfId="8177"/>
    <cellStyle name="Normal 25 3 2" xfId="8178"/>
    <cellStyle name="Normal 25 4" xfId="8179"/>
    <cellStyle name="Normal 25 5" xfId="8180"/>
    <cellStyle name="Normal 26" xfId="8181"/>
    <cellStyle name="Normal 26 2" xfId="8182"/>
    <cellStyle name="Normal 26 2 2" xfId="8183"/>
    <cellStyle name="Normal 26 2 3" xfId="8184"/>
    <cellStyle name="Normal 26 3" xfId="8185"/>
    <cellStyle name="Normal 26 3 2" xfId="8186"/>
    <cellStyle name="Normal 26 4" xfId="8187"/>
    <cellStyle name="Normal 26 5" xfId="8188"/>
    <cellStyle name="Normal 27" xfId="8189"/>
    <cellStyle name="Normal 27 2" xfId="8190"/>
    <cellStyle name="Normal 27 2 2" xfId="8191"/>
    <cellStyle name="Normal 27 2 3" xfId="8192"/>
    <cellStyle name="Normal 27 3" xfId="8193"/>
    <cellStyle name="Normal 27 3 2" xfId="8194"/>
    <cellStyle name="Normal 27 4" xfId="8195"/>
    <cellStyle name="Normal 27 5" xfId="8196"/>
    <cellStyle name="Normal 28" xfId="8197"/>
    <cellStyle name="Normal 28 2" xfId="8198"/>
    <cellStyle name="Normal 28 2 2" xfId="8199"/>
    <cellStyle name="Normal 28 2 3" xfId="8200"/>
    <cellStyle name="Normal 28 3" xfId="8201"/>
    <cellStyle name="Normal 28 3 2" xfId="8202"/>
    <cellStyle name="Normal 28 4" xfId="8203"/>
    <cellStyle name="Normal 28 5" xfId="8204"/>
    <cellStyle name="Normal 29" xfId="8205"/>
    <cellStyle name="Normal 29 2" xfId="8206"/>
    <cellStyle name="Normal 29 2 2" xfId="8207"/>
    <cellStyle name="Normal 29 2 3" xfId="8208"/>
    <cellStyle name="Normal 29 3" xfId="8209"/>
    <cellStyle name="Normal 29 3 2" xfId="8210"/>
    <cellStyle name="Normal 29 4" xfId="8211"/>
    <cellStyle name="Normal 29 5" xfId="8212"/>
    <cellStyle name="Normal 3" xfId="8213"/>
    <cellStyle name="Normal 3 10" xfId="8214"/>
    <cellStyle name="Normal 3 2" xfId="8215"/>
    <cellStyle name="Normal 3 2 2" xfId="8216"/>
    <cellStyle name="Normal 3 2 2 2" xfId="8217"/>
    <cellStyle name="Normal 3 2 3" xfId="8218"/>
    <cellStyle name="Normal 3 2 4" xfId="8219"/>
    <cellStyle name="Normal 3 2 5" xfId="8220"/>
    <cellStyle name="Normal 3 2 6" xfId="8221"/>
    <cellStyle name="Normal 3 2_Chelan PUD Power Costs (8-10)" xfId="8222"/>
    <cellStyle name="Normal 3 3" xfId="8223"/>
    <cellStyle name="Normal 3 3 2" xfId="8224"/>
    <cellStyle name="Normal 3 3 2 2" xfId="8225"/>
    <cellStyle name="Normal 3 3 2 3" xfId="8226"/>
    <cellStyle name="Normal 3 3 3" xfId="8227"/>
    <cellStyle name="Normal 3 3 4" xfId="8228"/>
    <cellStyle name="Normal 3 3 5" xfId="8229"/>
    <cellStyle name="Normal 3 3 6" xfId="8230"/>
    <cellStyle name="Normal 3 4" xfId="8231"/>
    <cellStyle name="Normal 3 4 2" xfId="8232"/>
    <cellStyle name="Normal 3 4 2 2" xfId="8233"/>
    <cellStyle name="Normal 3 4 3" xfId="8234"/>
    <cellStyle name="Normal 3 4 3 2" xfId="8235"/>
    <cellStyle name="Normal 3 4 4" xfId="8236"/>
    <cellStyle name="Normal 3 4 4 2" xfId="8237"/>
    <cellStyle name="Normal 3 4 5" xfId="8238"/>
    <cellStyle name="Normal 3 5" xfId="8239"/>
    <cellStyle name="Normal 3 5 2" xfId="8240"/>
    <cellStyle name="Normal 3 6" xfId="8241"/>
    <cellStyle name="Normal 3 6 2" xfId="8242"/>
    <cellStyle name="Normal 3 7" xfId="8243"/>
    <cellStyle name="Normal 3 8" xfId="8244"/>
    <cellStyle name="Normal 3 9" xfId="8245"/>
    <cellStyle name="Normal 3_ Price Inputs" xfId="8246"/>
    <cellStyle name="Normal 30" xfId="8247"/>
    <cellStyle name="Normal 30 2" xfId="8248"/>
    <cellStyle name="Normal 30 2 2" xfId="8249"/>
    <cellStyle name="Normal 30 2 3" xfId="8250"/>
    <cellStyle name="Normal 30 3" xfId="8251"/>
    <cellStyle name="Normal 30 3 2" xfId="8252"/>
    <cellStyle name="Normal 30 4" xfId="8253"/>
    <cellStyle name="Normal 30 5" xfId="8254"/>
    <cellStyle name="Normal 31" xfId="8255"/>
    <cellStyle name="Normal 31 2" xfId="8256"/>
    <cellStyle name="Normal 31 2 2" xfId="8257"/>
    <cellStyle name="Normal 31 2 3" xfId="8258"/>
    <cellStyle name="Normal 31 3" xfId="8259"/>
    <cellStyle name="Normal 31 3 2" xfId="8260"/>
    <cellStyle name="Normal 31 4" xfId="8261"/>
    <cellStyle name="Normal 31 5" xfId="8262"/>
    <cellStyle name="Normal 32" xfId="8263"/>
    <cellStyle name="Normal 32 2" xfId="8264"/>
    <cellStyle name="Normal 32 2 2" xfId="8265"/>
    <cellStyle name="Normal 32 2 3" xfId="8266"/>
    <cellStyle name="Normal 32 3" xfId="8267"/>
    <cellStyle name="Normal 32 3 2" xfId="8268"/>
    <cellStyle name="Normal 32 4" xfId="8269"/>
    <cellStyle name="Normal 32 5" xfId="8270"/>
    <cellStyle name="Normal 33" xfId="8271"/>
    <cellStyle name="Normal 33 2" xfId="8272"/>
    <cellStyle name="Normal 33 2 2" xfId="8273"/>
    <cellStyle name="Normal 33 2 3" xfId="8274"/>
    <cellStyle name="Normal 33 3" xfId="8275"/>
    <cellStyle name="Normal 33 3 2" xfId="8276"/>
    <cellStyle name="Normal 33 4" xfId="8277"/>
    <cellStyle name="Normal 33 5" xfId="8278"/>
    <cellStyle name="Normal 34" xfId="8279"/>
    <cellStyle name="Normal 34 2" xfId="8280"/>
    <cellStyle name="Normal 34 2 2" xfId="8281"/>
    <cellStyle name="Normal 34 2 3" xfId="8282"/>
    <cellStyle name="Normal 34 3" xfId="8283"/>
    <cellStyle name="Normal 34 3 2" xfId="8284"/>
    <cellStyle name="Normal 34 4" xfId="8285"/>
    <cellStyle name="Normal 34 5" xfId="8286"/>
    <cellStyle name="Normal 35" xfId="8287"/>
    <cellStyle name="Normal 35 2" xfId="8288"/>
    <cellStyle name="Normal 35 2 2" xfId="8289"/>
    <cellStyle name="Normal 35 2 3" xfId="8290"/>
    <cellStyle name="Normal 35 3" xfId="8291"/>
    <cellStyle name="Normal 35 3 2" xfId="8292"/>
    <cellStyle name="Normal 35 4" xfId="8293"/>
    <cellStyle name="Normal 35 5" xfId="8294"/>
    <cellStyle name="Normal 36" xfId="8295"/>
    <cellStyle name="Normal 36 2" xfId="8296"/>
    <cellStyle name="Normal 36 2 2" xfId="8297"/>
    <cellStyle name="Normal 36 2 3" xfId="8298"/>
    <cellStyle name="Normal 36 3" xfId="8299"/>
    <cellStyle name="Normal 36 3 2" xfId="8300"/>
    <cellStyle name="Normal 36 4" xfId="8301"/>
    <cellStyle name="Normal 36 5" xfId="8302"/>
    <cellStyle name="Normal 37" xfId="8303"/>
    <cellStyle name="Normal 37 2" xfId="8304"/>
    <cellStyle name="Normal 37 2 2" xfId="8305"/>
    <cellStyle name="Normal 37 2 3" xfId="8306"/>
    <cellStyle name="Normal 37 3" xfId="8307"/>
    <cellStyle name="Normal 37 3 2" xfId="8308"/>
    <cellStyle name="Normal 37 4" xfId="8309"/>
    <cellStyle name="Normal 37 5" xfId="8310"/>
    <cellStyle name="Normal 38" xfId="8311"/>
    <cellStyle name="Normal 38 2" xfId="8312"/>
    <cellStyle name="Normal 38 2 2" xfId="8313"/>
    <cellStyle name="Normal 38 2 3" xfId="8314"/>
    <cellStyle name="Normal 38 3" xfId="8315"/>
    <cellStyle name="Normal 38 3 2" xfId="8316"/>
    <cellStyle name="Normal 38 4" xfId="8317"/>
    <cellStyle name="Normal 38 5" xfId="8318"/>
    <cellStyle name="Normal 39" xfId="8319"/>
    <cellStyle name="Normal 39 2" xfId="8320"/>
    <cellStyle name="Normal 39 2 2" xfId="8321"/>
    <cellStyle name="Normal 39 2 3" xfId="8322"/>
    <cellStyle name="Normal 39 3" xfId="8323"/>
    <cellStyle name="Normal 39 3 2" xfId="8324"/>
    <cellStyle name="Normal 39 4" xfId="8325"/>
    <cellStyle name="Normal 39 5" xfId="8326"/>
    <cellStyle name="Normal 4" xfId="8327"/>
    <cellStyle name="Normal 4 2" xfId="8328"/>
    <cellStyle name="Normal 4 2 2" xfId="8329"/>
    <cellStyle name="Normal 4 2 2 2" xfId="8330"/>
    <cellStyle name="Normal 4 2 2 3" xfId="8331"/>
    <cellStyle name="Normal 4 2 3" xfId="8332"/>
    <cellStyle name="Normal 4 2 3 2" xfId="8333"/>
    <cellStyle name="Normal 4 2 4" xfId="8334"/>
    <cellStyle name="Normal 4 2 5" xfId="8335"/>
    <cellStyle name="Normal 4 2 6" xfId="8336"/>
    <cellStyle name="Normal 4 3" xfId="8337"/>
    <cellStyle name="Normal 4 3 2" xfId="8338"/>
    <cellStyle name="Normal 4 4" xfId="8339"/>
    <cellStyle name="Normal 4 4 2" xfId="8340"/>
    <cellStyle name="Normal 4 5" xfId="8341"/>
    <cellStyle name="Normal 4 5 2" xfId="8342"/>
    <cellStyle name="Normal 4 6" xfId="8343"/>
    <cellStyle name="Normal 4 7" xfId="8344"/>
    <cellStyle name="Normal 4_ Price Inputs" xfId="8345"/>
    <cellStyle name="Normal 40" xfId="8346"/>
    <cellStyle name="Normal 40 2" xfId="8347"/>
    <cellStyle name="Normal 41" xfId="8348"/>
    <cellStyle name="Normal 41 2" xfId="8349"/>
    <cellStyle name="Normal 41 2 2" xfId="8350"/>
    <cellStyle name="Normal 41 3" xfId="8351"/>
    <cellStyle name="Normal 41 3 2" xfId="8352"/>
    <cellStyle name="Normal 41 4" xfId="8353"/>
    <cellStyle name="Normal 41 4 2" xfId="8354"/>
    <cellStyle name="Normal 42" xfId="8355"/>
    <cellStyle name="Normal 42 2" xfId="8356"/>
    <cellStyle name="Normal 42 2 2" xfId="8357"/>
    <cellStyle name="Normal 42 2 2 2" xfId="8358"/>
    <cellStyle name="Normal 42 2 3" xfId="8359"/>
    <cellStyle name="Normal 42 3" xfId="8360"/>
    <cellStyle name="Normal 42 3 2" xfId="8361"/>
    <cellStyle name="Normal 42 4" xfId="8362"/>
    <cellStyle name="Normal 42 4 2" xfId="8363"/>
    <cellStyle name="Normal 42 5" xfId="8364"/>
    <cellStyle name="Normal 42 5 2" xfId="8365"/>
    <cellStyle name="Normal 43" xfId="8366"/>
    <cellStyle name="Normal 43 2" xfId="8367"/>
    <cellStyle name="Normal 43 3" xfId="8368"/>
    <cellStyle name="Normal 43 3 2" xfId="8369"/>
    <cellStyle name="Normal 44" xfId="8370"/>
    <cellStyle name="Normal 44 2" xfId="8371"/>
    <cellStyle name="Normal 44 2 2" xfId="8372"/>
    <cellStyle name="Normal 44 2 2 2" xfId="8373"/>
    <cellStyle name="Normal 44 2 3" xfId="8374"/>
    <cellStyle name="Normal 44 2 4" xfId="8375"/>
    <cellStyle name="Normal 44 3" xfId="8376"/>
    <cellStyle name="Normal 44 3 2" xfId="8377"/>
    <cellStyle name="Normal 44 3 3" xfId="8378"/>
    <cellStyle name="Normal 44 4" xfId="8379"/>
    <cellStyle name="Normal 44 4 2" xfId="8380"/>
    <cellStyle name="Normal 44 5" xfId="8381"/>
    <cellStyle name="Normal 44 5 2" xfId="8382"/>
    <cellStyle name="Normal 44 6" xfId="8383"/>
    <cellStyle name="Normal 44 7" xfId="8384"/>
    <cellStyle name="Normal 45" xfId="8385"/>
    <cellStyle name="Normal 45 2" xfId="8386"/>
    <cellStyle name="Normal 45 2 2" xfId="8387"/>
    <cellStyle name="Normal 45 3" xfId="8388"/>
    <cellStyle name="Normal 45 4" xfId="8389"/>
    <cellStyle name="Normal 45 5" xfId="8390"/>
    <cellStyle name="Normal 45 6" xfId="8391"/>
    <cellStyle name="Normal 46" xfId="8392"/>
    <cellStyle name="Normal 46 2" xfId="8393"/>
    <cellStyle name="Normal 46 2 2" xfId="8394"/>
    <cellStyle name="Normal 46 2 3" xfId="8395"/>
    <cellStyle name="Normal 46 3" xfId="8396"/>
    <cellStyle name="Normal 46 4" xfId="8397"/>
    <cellStyle name="Normal 46 5" xfId="8398"/>
    <cellStyle name="Normal 46 6" xfId="8399"/>
    <cellStyle name="Normal 47" xfId="8400"/>
    <cellStyle name="Normal 47 2" xfId="8401"/>
    <cellStyle name="Normal 47 2 2" xfId="8402"/>
    <cellStyle name="Normal 47 3" xfId="8403"/>
    <cellStyle name="Normal 47 3 2" xfId="8404"/>
    <cellStyle name="Normal 47 4" xfId="8405"/>
    <cellStyle name="Normal 47 4 2" xfId="8406"/>
    <cellStyle name="Normal 47 5" xfId="8407"/>
    <cellStyle name="Normal 48" xfId="8408"/>
    <cellStyle name="Normal 48 2" xfId="8409"/>
    <cellStyle name="Normal 48 2 2" xfId="8410"/>
    <cellStyle name="Normal 48 3" xfId="8411"/>
    <cellStyle name="Normal 48 3 2" xfId="8412"/>
    <cellStyle name="Normal 48 4" xfId="8413"/>
    <cellStyle name="Normal 48 4 2" xfId="8414"/>
    <cellStyle name="Normal 49" xfId="8415"/>
    <cellStyle name="Normal 49 2" xfId="8416"/>
    <cellStyle name="Normal 49 2 2" xfId="8417"/>
    <cellStyle name="Normal 49 3" xfId="8418"/>
    <cellStyle name="Normal 49 3 2" xfId="8419"/>
    <cellStyle name="Normal 49 4" xfId="8420"/>
    <cellStyle name="Normal 49 4 2" xfId="8421"/>
    <cellStyle name="Normal 5" xfId="8422"/>
    <cellStyle name="Normal 5 2" xfId="8423"/>
    <cellStyle name="Normal 5 2 2" xfId="8424"/>
    <cellStyle name="Normal 5 2 3" xfId="8425"/>
    <cellStyle name="Normal 5 3" xfId="8426"/>
    <cellStyle name="Normal 5 3 2" xfId="8427"/>
    <cellStyle name="Normal 5 4" xfId="8428"/>
    <cellStyle name="Normal 5 4 2" xfId="8429"/>
    <cellStyle name="Normal 5 5" xfId="8430"/>
    <cellStyle name="Normal 5 5 2" xfId="8431"/>
    <cellStyle name="Normal 5 6" xfId="8432"/>
    <cellStyle name="Normal 5_2011 CBR Rev Calc by schedule" xfId="8433"/>
    <cellStyle name="Normal 50" xfId="8434"/>
    <cellStyle name="Normal 50 2" xfId="8435"/>
    <cellStyle name="Normal 50 2 2" xfId="8436"/>
    <cellStyle name="Normal 50 3" xfId="8437"/>
    <cellStyle name="Normal 50 3 2" xfId="8438"/>
    <cellStyle name="Normal 50 4" xfId="8439"/>
    <cellStyle name="Normal 50 4 2" xfId="8440"/>
    <cellStyle name="Normal 51" xfId="8441"/>
    <cellStyle name="Normal 51 2" xfId="8442"/>
    <cellStyle name="Normal 51 2 2" xfId="8443"/>
    <cellStyle name="Normal 51 2 3" xfId="8444"/>
    <cellStyle name="Normal 51 3" xfId="8445"/>
    <cellStyle name="Normal 51 4" xfId="8446"/>
    <cellStyle name="Normal 51 5" xfId="8447"/>
    <cellStyle name="Normal 51 6" xfId="8448"/>
    <cellStyle name="Normal 52" xfId="8449"/>
    <cellStyle name="Normal 53" xfId="8450"/>
    <cellStyle name="Normal 53 2" xfId="8451"/>
    <cellStyle name="Normal 53 3" xfId="8452"/>
    <cellStyle name="Normal 53 3 2" xfId="8453"/>
    <cellStyle name="Normal 53 4" xfId="8454"/>
    <cellStyle name="Normal 54" xfId="8455"/>
    <cellStyle name="Normal 54 2" xfId="8456"/>
    <cellStyle name="Normal 54 3" xfId="8457"/>
    <cellStyle name="Normal 54 3 2" xfId="8458"/>
    <cellStyle name="Normal 54 4" xfId="8459"/>
    <cellStyle name="Normal 55" xfId="8460"/>
    <cellStyle name="Normal 55 2" xfId="8461"/>
    <cellStyle name="Normal 55 2 2" xfId="8462"/>
    <cellStyle name="Normal 55 3" xfId="8463"/>
    <cellStyle name="Normal 56" xfId="8464"/>
    <cellStyle name="Normal 56 2" xfId="8465"/>
    <cellStyle name="Normal 56 2 2" xfId="8466"/>
    <cellStyle name="Normal 56 3" xfId="8467"/>
    <cellStyle name="Normal 57" xfId="8468"/>
    <cellStyle name="Normal 57 2" xfId="8469"/>
    <cellStyle name="Normal 58" xfId="8470"/>
    <cellStyle name="Normal 58 2" xfId="8471"/>
    <cellStyle name="Normal 59" xfId="8472"/>
    <cellStyle name="Normal 59 2" xfId="8473"/>
    <cellStyle name="Normal 6" xfId="8474"/>
    <cellStyle name="Normal 6 2" xfId="8475"/>
    <cellStyle name="Normal 6 2 2" xfId="8476"/>
    <cellStyle name="Normal 6 2 2 2" xfId="8477"/>
    <cellStyle name="Normal 6 2 3" xfId="8478"/>
    <cellStyle name="Normal 6 2 4" xfId="8479"/>
    <cellStyle name="Normal 6 3" xfId="8480"/>
    <cellStyle name="Normal 6 3 2" xfId="8481"/>
    <cellStyle name="Normal 6 4" xfId="8482"/>
    <cellStyle name="Normal 6 5" xfId="8483"/>
    <cellStyle name="Normal 6 5 2" xfId="8484"/>
    <cellStyle name="Normal 6 6" xfId="8485"/>
    <cellStyle name="Normal 6_Scenario 1 REC vs PTC Offset" xfId="8486"/>
    <cellStyle name="Normal 60" xfId="8487"/>
    <cellStyle name="Normal 60 2" xfId="8488"/>
    <cellStyle name="Normal 61" xfId="8489"/>
    <cellStyle name="Normal 61 2" xfId="8490"/>
    <cellStyle name="Normal 62" xfId="8491"/>
    <cellStyle name="Normal 62 2" xfId="8492"/>
    <cellStyle name="Normal 63" xfId="8493"/>
    <cellStyle name="Normal 63 2" xfId="8494"/>
    <cellStyle name="Normal 64" xfId="8495"/>
    <cellStyle name="Normal 64 2" xfId="8496"/>
    <cellStyle name="Normal 65" xfId="8497"/>
    <cellStyle name="Normal 65 2" xfId="8498"/>
    <cellStyle name="Normal 66" xfId="8499"/>
    <cellStyle name="Normal 66 2" xfId="8500"/>
    <cellStyle name="Normal 67" xfId="8501"/>
    <cellStyle name="Normal 67 2" xfId="8502"/>
    <cellStyle name="Normal 68" xfId="8503"/>
    <cellStyle name="Normal 68 2" xfId="8504"/>
    <cellStyle name="Normal 69" xfId="8505"/>
    <cellStyle name="Normal 69 2" xfId="8506"/>
    <cellStyle name="Normal 7" xfId="8507"/>
    <cellStyle name="Normal 7 2" xfId="8508"/>
    <cellStyle name="Normal 7 2 2" xfId="8509"/>
    <cellStyle name="Normal 7 2 2 2" xfId="8510"/>
    <cellStyle name="Normal 7 2 3" xfId="8511"/>
    <cellStyle name="Normal 7 3" xfId="8512"/>
    <cellStyle name="Normal 7 4" xfId="8513"/>
    <cellStyle name="Normal 7 4 2" xfId="8514"/>
    <cellStyle name="Normal 7 5" xfId="8515"/>
    <cellStyle name="Normal 70" xfId="8516"/>
    <cellStyle name="Normal 70 2" xfId="8517"/>
    <cellStyle name="Normal 71" xfId="8518"/>
    <cellStyle name="Normal 71 2" xfId="8519"/>
    <cellStyle name="Normal 72" xfId="8520"/>
    <cellStyle name="Normal 72 2" xfId="8521"/>
    <cellStyle name="Normal 73" xfId="8522"/>
    <cellStyle name="Normal 73 2" xfId="8523"/>
    <cellStyle name="Normal 74" xfId="8524"/>
    <cellStyle name="Normal 75" xfId="8525"/>
    <cellStyle name="Normal 76" xfId="8526"/>
    <cellStyle name="Normal 77" xfId="8527"/>
    <cellStyle name="Normal 78" xfId="8528"/>
    <cellStyle name="Normal 79" xfId="8529"/>
    <cellStyle name="Normal 8" xfId="8530"/>
    <cellStyle name="Normal 8 2" xfId="8531"/>
    <cellStyle name="Normal 8 2 2" xfId="8532"/>
    <cellStyle name="Normal 8 2 2 2" xfId="8533"/>
    <cellStyle name="Normal 8 2 3" xfId="8534"/>
    <cellStyle name="Normal 8 2 4" xfId="8535"/>
    <cellStyle name="Normal 8 3" xfId="8536"/>
    <cellStyle name="Normal 8 4" xfId="8537"/>
    <cellStyle name="Normal 8 4 2" xfId="8538"/>
    <cellStyle name="Normal 8 5" xfId="8539"/>
    <cellStyle name="Normal 8 6" xfId="8540"/>
    <cellStyle name="Normal 80" xfId="8541"/>
    <cellStyle name="Normal 81" xfId="8542"/>
    <cellStyle name="Normal 82" xfId="8543"/>
    <cellStyle name="Normal 83" xfId="8544"/>
    <cellStyle name="Normal 84" xfId="8545"/>
    <cellStyle name="Normal 85" xfId="8546"/>
    <cellStyle name="Normal 86" xfId="8547"/>
    <cellStyle name="Normal 87" xfId="8548"/>
    <cellStyle name="Normal 88" xfId="8549"/>
    <cellStyle name="Normal 89" xfId="8550"/>
    <cellStyle name="Normal 9" xfId="8551"/>
    <cellStyle name="Normal 9 2" xfId="8552"/>
    <cellStyle name="Normal 9 2 2" xfId="8553"/>
    <cellStyle name="Normal 9 2 2 2" xfId="8554"/>
    <cellStyle name="Normal 9 2 3" xfId="8555"/>
    <cellStyle name="Normal 9 3" xfId="8556"/>
    <cellStyle name="Normal 9 3 2" xfId="8557"/>
    <cellStyle name="Normal 9 4" xfId="8558"/>
    <cellStyle name="Normal 90" xfId="8559"/>
    <cellStyle name="Normal 91" xfId="8560"/>
    <cellStyle name="Normal 92" xfId="8561"/>
    <cellStyle name="Normal 93" xfId="8562"/>
    <cellStyle name="Normal 94" xfId="8563"/>
    <cellStyle name="Normal 95" xfId="8564"/>
    <cellStyle name="Normal 96" xfId="8565"/>
    <cellStyle name="Normal 96 2" xfId="8566"/>
    <cellStyle name="Normal 97" xfId="8567"/>
    <cellStyle name="Normal 98" xfId="8568"/>
    <cellStyle name="Normal 99" xfId="8569"/>
    <cellStyle name="Note 10" xfId="8570"/>
    <cellStyle name="Note 10 2" xfId="8571"/>
    <cellStyle name="Note 10 2 2" xfId="8572"/>
    <cellStyle name="Note 10 3" xfId="8573"/>
    <cellStyle name="Note 11" xfId="8574"/>
    <cellStyle name="Note 11 2" xfId="8575"/>
    <cellStyle name="Note 11 2 2" xfId="8576"/>
    <cellStyle name="Note 11 3" xfId="8577"/>
    <cellStyle name="Note 12" xfId="8578"/>
    <cellStyle name="Note 12 2" xfId="8579"/>
    <cellStyle name="Note 12 2 2" xfId="8580"/>
    <cellStyle name="Note 12 3" xfId="8581"/>
    <cellStyle name="Note 12 3 2" xfId="8582"/>
    <cellStyle name="Note 12 4" xfId="8583"/>
    <cellStyle name="Note 13" xfId="8584"/>
    <cellStyle name="Note 13 2" xfId="8585"/>
    <cellStyle name="Note 14" xfId="8586"/>
    <cellStyle name="Note 2" xfId="8587"/>
    <cellStyle name="Note 2 2" xfId="8588"/>
    <cellStyle name="Note 2 2 2" xfId="8589"/>
    <cellStyle name="Note 2 2 3" xfId="8590"/>
    <cellStyle name="Note 2 2 4" xfId="8591"/>
    <cellStyle name="Note 2 3" xfId="8592"/>
    <cellStyle name="Note 2 3 2" xfId="8593"/>
    <cellStyle name="Note 2 4" xfId="8594"/>
    <cellStyle name="Note 2 4 2" xfId="8595"/>
    <cellStyle name="Note 2 5" xfId="8596"/>
    <cellStyle name="Note 2_AURORA Total New" xfId="8597"/>
    <cellStyle name="Note 3" xfId="8598"/>
    <cellStyle name="Note 3 2" xfId="8599"/>
    <cellStyle name="Note 3 2 2" xfId="8600"/>
    <cellStyle name="Note 3 3" xfId="8601"/>
    <cellStyle name="Note 3 4" xfId="8602"/>
    <cellStyle name="Note 4" xfId="8603"/>
    <cellStyle name="Note 4 2" xfId="8604"/>
    <cellStyle name="Note 4 2 2" xfId="8605"/>
    <cellStyle name="Note 4 3" xfId="8606"/>
    <cellStyle name="Note 4 4" xfId="8607"/>
    <cellStyle name="Note 5" xfId="8608"/>
    <cellStyle name="Note 5 2" xfId="8609"/>
    <cellStyle name="Note 5 2 2" xfId="8610"/>
    <cellStyle name="Note 5 3" xfId="8611"/>
    <cellStyle name="Note 5 4" xfId="8612"/>
    <cellStyle name="Note 6" xfId="8613"/>
    <cellStyle name="Note 6 2" xfId="8614"/>
    <cellStyle name="Note 6 2 2" xfId="8615"/>
    <cellStyle name="Note 6 3" xfId="8616"/>
    <cellStyle name="Note 6 4" xfId="8617"/>
    <cellStyle name="Note 7" xfId="8618"/>
    <cellStyle name="Note 7 2" xfId="8619"/>
    <cellStyle name="Note 7 2 2" xfId="8620"/>
    <cellStyle name="Note 7 3" xfId="8621"/>
    <cellStyle name="Note 7 4" xfId="8622"/>
    <cellStyle name="Note 8" xfId="8623"/>
    <cellStyle name="Note 8 2" xfId="8624"/>
    <cellStyle name="Note 8 2 2" xfId="8625"/>
    <cellStyle name="Note 8 3" xfId="8626"/>
    <cellStyle name="Note 8 4" xfId="8627"/>
    <cellStyle name="Note 9" xfId="8628"/>
    <cellStyle name="Note 9 2" xfId="8629"/>
    <cellStyle name="Note 9 2 2" xfId="8630"/>
    <cellStyle name="Note 9 3" xfId="8631"/>
    <cellStyle name="Note 9 4" xfId="8632"/>
    <cellStyle name="Output 2" xfId="8633"/>
    <cellStyle name="Output 2 2" xfId="8634"/>
    <cellStyle name="Output 2 2 2" xfId="8635"/>
    <cellStyle name="Output 2 2 3" xfId="8636"/>
    <cellStyle name="Output 2 3" xfId="8637"/>
    <cellStyle name="Output 2 4" xfId="8638"/>
    <cellStyle name="Output 3" xfId="8639"/>
    <cellStyle name="Output 3 2" xfId="8640"/>
    <cellStyle name="Output 3 3" xfId="8641"/>
    <cellStyle name="Output 3 4" xfId="8642"/>
    <cellStyle name="Output 4" xfId="8643"/>
    <cellStyle name="Output 5" xfId="8644"/>
    <cellStyle name="Output 6" xfId="8645"/>
    <cellStyle name="Percen - Style1" xfId="8646"/>
    <cellStyle name="Percen - Style1 2" xfId="8647"/>
    <cellStyle name="Percen - Style2" xfId="8648"/>
    <cellStyle name="Percen - Style2 2" xfId="8649"/>
    <cellStyle name="Percen - Style2 3" xfId="8650"/>
    <cellStyle name="Percen - Style3" xfId="8651"/>
    <cellStyle name="Percen - Style3 2" xfId="8652"/>
    <cellStyle name="Percen - Style3 2 2" xfId="8653"/>
    <cellStyle name="Percen - Style3 3" xfId="8654"/>
    <cellStyle name="Percen - Style3 4" xfId="8655"/>
    <cellStyle name="Percen - Style3_ACCOUNTS" xfId="8656"/>
    <cellStyle name="Percent" xfId="3" builtinId="5"/>
    <cellStyle name="Percent (0)" xfId="8657"/>
    <cellStyle name="Percent [2]" xfId="8658"/>
    <cellStyle name="Percent [2] 2" xfId="8659"/>
    <cellStyle name="Percent [2] 2 2" xfId="8660"/>
    <cellStyle name="Percent [2] 2 2 2" xfId="8661"/>
    <cellStyle name="Percent [2] 2 3" xfId="8662"/>
    <cellStyle name="Percent [2] 3" xfId="8663"/>
    <cellStyle name="Percent [2] 3 2" xfId="8664"/>
    <cellStyle name="Percent [2] 3 2 2" xfId="8665"/>
    <cellStyle name="Percent [2] 3 3" xfId="8666"/>
    <cellStyle name="Percent [2] 3 3 2" xfId="8667"/>
    <cellStyle name="Percent [2] 3 4" xfId="8668"/>
    <cellStyle name="Percent [2] 3 4 2" xfId="8669"/>
    <cellStyle name="Percent [2] 4" xfId="8670"/>
    <cellStyle name="Percent [2] 4 2" xfId="8671"/>
    <cellStyle name="Percent [2] 5" xfId="8672"/>
    <cellStyle name="Percent [2] 6" xfId="8673"/>
    <cellStyle name="Percent [2] 7" xfId="8674"/>
    <cellStyle name="Percent 10" xfId="8675"/>
    <cellStyle name="Percent 10 2" xfId="8676"/>
    <cellStyle name="Percent 10 3" xfId="8677"/>
    <cellStyle name="Percent 10 3 2" xfId="8678"/>
    <cellStyle name="Percent 10 4" xfId="8679"/>
    <cellStyle name="Percent 100" xfId="8680"/>
    <cellStyle name="Percent 101" xfId="8681"/>
    <cellStyle name="Percent 102" xfId="8682"/>
    <cellStyle name="Percent 103" xfId="8683"/>
    <cellStyle name="Percent 104" xfId="8684"/>
    <cellStyle name="Percent 105" xfId="8685"/>
    <cellStyle name="Percent 106" xfId="8686"/>
    <cellStyle name="Percent 107" xfId="8687"/>
    <cellStyle name="Percent 108" xfId="8688"/>
    <cellStyle name="Percent 109" xfId="8689"/>
    <cellStyle name="Percent 11" xfId="8690"/>
    <cellStyle name="Percent 11 2" xfId="8691"/>
    <cellStyle name="Percent 11 2 2" xfId="8692"/>
    <cellStyle name="Percent 11 3" xfId="8693"/>
    <cellStyle name="Percent 11 3 2" xfId="8694"/>
    <cellStyle name="Percent 11 4" xfId="8695"/>
    <cellStyle name="Percent 11 4 2" xfId="8696"/>
    <cellStyle name="Percent 11 5" xfId="8697"/>
    <cellStyle name="Percent 110" xfId="8698"/>
    <cellStyle name="Percent 111" xfId="8699"/>
    <cellStyle name="Percent 112" xfId="8700"/>
    <cellStyle name="Percent 113" xfId="8701"/>
    <cellStyle name="Percent 114" xfId="8702"/>
    <cellStyle name="Percent 115" xfId="8703"/>
    <cellStyle name="Percent 116" xfId="8704"/>
    <cellStyle name="Percent 117" xfId="8705"/>
    <cellStyle name="Percent 118" xfId="8706"/>
    <cellStyle name="Percent 119" xfId="8707"/>
    <cellStyle name="Percent 12" xfId="8708"/>
    <cellStyle name="Percent 12 2" xfId="8709"/>
    <cellStyle name="Percent 12 2 2" xfId="8710"/>
    <cellStyle name="Percent 12 2 2 2" xfId="8711"/>
    <cellStyle name="Percent 12 2 3" xfId="8712"/>
    <cellStyle name="Percent 12 3" xfId="8713"/>
    <cellStyle name="Percent 12 3 2" xfId="8714"/>
    <cellStyle name="Percent 12 4" xfId="8715"/>
    <cellStyle name="Percent 12 4 2" xfId="8716"/>
    <cellStyle name="Percent 12 5" xfId="8717"/>
    <cellStyle name="Percent 12 5 2" xfId="8718"/>
    <cellStyle name="Percent 120" xfId="8719"/>
    <cellStyle name="Percent 13" xfId="8720"/>
    <cellStyle name="Percent 13 2" xfId="8721"/>
    <cellStyle name="Percent 13 2 2" xfId="8722"/>
    <cellStyle name="Percent 13 2 3" xfId="8723"/>
    <cellStyle name="Percent 13 3" xfId="8724"/>
    <cellStyle name="Percent 13 3 2" xfId="8725"/>
    <cellStyle name="Percent 13 4" xfId="8726"/>
    <cellStyle name="Percent 13 5" xfId="8727"/>
    <cellStyle name="Percent 13 6" xfId="8728"/>
    <cellStyle name="Percent 14" xfId="8729"/>
    <cellStyle name="Percent 14 2" xfId="8730"/>
    <cellStyle name="Percent 14 2 2" xfId="8731"/>
    <cellStyle name="Percent 14 3" xfId="8732"/>
    <cellStyle name="Percent 14 4" xfId="8733"/>
    <cellStyle name="Percent 14 4 2" xfId="8734"/>
    <cellStyle name="Percent 14 5" xfId="8735"/>
    <cellStyle name="Percent 15" xfId="8736"/>
    <cellStyle name="Percent 15 2" xfId="8737"/>
    <cellStyle name="Percent 15 2 2" xfId="8738"/>
    <cellStyle name="Percent 15 2 3" xfId="8739"/>
    <cellStyle name="Percent 15 2 4" xfId="8740"/>
    <cellStyle name="Percent 15 3" xfId="8741"/>
    <cellStyle name="Percent 15 3 2" xfId="8742"/>
    <cellStyle name="Percent 15 4" xfId="8743"/>
    <cellStyle name="Percent 15 4 2" xfId="8744"/>
    <cellStyle name="Percent 15 5" xfId="8745"/>
    <cellStyle name="Percent 15 6" xfId="8746"/>
    <cellStyle name="Percent 16" xfId="8747"/>
    <cellStyle name="Percent 16 2" xfId="8748"/>
    <cellStyle name="Percent 16 2 2" xfId="8749"/>
    <cellStyle name="Percent 16 3" xfId="8750"/>
    <cellStyle name="Percent 16 3 2" xfId="8751"/>
    <cellStyle name="Percent 16 4" xfId="8752"/>
    <cellStyle name="Percent 16 4 2" xfId="8753"/>
    <cellStyle name="Percent 17" xfId="8754"/>
    <cellStyle name="Percent 17 2" xfId="8755"/>
    <cellStyle name="Percent 17 2 2" xfId="8756"/>
    <cellStyle name="Percent 17 2 3" xfId="8757"/>
    <cellStyle name="Percent 17 3" xfId="8758"/>
    <cellStyle name="Percent 17 3 2" xfId="8759"/>
    <cellStyle name="Percent 17 4" xfId="8760"/>
    <cellStyle name="Percent 17 4 2" xfId="8761"/>
    <cellStyle name="Percent 18" xfId="8762"/>
    <cellStyle name="Percent 18 2" xfId="8763"/>
    <cellStyle name="Percent 18 2 2" xfId="8764"/>
    <cellStyle name="Percent 18 3" xfId="8765"/>
    <cellStyle name="Percent 18 3 2" xfId="8766"/>
    <cellStyle name="Percent 18 4" xfId="8767"/>
    <cellStyle name="Percent 18 4 2" xfId="8768"/>
    <cellStyle name="Percent 18 5" xfId="8769"/>
    <cellStyle name="Percent 19" xfId="8770"/>
    <cellStyle name="Percent 19 2" xfId="8771"/>
    <cellStyle name="Percent 19 2 2" xfId="8772"/>
    <cellStyle name="Percent 19 3" xfId="8773"/>
    <cellStyle name="Percent 19 3 2" xfId="8774"/>
    <cellStyle name="Percent 19 4" xfId="8775"/>
    <cellStyle name="Percent 19 4 2" xfId="8776"/>
    <cellStyle name="Percent 2" xfId="8777"/>
    <cellStyle name="Percent 2 2" xfId="8778"/>
    <cellStyle name="Percent 2 2 2" xfId="8779"/>
    <cellStyle name="Percent 2 2 2 2" xfId="8780"/>
    <cellStyle name="Percent 2 2 3" xfId="8781"/>
    <cellStyle name="Percent 2 2 4" xfId="8782"/>
    <cellStyle name="Percent 2 3" xfId="8783"/>
    <cellStyle name="Percent 2 3 2" xfId="8784"/>
    <cellStyle name="Percent 2 3 3" xfId="8785"/>
    <cellStyle name="Percent 2 3 4" xfId="8786"/>
    <cellStyle name="Percent 2 4" xfId="8787"/>
    <cellStyle name="Percent 2 4 2" xfId="8788"/>
    <cellStyle name="Percent 2 5" xfId="8789"/>
    <cellStyle name="Percent 2 6" xfId="8790"/>
    <cellStyle name="Percent 20" xfId="8791"/>
    <cellStyle name="Percent 20 2" xfId="8792"/>
    <cellStyle name="Percent 20 2 2" xfId="8793"/>
    <cellStyle name="Percent 20 2 3" xfId="8794"/>
    <cellStyle name="Percent 20 2 4" xfId="8795"/>
    <cellStyle name="Percent 20 3" xfId="8796"/>
    <cellStyle name="Percent 20 4" xfId="8797"/>
    <cellStyle name="Percent 20 5" xfId="8798"/>
    <cellStyle name="Percent 21" xfId="8799"/>
    <cellStyle name="Percent 21 2" xfId="8800"/>
    <cellStyle name="Percent 21 3" xfId="8801"/>
    <cellStyle name="Percent 22" xfId="8802"/>
    <cellStyle name="Percent 22 2" xfId="8803"/>
    <cellStyle name="Percent 22 3" xfId="8804"/>
    <cellStyle name="Percent 22 3 2" xfId="8805"/>
    <cellStyle name="Percent 22 4" xfId="8806"/>
    <cellStyle name="Percent 23" xfId="8807"/>
    <cellStyle name="Percent 23 2" xfId="8808"/>
    <cellStyle name="Percent 23 3" xfId="8809"/>
    <cellStyle name="Percent 23 3 2" xfId="8810"/>
    <cellStyle name="Percent 23 4" xfId="8811"/>
    <cellStyle name="Percent 24" xfId="8812"/>
    <cellStyle name="Percent 24 2" xfId="8813"/>
    <cellStyle name="Percent 24 2 2" xfId="8814"/>
    <cellStyle name="Percent 24 3" xfId="8815"/>
    <cellStyle name="Percent 24 3 2" xfId="8816"/>
    <cellStyle name="Percent 24 4" xfId="8817"/>
    <cellStyle name="Percent 24 4 2" xfId="8818"/>
    <cellStyle name="Percent 24 5" xfId="8819"/>
    <cellStyle name="Percent 25" xfId="8820"/>
    <cellStyle name="Percent 25 2" xfId="8821"/>
    <cellStyle name="Percent 25 2 2" xfId="8822"/>
    <cellStyle name="Percent 25 3" xfId="8823"/>
    <cellStyle name="Percent 26" xfId="8824"/>
    <cellStyle name="Percent 26 2" xfId="8825"/>
    <cellStyle name="Percent 27" xfId="8826"/>
    <cellStyle name="Percent 27 2" xfId="8827"/>
    <cellStyle name="Percent 28" xfId="8828"/>
    <cellStyle name="Percent 28 2" xfId="8829"/>
    <cellStyle name="Percent 29" xfId="8830"/>
    <cellStyle name="Percent 29 2" xfId="8831"/>
    <cellStyle name="Percent 3" xfId="8832"/>
    <cellStyle name="Percent 3 2" xfId="8833"/>
    <cellStyle name="Percent 3 2 2" xfId="8834"/>
    <cellStyle name="Percent 3 2 2 2" xfId="8835"/>
    <cellStyle name="Percent 3 2 3" xfId="8836"/>
    <cellStyle name="Percent 3 3" xfId="8837"/>
    <cellStyle name="Percent 3 3 2" xfId="8838"/>
    <cellStyle name="Percent 3 4" xfId="8839"/>
    <cellStyle name="Percent 3 5" xfId="8840"/>
    <cellStyle name="Percent 30" xfId="8841"/>
    <cellStyle name="Percent 30 2" xfId="8842"/>
    <cellStyle name="Percent 31" xfId="8843"/>
    <cellStyle name="Percent 31 2" xfId="8844"/>
    <cellStyle name="Percent 32" xfId="8845"/>
    <cellStyle name="Percent 32 2" xfId="8846"/>
    <cellStyle name="Percent 33" xfId="8847"/>
    <cellStyle name="Percent 33 2" xfId="8848"/>
    <cellStyle name="Percent 34" xfId="8849"/>
    <cellStyle name="Percent 34 2" xfId="8850"/>
    <cellStyle name="Percent 35" xfId="8851"/>
    <cellStyle name="Percent 35 2" xfId="8852"/>
    <cellStyle name="Percent 36" xfId="8853"/>
    <cellStyle name="Percent 36 2" xfId="8854"/>
    <cellStyle name="Percent 37" xfId="8855"/>
    <cellStyle name="Percent 37 2" xfId="8856"/>
    <cellStyle name="Percent 38" xfId="8857"/>
    <cellStyle name="Percent 38 2" xfId="8858"/>
    <cellStyle name="Percent 39" xfId="8859"/>
    <cellStyle name="Percent 39 2" xfId="8860"/>
    <cellStyle name="Percent 4" xfId="8861"/>
    <cellStyle name="Percent 4 2" xfId="8862"/>
    <cellStyle name="Percent 4 2 2" xfId="8863"/>
    <cellStyle name="Percent 4 2 3" xfId="8864"/>
    <cellStyle name="Percent 4 2 3 2" xfId="8865"/>
    <cellStyle name="Percent 4 2 4" xfId="8866"/>
    <cellStyle name="Percent 4 2 5" xfId="8867"/>
    <cellStyle name="Percent 4 3" xfId="8868"/>
    <cellStyle name="Percent 4 3 2" xfId="8869"/>
    <cellStyle name="Percent 4 4" xfId="8870"/>
    <cellStyle name="Percent 4 5" xfId="8871"/>
    <cellStyle name="Percent 40" xfId="8872"/>
    <cellStyle name="Percent 40 2" xfId="8873"/>
    <cellStyle name="Percent 41" xfId="8874"/>
    <cellStyle name="Percent 41 2" xfId="8875"/>
    <cellStyle name="Percent 42" xfId="8876"/>
    <cellStyle name="Percent 42 2" xfId="8877"/>
    <cellStyle name="Percent 43" xfId="8878"/>
    <cellStyle name="Percent 43 2" xfId="8879"/>
    <cellStyle name="Percent 44" xfId="8880"/>
    <cellStyle name="Percent 44 2" xfId="8881"/>
    <cellStyle name="Percent 45" xfId="8882"/>
    <cellStyle name="Percent 45 2" xfId="8883"/>
    <cellStyle name="Percent 46" xfId="8884"/>
    <cellStyle name="Percent 47" xfId="8885"/>
    <cellStyle name="Percent 48" xfId="8886"/>
    <cellStyle name="Percent 49" xfId="8887"/>
    <cellStyle name="Percent 5" xfId="8888"/>
    <cellStyle name="Percent 5 2" xfId="8889"/>
    <cellStyle name="Percent 5 2 2" xfId="8890"/>
    <cellStyle name="Percent 5 3" xfId="8891"/>
    <cellStyle name="Percent 5 4" xfId="8892"/>
    <cellStyle name="Percent 50" xfId="8893"/>
    <cellStyle name="Percent 51" xfId="8894"/>
    <cellStyle name="Percent 52" xfId="8895"/>
    <cellStyle name="Percent 53" xfId="8896"/>
    <cellStyle name="Percent 54" xfId="8897"/>
    <cellStyle name="Percent 55" xfId="8898"/>
    <cellStyle name="Percent 56" xfId="8899"/>
    <cellStyle name="Percent 57" xfId="8900"/>
    <cellStyle name="Percent 58" xfId="8901"/>
    <cellStyle name="Percent 59" xfId="8902"/>
    <cellStyle name="Percent 6" xfId="8903"/>
    <cellStyle name="Percent 6 2" xfId="8904"/>
    <cellStyle name="Percent 6 2 2" xfId="8905"/>
    <cellStyle name="Percent 6 2 2 2" xfId="8906"/>
    <cellStyle name="Percent 6 2 3" xfId="8907"/>
    <cellStyle name="Percent 6 3" xfId="8908"/>
    <cellStyle name="Percent 6 3 2" xfId="8909"/>
    <cellStyle name="Percent 6 4" xfId="8910"/>
    <cellStyle name="Percent 6 5" xfId="8911"/>
    <cellStyle name="Percent 60" xfId="8912"/>
    <cellStyle name="Percent 61" xfId="8913"/>
    <cellStyle name="Percent 62" xfId="8914"/>
    <cellStyle name="Percent 63" xfId="8915"/>
    <cellStyle name="Percent 64" xfId="8916"/>
    <cellStyle name="Percent 65" xfId="8917"/>
    <cellStyle name="Percent 66" xfId="8918"/>
    <cellStyle name="Percent 67" xfId="8919"/>
    <cellStyle name="Percent 68" xfId="8920"/>
    <cellStyle name="Percent 69" xfId="8921"/>
    <cellStyle name="Percent 7" xfId="8922"/>
    <cellStyle name="Percent 7 2" xfId="8923"/>
    <cellStyle name="Percent 7 2 2" xfId="8924"/>
    <cellStyle name="Percent 7 2 3" xfId="8925"/>
    <cellStyle name="Percent 7 3" xfId="8926"/>
    <cellStyle name="Percent 7 3 2" xfId="8927"/>
    <cellStyle name="Percent 7 3 3" xfId="8928"/>
    <cellStyle name="Percent 7 3 4" xfId="8929"/>
    <cellStyle name="Percent 7 4" xfId="8930"/>
    <cellStyle name="Percent 7 4 2" xfId="8931"/>
    <cellStyle name="Percent 7 5" xfId="8932"/>
    <cellStyle name="Percent 7 5 2" xfId="8933"/>
    <cellStyle name="Percent 7 6" xfId="8934"/>
    <cellStyle name="Percent 7 7" xfId="8935"/>
    <cellStyle name="Percent 7 8" xfId="8936"/>
    <cellStyle name="Percent 7 9" xfId="8937"/>
    <cellStyle name="Percent 70" xfId="8938"/>
    <cellStyle name="Percent 71" xfId="8939"/>
    <cellStyle name="Percent 72" xfId="8940"/>
    <cellStyle name="Percent 73" xfId="8941"/>
    <cellStyle name="Percent 74" xfId="8942"/>
    <cellStyle name="Percent 75" xfId="8943"/>
    <cellStyle name="Percent 76" xfId="8944"/>
    <cellStyle name="Percent 77" xfId="8945"/>
    <cellStyle name="Percent 78" xfId="8946"/>
    <cellStyle name="Percent 79" xfId="8947"/>
    <cellStyle name="Percent 8" xfId="8948"/>
    <cellStyle name="Percent 8 2" xfId="8949"/>
    <cellStyle name="Percent 8 2 2" xfId="8950"/>
    <cellStyle name="Percent 8 3" xfId="8951"/>
    <cellStyle name="Percent 80" xfId="8952"/>
    <cellStyle name="Percent 81" xfId="8953"/>
    <cellStyle name="Percent 82" xfId="8954"/>
    <cellStyle name="Percent 83" xfId="8955"/>
    <cellStyle name="Percent 84" xfId="8956"/>
    <cellStyle name="Percent 85" xfId="8957"/>
    <cellStyle name="Percent 86" xfId="8958"/>
    <cellStyle name="Percent 87" xfId="8959"/>
    <cellStyle name="Percent 88" xfId="8960"/>
    <cellStyle name="Percent 89" xfId="8961"/>
    <cellStyle name="Percent 9" xfId="8962"/>
    <cellStyle name="Percent 9 2" xfId="8963"/>
    <cellStyle name="Percent 9 2 2" xfId="8964"/>
    <cellStyle name="Percent 9 2 3" xfId="8965"/>
    <cellStyle name="Percent 9 3" xfId="8966"/>
    <cellStyle name="Percent 9 4" xfId="8967"/>
    <cellStyle name="Percent 90" xfId="8968"/>
    <cellStyle name="Percent 91" xfId="8969"/>
    <cellStyle name="Percent 92" xfId="8970"/>
    <cellStyle name="Percent 93" xfId="8971"/>
    <cellStyle name="Percent 94" xfId="8972"/>
    <cellStyle name="Percent 95" xfId="8973"/>
    <cellStyle name="Percent 96" xfId="8974"/>
    <cellStyle name="Percent 97" xfId="8975"/>
    <cellStyle name="Percent 98" xfId="8976"/>
    <cellStyle name="Percent 99" xfId="8977"/>
    <cellStyle name="Processing" xfId="8978"/>
    <cellStyle name="Processing 2" xfId="8979"/>
    <cellStyle name="Processing 2 2" xfId="8980"/>
    <cellStyle name="Processing 3" xfId="8981"/>
    <cellStyle name="Processing 4" xfId="8982"/>
    <cellStyle name="Processing_AURORA Total New" xfId="8983"/>
    <cellStyle name="PSChar" xfId="8984"/>
    <cellStyle name="PSChar 2" xfId="8985"/>
    <cellStyle name="PSChar 2 2" xfId="8986"/>
    <cellStyle name="PSChar 3" xfId="8987"/>
    <cellStyle name="PSChar 4" xfId="8988"/>
    <cellStyle name="PSDate" xfId="8989"/>
    <cellStyle name="PSDate 2" xfId="8990"/>
    <cellStyle name="PSDate 2 2" xfId="8991"/>
    <cellStyle name="PSDate 3" xfId="8992"/>
    <cellStyle name="PSDate 4" xfId="8993"/>
    <cellStyle name="PSDec" xfId="8994"/>
    <cellStyle name="PSDec 2" xfId="8995"/>
    <cellStyle name="PSDec 2 2" xfId="8996"/>
    <cellStyle name="PSDec 3" xfId="8997"/>
    <cellStyle name="PSDec 4" xfId="8998"/>
    <cellStyle name="PSHeading" xfId="8999"/>
    <cellStyle name="PSHeading 2" xfId="9000"/>
    <cellStyle name="PSHeading 2 2" xfId="9001"/>
    <cellStyle name="PSHeading 3" xfId="9002"/>
    <cellStyle name="PSHeading 4" xfId="9003"/>
    <cellStyle name="PSInt" xfId="9004"/>
    <cellStyle name="PSInt 2" xfId="9005"/>
    <cellStyle name="PSInt 2 2" xfId="9006"/>
    <cellStyle name="PSInt 3" xfId="9007"/>
    <cellStyle name="PSInt 4" xfId="9008"/>
    <cellStyle name="PSSpacer" xfId="9009"/>
    <cellStyle name="PSSpacer 2" xfId="9010"/>
    <cellStyle name="PSSpacer 2 2" xfId="9011"/>
    <cellStyle name="PSSpacer 3" xfId="9012"/>
    <cellStyle name="PSSpacer 4" xfId="9013"/>
    <cellStyle name="purple - Style8" xfId="9014"/>
    <cellStyle name="purple - Style8 2" xfId="9015"/>
    <cellStyle name="purple - Style8 2 2" xfId="9016"/>
    <cellStyle name="purple - Style8 3" xfId="9017"/>
    <cellStyle name="purple - Style8_ACCOUNTS" xfId="9018"/>
    <cellStyle name="RED" xfId="9019"/>
    <cellStyle name="Red - Style7" xfId="9020"/>
    <cellStyle name="Red - Style7 2" xfId="9021"/>
    <cellStyle name="Red - Style7 2 2" xfId="9022"/>
    <cellStyle name="Red - Style7 3" xfId="9023"/>
    <cellStyle name="Red - Style7_ACCOUNTS" xfId="9024"/>
    <cellStyle name="RED 10" xfId="9025"/>
    <cellStyle name="RED 11" xfId="9026"/>
    <cellStyle name="RED 12" xfId="9027"/>
    <cellStyle name="RED 13" xfId="9028"/>
    <cellStyle name="RED 14" xfId="9029"/>
    <cellStyle name="RED 15" xfId="9030"/>
    <cellStyle name="RED 16" xfId="9031"/>
    <cellStyle name="RED 17" xfId="9032"/>
    <cellStyle name="RED 18" xfId="9033"/>
    <cellStyle name="RED 19" xfId="9034"/>
    <cellStyle name="RED 2" xfId="9035"/>
    <cellStyle name="RED 2 2" xfId="9036"/>
    <cellStyle name="RED 20" xfId="9037"/>
    <cellStyle name="RED 21" xfId="9038"/>
    <cellStyle name="RED 22" xfId="9039"/>
    <cellStyle name="RED 23" xfId="9040"/>
    <cellStyle name="RED 24" xfId="9041"/>
    <cellStyle name="RED 3" xfId="9042"/>
    <cellStyle name="RED 4" xfId="9043"/>
    <cellStyle name="RED 5" xfId="9044"/>
    <cellStyle name="RED 6" xfId="9045"/>
    <cellStyle name="RED 7" xfId="9046"/>
    <cellStyle name="RED 8" xfId="9047"/>
    <cellStyle name="RED 9" xfId="9048"/>
    <cellStyle name="RED_04 07E Wild Horse Wind Expansion (C) (2)" xfId="9049"/>
    <cellStyle name="Report" xfId="9050"/>
    <cellStyle name="Report - Style5" xfId="9051"/>
    <cellStyle name="Report - Style6" xfId="9052"/>
    <cellStyle name="Report - Style7" xfId="9053"/>
    <cellStyle name="Report - Style8" xfId="9054"/>
    <cellStyle name="Report 2" xfId="9055"/>
    <cellStyle name="Report 2 2" xfId="9056"/>
    <cellStyle name="Report 3" xfId="9057"/>
    <cellStyle name="Report 4" xfId="9058"/>
    <cellStyle name="Report 5" xfId="9059"/>
    <cellStyle name="Report 6" xfId="9060"/>
    <cellStyle name="Report Bar" xfId="9061"/>
    <cellStyle name="Report Bar 2" xfId="9062"/>
    <cellStyle name="Report Bar 2 2" xfId="9063"/>
    <cellStyle name="Report Bar 3" xfId="9064"/>
    <cellStyle name="Report Bar 4" xfId="9065"/>
    <cellStyle name="Report Bar 5" xfId="9066"/>
    <cellStyle name="Report Bar_AURORA Total New" xfId="9067"/>
    <cellStyle name="Report Heading" xfId="9068"/>
    <cellStyle name="Report Heading 2" xfId="9069"/>
    <cellStyle name="Report Heading 3" xfId="9070"/>
    <cellStyle name="Report Heading 3 2" xfId="9507"/>
    <cellStyle name="Report Heading 4" xfId="9506"/>
    <cellStyle name="Report Heading_Electric Rev Req Model (2009 GRC) Rebuttal" xfId="9071"/>
    <cellStyle name="Report Percent" xfId="9072"/>
    <cellStyle name="Report Percent 2" xfId="9073"/>
    <cellStyle name="Report Percent 2 2" xfId="9074"/>
    <cellStyle name="Report Percent 2 2 2" xfId="9075"/>
    <cellStyle name="Report Percent 2 3" xfId="9076"/>
    <cellStyle name="Report Percent 3" xfId="9077"/>
    <cellStyle name="Report Percent 3 2" xfId="9078"/>
    <cellStyle name="Report Percent 3 2 2" xfId="9079"/>
    <cellStyle name="Report Percent 3 3" xfId="9080"/>
    <cellStyle name="Report Percent 3 3 2" xfId="9081"/>
    <cellStyle name="Report Percent 3 4" xfId="9082"/>
    <cellStyle name="Report Percent 3 4 2" xfId="9083"/>
    <cellStyle name="Report Percent 4" xfId="9084"/>
    <cellStyle name="Report Percent 4 2" xfId="9085"/>
    <cellStyle name="Report Percent 5" xfId="9086"/>
    <cellStyle name="Report Percent 6" xfId="9087"/>
    <cellStyle name="Report Percent 7" xfId="9088"/>
    <cellStyle name="Report Percent_ACCOUNTS" xfId="9089"/>
    <cellStyle name="Report Unit Cost" xfId="9090"/>
    <cellStyle name="Report Unit Cost 2" xfId="9091"/>
    <cellStyle name="Report Unit Cost 2 2" xfId="9092"/>
    <cellStyle name="Report Unit Cost 2 2 2" xfId="9093"/>
    <cellStyle name="Report Unit Cost 2 3" xfId="9094"/>
    <cellStyle name="Report Unit Cost 3" xfId="9095"/>
    <cellStyle name="Report Unit Cost 3 2" xfId="9096"/>
    <cellStyle name="Report Unit Cost 3 2 2" xfId="9097"/>
    <cellStyle name="Report Unit Cost 3 3" xfId="9098"/>
    <cellStyle name="Report Unit Cost 3 3 2" xfId="9099"/>
    <cellStyle name="Report Unit Cost 3 4" xfId="9100"/>
    <cellStyle name="Report Unit Cost 3 4 2" xfId="9101"/>
    <cellStyle name="Report Unit Cost 4" xfId="9102"/>
    <cellStyle name="Report Unit Cost 4 2" xfId="9103"/>
    <cellStyle name="Report Unit Cost 5" xfId="9104"/>
    <cellStyle name="Report Unit Cost 6" xfId="9105"/>
    <cellStyle name="Report Unit Cost 7" xfId="9106"/>
    <cellStyle name="Report Unit Cost_ACCOUNTS" xfId="9107"/>
    <cellStyle name="Report_Adj Bench DR 3 for Initial Briefs (Electric)" xfId="9108"/>
    <cellStyle name="Reports" xfId="9109"/>
    <cellStyle name="Reports 2" xfId="9110"/>
    <cellStyle name="Reports 3" xfId="9111"/>
    <cellStyle name="Reports Total" xfId="9112"/>
    <cellStyle name="Reports Total 2" xfId="9113"/>
    <cellStyle name="Reports Total 2 2" xfId="9114"/>
    <cellStyle name="Reports Total 3" xfId="9115"/>
    <cellStyle name="Reports Total 4" xfId="9116"/>
    <cellStyle name="Reports Total 5" xfId="9117"/>
    <cellStyle name="Reports Total_AURORA Total New" xfId="9118"/>
    <cellStyle name="Reports Unit Cost Total" xfId="9119"/>
    <cellStyle name="Reports Unit Cost Total 2" xfId="9120"/>
    <cellStyle name="Reports Unit Cost Total 3" xfId="9121"/>
    <cellStyle name="Reports_14.21G &amp; 16.28E Incentive Pay" xfId="9122"/>
    <cellStyle name="RevList" xfId="9123"/>
    <cellStyle name="RevList 2" xfId="9124"/>
    <cellStyle name="round100" xfId="9125"/>
    <cellStyle name="round100 2" xfId="9126"/>
    <cellStyle name="round100 2 2" xfId="9127"/>
    <cellStyle name="round100 2 2 2" xfId="9128"/>
    <cellStyle name="round100 2 3" xfId="9129"/>
    <cellStyle name="round100 3" xfId="9130"/>
    <cellStyle name="round100 3 2" xfId="9131"/>
    <cellStyle name="round100 3 2 2" xfId="9132"/>
    <cellStyle name="round100 3 3" xfId="9133"/>
    <cellStyle name="round100 3 3 2" xfId="9134"/>
    <cellStyle name="round100 3 4" xfId="9135"/>
    <cellStyle name="round100 3 4 2" xfId="9136"/>
    <cellStyle name="round100 4" xfId="9137"/>
    <cellStyle name="round100 4 2" xfId="9138"/>
    <cellStyle name="round100 5" xfId="9139"/>
    <cellStyle name="round100 6" xfId="9140"/>
    <cellStyle name="round100 7" xfId="9141"/>
    <cellStyle name="SAPBEXaggData" xfId="9142"/>
    <cellStyle name="SAPBEXaggData 2" xfId="9143"/>
    <cellStyle name="SAPBEXaggData 3" xfId="9144"/>
    <cellStyle name="SAPBEXaggDataEmph" xfId="9145"/>
    <cellStyle name="SAPBEXaggDataEmph 2" xfId="9146"/>
    <cellStyle name="SAPBEXaggDataEmph 3" xfId="9147"/>
    <cellStyle name="SAPBEXaggItem" xfId="9148"/>
    <cellStyle name="SAPBEXaggItem 2" xfId="9149"/>
    <cellStyle name="SAPBEXaggItem 3" xfId="9150"/>
    <cellStyle name="SAPBEXaggItemX" xfId="9151"/>
    <cellStyle name="SAPBEXaggItemX 2" xfId="9152"/>
    <cellStyle name="SAPBEXaggItemX 3" xfId="9153"/>
    <cellStyle name="SAPBEXchaText" xfId="9154"/>
    <cellStyle name="SAPBEXchaText 2" xfId="9155"/>
    <cellStyle name="SAPBEXchaText 2 2" xfId="9156"/>
    <cellStyle name="SAPBEXchaText 2 2 2" xfId="9157"/>
    <cellStyle name="SAPBEXchaText 2 3" xfId="9158"/>
    <cellStyle name="SAPBEXchaText 3" xfId="9159"/>
    <cellStyle name="SAPBEXchaText 3 2" xfId="9160"/>
    <cellStyle name="SAPBEXchaText 3 2 2" xfId="9161"/>
    <cellStyle name="SAPBEXchaText 3 3" xfId="9162"/>
    <cellStyle name="SAPBEXchaText 3 3 2" xfId="9163"/>
    <cellStyle name="SAPBEXchaText 3 4" xfId="9164"/>
    <cellStyle name="SAPBEXchaText 3 4 2" xfId="9165"/>
    <cellStyle name="SAPBEXchaText 4" xfId="9166"/>
    <cellStyle name="SAPBEXchaText 4 2" xfId="9167"/>
    <cellStyle name="SAPBEXchaText 5" xfId="9168"/>
    <cellStyle name="SAPBEXchaText 6" xfId="9169"/>
    <cellStyle name="SAPBEXchaText 7" xfId="9170"/>
    <cellStyle name="SAPBEXchaText 8" xfId="9171"/>
    <cellStyle name="SAPBEXchaText 9" xfId="9172"/>
    <cellStyle name="SAPBEXexcBad7" xfId="9173"/>
    <cellStyle name="SAPBEXexcBad7 2" xfId="9174"/>
    <cellStyle name="SAPBEXexcBad7 3" xfId="9175"/>
    <cellStyle name="SAPBEXexcBad8" xfId="9176"/>
    <cellStyle name="SAPBEXexcBad8 2" xfId="9177"/>
    <cellStyle name="SAPBEXexcBad8 3" xfId="9178"/>
    <cellStyle name="SAPBEXexcBad9" xfId="9179"/>
    <cellStyle name="SAPBEXexcBad9 2" xfId="9180"/>
    <cellStyle name="SAPBEXexcBad9 3" xfId="9181"/>
    <cellStyle name="SAPBEXexcCritical4" xfId="9182"/>
    <cellStyle name="SAPBEXexcCritical4 2" xfId="9183"/>
    <cellStyle name="SAPBEXexcCritical4 3" xfId="9184"/>
    <cellStyle name="SAPBEXexcCritical5" xfId="9185"/>
    <cellStyle name="SAPBEXexcCritical5 2" xfId="9186"/>
    <cellStyle name="SAPBEXexcCritical5 3" xfId="9187"/>
    <cellStyle name="SAPBEXexcCritical6" xfId="9188"/>
    <cellStyle name="SAPBEXexcCritical6 2" xfId="9189"/>
    <cellStyle name="SAPBEXexcCritical6 3" xfId="9190"/>
    <cellStyle name="SAPBEXexcGood1" xfId="9191"/>
    <cellStyle name="SAPBEXexcGood1 2" xfId="9192"/>
    <cellStyle name="SAPBEXexcGood1 3" xfId="9193"/>
    <cellStyle name="SAPBEXexcGood2" xfId="9194"/>
    <cellStyle name="SAPBEXexcGood2 2" xfId="9195"/>
    <cellStyle name="SAPBEXexcGood2 3" xfId="9196"/>
    <cellStyle name="SAPBEXexcGood3" xfId="9197"/>
    <cellStyle name="SAPBEXexcGood3 2" xfId="9198"/>
    <cellStyle name="SAPBEXexcGood3 3" xfId="9199"/>
    <cellStyle name="SAPBEXfilterDrill" xfId="9200"/>
    <cellStyle name="SAPBEXfilterDrill 2" xfId="9201"/>
    <cellStyle name="SAPBEXfilterDrill 3" xfId="9202"/>
    <cellStyle name="SAPBEXfilterDrill 4" xfId="9203"/>
    <cellStyle name="SAPBEXfilterItem" xfId="9204"/>
    <cellStyle name="SAPBEXfilterItem 2" xfId="9205"/>
    <cellStyle name="SAPBEXfilterItem 3" xfId="9206"/>
    <cellStyle name="SAPBEXfilterText" xfId="9207"/>
    <cellStyle name="SAPBEXfilterText 2" xfId="9208"/>
    <cellStyle name="SAPBEXfilterText 3" xfId="9209"/>
    <cellStyle name="SAPBEXformats" xfId="9210"/>
    <cellStyle name="SAPBEXformats 2" xfId="9211"/>
    <cellStyle name="SAPBEXformats 2 2" xfId="9212"/>
    <cellStyle name="SAPBEXformats 3" xfId="9213"/>
    <cellStyle name="SAPBEXformats 4" xfId="9214"/>
    <cellStyle name="SAPBEXheaderItem" xfId="9215"/>
    <cellStyle name="SAPBEXheaderItem 2" xfId="9216"/>
    <cellStyle name="SAPBEXheaderItem 3" xfId="9217"/>
    <cellStyle name="SAPBEXheaderItem 4" xfId="9218"/>
    <cellStyle name="SAPBEXheaderText" xfId="9219"/>
    <cellStyle name="SAPBEXheaderText 2" xfId="9220"/>
    <cellStyle name="SAPBEXheaderText 3" xfId="9221"/>
    <cellStyle name="SAPBEXheaderText 4" xfId="9222"/>
    <cellStyle name="SAPBEXHLevel0" xfId="9223"/>
    <cellStyle name="SAPBEXHLevel0 2" xfId="9224"/>
    <cellStyle name="SAPBEXHLevel0 2 2" xfId="9225"/>
    <cellStyle name="SAPBEXHLevel0 3" xfId="9226"/>
    <cellStyle name="SAPBEXHLevel0 4" xfId="9227"/>
    <cellStyle name="SAPBEXHLevel0X" xfId="9228"/>
    <cellStyle name="SAPBEXHLevel0X 2" xfId="9229"/>
    <cellStyle name="SAPBEXHLevel0X 2 2" xfId="9230"/>
    <cellStyle name="SAPBEXHLevel0X 2 2 2" xfId="9231"/>
    <cellStyle name="SAPBEXHLevel0X 2 3" xfId="9232"/>
    <cellStyle name="SAPBEXHLevel0X 3" xfId="9233"/>
    <cellStyle name="SAPBEXHLevel0X 3 2" xfId="9234"/>
    <cellStyle name="SAPBEXHLevel0X 3 2 2" xfId="9235"/>
    <cellStyle name="SAPBEXHLevel0X 3 3" xfId="9236"/>
    <cellStyle name="SAPBEXHLevel0X 3 3 2" xfId="9237"/>
    <cellStyle name="SAPBEXHLevel0X 3 4" xfId="9238"/>
    <cellStyle name="SAPBEXHLevel0X 3 4 2" xfId="9239"/>
    <cellStyle name="SAPBEXHLevel0X 4" xfId="9240"/>
    <cellStyle name="SAPBEXHLevel0X 4 2" xfId="9241"/>
    <cellStyle name="SAPBEXHLevel0X 5" xfId="9242"/>
    <cellStyle name="SAPBEXHLevel0X 6" xfId="9243"/>
    <cellStyle name="SAPBEXHLevel0X 7" xfId="9244"/>
    <cellStyle name="SAPBEXHLevel0X 8" xfId="9245"/>
    <cellStyle name="SAPBEXHLevel1" xfId="9246"/>
    <cellStyle name="SAPBEXHLevel1 2" xfId="9247"/>
    <cellStyle name="SAPBEXHLevel1 2 2" xfId="9248"/>
    <cellStyle name="SAPBEXHLevel1 3" xfId="9249"/>
    <cellStyle name="SAPBEXHLevel1 4" xfId="9250"/>
    <cellStyle name="SAPBEXHLevel1X" xfId="9251"/>
    <cellStyle name="SAPBEXHLevel1X 2" xfId="9252"/>
    <cellStyle name="SAPBEXHLevel1X 2 2" xfId="9253"/>
    <cellStyle name="SAPBEXHLevel1X 3" xfId="9254"/>
    <cellStyle name="SAPBEXHLevel1X 4" xfId="9255"/>
    <cellStyle name="SAPBEXHLevel2" xfId="9256"/>
    <cellStyle name="SAPBEXHLevel2 2" xfId="9257"/>
    <cellStyle name="SAPBEXHLevel2 2 2" xfId="9258"/>
    <cellStyle name="SAPBEXHLevel2 3" xfId="9259"/>
    <cellStyle name="SAPBEXHLevel2 4" xfId="9260"/>
    <cellStyle name="SAPBEXHLevel2X" xfId="9261"/>
    <cellStyle name="SAPBEXHLevel2X 2" xfId="9262"/>
    <cellStyle name="SAPBEXHLevel2X 2 2" xfId="9263"/>
    <cellStyle name="SAPBEXHLevel2X 3" xfId="9264"/>
    <cellStyle name="SAPBEXHLevel2X 4" xfId="9265"/>
    <cellStyle name="SAPBEXHLevel3" xfId="9266"/>
    <cellStyle name="SAPBEXHLevel3 2" xfId="9267"/>
    <cellStyle name="SAPBEXHLevel3 2 2" xfId="9268"/>
    <cellStyle name="SAPBEXHLevel3 3" xfId="9269"/>
    <cellStyle name="SAPBEXHLevel3 4" xfId="9270"/>
    <cellStyle name="SAPBEXHLevel3X" xfId="9271"/>
    <cellStyle name="SAPBEXHLevel3X 2" xfId="9272"/>
    <cellStyle name="SAPBEXHLevel3X 2 2" xfId="9273"/>
    <cellStyle name="SAPBEXHLevel3X 3" xfId="9274"/>
    <cellStyle name="SAPBEXHLevel3X 4" xfId="9275"/>
    <cellStyle name="SAPBEXinputData" xfId="9276"/>
    <cellStyle name="SAPBEXinputData 2" xfId="9277"/>
    <cellStyle name="SAPBEXinputData 2 2" xfId="9278"/>
    <cellStyle name="SAPBEXinputData 3" xfId="9279"/>
    <cellStyle name="SAPBEXItemHeader" xfId="9280"/>
    <cellStyle name="SAPBEXresData" xfId="9281"/>
    <cellStyle name="SAPBEXresData 2" xfId="9282"/>
    <cellStyle name="SAPBEXresData 3" xfId="9283"/>
    <cellStyle name="SAPBEXresDataEmph" xfId="9284"/>
    <cellStyle name="SAPBEXresDataEmph 2" xfId="9285"/>
    <cellStyle name="SAPBEXresDataEmph 3" xfId="9286"/>
    <cellStyle name="SAPBEXresItem" xfId="9287"/>
    <cellStyle name="SAPBEXresItem 2" xfId="9288"/>
    <cellStyle name="SAPBEXresItem 3" xfId="9289"/>
    <cellStyle name="SAPBEXresItemX" xfId="9290"/>
    <cellStyle name="SAPBEXresItemX 2" xfId="9291"/>
    <cellStyle name="SAPBEXresItemX 3" xfId="9292"/>
    <cellStyle name="SAPBEXstdData" xfId="9293"/>
    <cellStyle name="SAPBEXstdData 2" xfId="9294"/>
    <cellStyle name="SAPBEXstdData 3" xfId="9295"/>
    <cellStyle name="SAPBEXstdData 4" xfId="9296"/>
    <cellStyle name="SAPBEXstdDataEmph" xfId="9297"/>
    <cellStyle name="SAPBEXstdDataEmph 2" xfId="9298"/>
    <cellStyle name="SAPBEXstdDataEmph 3" xfId="9299"/>
    <cellStyle name="SAPBEXstdItem" xfId="9300"/>
    <cellStyle name="SAPBEXstdItem 2" xfId="9301"/>
    <cellStyle name="SAPBEXstdItem 2 2" xfId="9302"/>
    <cellStyle name="SAPBEXstdItem 2 2 2" xfId="9303"/>
    <cellStyle name="SAPBEXstdItem 2 3" xfId="9304"/>
    <cellStyle name="SAPBEXstdItem 3" xfId="9305"/>
    <cellStyle name="SAPBEXstdItem 3 2" xfId="9306"/>
    <cellStyle name="SAPBEXstdItem 3 2 2" xfId="9307"/>
    <cellStyle name="SAPBEXstdItem 3 3" xfId="9308"/>
    <cellStyle name="SAPBEXstdItem 3 3 2" xfId="9309"/>
    <cellStyle name="SAPBEXstdItem 3 4" xfId="9310"/>
    <cellStyle name="SAPBEXstdItem 3 4 2" xfId="9311"/>
    <cellStyle name="SAPBEXstdItem 4" xfId="9312"/>
    <cellStyle name="SAPBEXstdItem 4 2" xfId="9313"/>
    <cellStyle name="SAPBEXstdItem 5" xfId="9314"/>
    <cellStyle name="SAPBEXstdItem 6" xfId="9315"/>
    <cellStyle name="SAPBEXstdItem 7" xfId="9316"/>
    <cellStyle name="SAPBEXstdItem 8" xfId="9317"/>
    <cellStyle name="SAPBEXstdItemX" xfId="9318"/>
    <cellStyle name="SAPBEXstdItemX 2" xfId="9319"/>
    <cellStyle name="SAPBEXstdItemX 2 2" xfId="9320"/>
    <cellStyle name="SAPBEXstdItemX 2 2 2" xfId="9321"/>
    <cellStyle name="SAPBEXstdItemX 2 3" xfId="9322"/>
    <cellStyle name="SAPBEXstdItemX 3" xfId="9323"/>
    <cellStyle name="SAPBEXstdItemX 3 2" xfId="9324"/>
    <cellStyle name="SAPBEXstdItemX 3 2 2" xfId="9325"/>
    <cellStyle name="SAPBEXstdItemX 3 3" xfId="9326"/>
    <cellStyle name="SAPBEXstdItemX 3 3 2" xfId="9327"/>
    <cellStyle name="SAPBEXstdItemX 3 4" xfId="9328"/>
    <cellStyle name="SAPBEXstdItemX 3 4 2" xfId="9329"/>
    <cellStyle name="SAPBEXstdItemX 4" xfId="9330"/>
    <cellStyle name="SAPBEXstdItemX 4 2" xfId="9331"/>
    <cellStyle name="SAPBEXstdItemX 5" xfId="9332"/>
    <cellStyle name="SAPBEXstdItemX 6" xfId="9333"/>
    <cellStyle name="SAPBEXstdItemX 7" xfId="9334"/>
    <cellStyle name="SAPBEXstdItemX 8" xfId="9335"/>
    <cellStyle name="SAPBEXtitle" xfId="9336"/>
    <cellStyle name="SAPBEXtitle 2" xfId="9337"/>
    <cellStyle name="SAPBEXtitle 3" xfId="9338"/>
    <cellStyle name="SAPBEXunassignedItem" xfId="9339"/>
    <cellStyle name="SAPBEXundefined" xfId="9340"/>
    <cellStyle name="SAPBEXundefined 2" xfId="9341"/>
    <cellStyle name="SAPBEXundefined 3" xfId="9342"/>
    <cellStyle name="shade" xfId="9343"/>
    <cellStyle name="shade 2" xfId="9344"/>
    <cellStyle name="shade 2 2" xfId="9345"/>
    <cellStyle name="shade 2 2 2" xfId="9346"/>
    <cellStyle name="shade 2 3" xfId="9347"/>
    <cellStyle name="shade 3" xfId="9348"/>
    <cellStyle name="shade 3 2" xfId="9349"/>
    <cellStyle name="shade 3 2 2" xfId="9350"/>
    <cellStyle name="shade 3 3" xfId="9351"/>
    <cellStyle name="shade 3 3 2" xfId="9352"/>
    <cellStyle name="shade 3 4" xfId="9353"/>
    <cellStyle name="shade 3 4 2" xfId="9354"/>
    <cellStyle name="shade 4" xfId="9355"/>
    <cellStyle name="shade 4 2" xfId="9356"/>
    <cellStyle name="shade 5" xfId="9357"/>
    <cellStyle name="shade 6" xfId="9358"/>
    <cellStyle name="shade 7" xfId="9359"/>
    <cellStyle name="shade_ACCOUNTS" xfId="9360"/>
    <cellStyle name="Sheet Title" xfId="9361"/>
    <cellStyle name="StmtTtl1" xfId="9362"/>
    <cellStyle name="StmtTtl1 2" xfId="9363"/>
    <cellStyle name="StmtTtl1 2 2" xfId="9364"/>
    <cellStyle name="StmtTtl1 2 3" xfId="9365"/>
    <cellStyle name="StmtTtl1 2 4" xfId="9366"/>
    <cellStyle name="StmtTtl1 3" xfId="9367"/>
    <cellStyle name="StmtTtl1 3 2" xfId="9368"/>
    <cellStyle name="StmtTtl1 3 3" xfId="9369"/>
    <cellStyle name="StmtTtl1 3 4" xfId="9370"/>
    <cellStyle name="StmtTtl1 4" xfId="9371"/>
    <cellStyle name="StmtTtl1 4 2" xfId="9372"/>
    <cellStyle name="StmtTtl1 4 3" xfId="9373"/>
    <cellStyle name="StmtTtl1 4 4" xfId="9374"/>
    <cellStyle name="StmtTtl1 5" xfId="9375"/>
    <cellStyle name="StmtTtl1 5 2" xfId="9376"/>
    <cellStyle name="StmtTtl1 6" xfId="9377"/>
    <cellStyle name="StmtTtl1 6 2" xfId="9378"/>
    <cellStyle name="StmtTtl1 7" xfId="9379"/>
    <cellStyle name="StmtTtl1 8" xfId="9380"/>
    <cellStyle name="StmtTtl1_(C) WHE Proforma with ITC cash grant 10 Yr Amort_for deferral_102809" xfId="9381"/>
    <cellStyle name="StmtTtl2" xfId="9382"/>
    <cellStyle name="StmtTtl2 2" xfId="9383"/>
    <cellStyle name="StmtTtl2 2 2" xfId="9384"/>
    <cellStyle name="StmtTtl2 3" xfId="9385"/>
    <cellStyle name="StmtTtl2 3 2" xfId="9386"/>
    <cellStyle name="StmtTtl2 4" xfId="9387"/>
    <cellStyle name="StmtTtl2 5" xfId="9388"/>
    <cellStyle name="StmtTtl2 6" xfId="9389"/>
    <cellStyle name="StmtTtl2 7" xfId="9390"/>
    <cellStyle name="StmtTtl2 8" xfId="9391"/>
    <cellStyle name="StmtTtl2 9" xfId="9392"/>
    <cellStyle name="StmtTtl2_4.32E Depreciation Study Robs file" xfId="9393"/>
    <cellStyle name="STYL1 - Style1" xfId="9394"/>
    <cellStyle name="STYL1 - Style1 2" xfId="9395"/>
    <cellStyle name="Style 1" xfId="9396"/>
    <cellStyle name="Style 1 10" xfId="9397"/>
    <cellStyle name="Style 1 11" xfId="9398"/>
    <cellStyle name="Style 1 2" xfId="9399"/>
    <cellStyle name="Style 1 2 2" xfId="9400"/>
    <cellStyle name="Style 1 2 2 2" xfId="9401"/>
    <cellStyle name="Style 1 2 3" xfId="9402"/>
    <cellStyle name="Style 1 2 4" xfId="9403"/>
    <cellStyle name="Style 1 2 5" xfId="9404"/>
    <cellStyle name="Style 1 2 6" xfId="9405"/>
    <cellStyle name="Style 1 2_Chelan PUD Power Costs (8-10)" xfId="9406"/>
    <cellStyle name="Style 1 3" xfId="9407"/>
    <cellStyle name="Style 1 3 2" xfId="9408"/>
    <cellStyle name="Style 1 3 2 2" xfId="9409"/>
    <cellStyle name="Style 1 3 2 3" xfId="9410"/>
    <cellStyle name="Style 1 3 3" xfId="9411"/>
    <cellStyle name="Style 1 3 3 2" xfId="9412"/>
    <cellStyle name="Style 1 3 4" xfId="9413"/>
    <cellStyle name="Style 1 3 5" xfId="9414"/>
    <cellStyle name="Style 1 4" xfId="9415"/>
    <cellStyle name="Style 1 4 2" xfId="9416"/>
    <cellStyle name="Style 1 4 2 2" xfId="9417"/>
    <cellStyle name="Style 1 4 3" xfId="9418"/>
    <cellStyle name="Style 1 4 4" xfId="9419"/>
    <cellStyle name="Style 1 5" xfId="9420"/>
    <cellStyle name="Style 1 5 2" xfId="9421"/>
    <cellStyle name="Style 1 5 2 2" xfId="9422"/>
    <cellStyle name="Style 1 5 3" xfId="9423"/>
    <cellStyle name="Style 1 5 4" xfId="9424"/>
    <cellStyle name="Style 1 6" xfId="9425"/>
    <cellStyle name="Style 1 6 2" xfId="9426"/>
    <cellStyle name="Style 1 6 2 2" xfId="9427"/>
    <cellStyle name="Style 1 6 2 3" xfId="9428"/>
    <cellStyle name="Style 1 6 3" xfId="9429"/>
    <cellStyle name="Style 1 6 3 2" xfId="9430"/>
    <cellStyle name="Style 1 6 4" xfId="9431"/>
    <cellStyle name="Style 1 6 4 2" xfId="9432"/>
    <cellStyle name="Style 1 6 5" xfId="9433"/>
    <cellStyle name="Style 1 6 5 2" xfId="9434"/>
    <cellStyle name="Style 1 6 6" xfId="9435"/>
    <cellStyle name="Style 1 7" xfId="9436"/>
    <cellStyle name="Style 1 8" xfId="9437"/>
    <cellStyle name="Style 1 9" xfId="9438"/>
    <cellStyle name="Style 1_ Price Inputs" xfId="9439"/>
    <cellStyle name="STYLE1" xfId="9440"/>
    <cellStyle name="STYLE2" xfId="9441"/>
    <cellStyle name="STYLE3" xfId="9442"/>
    <cellStyle name="sub-tl - Style3" xfId="9443"/>
    <cellStyle name="subtot - Style5" xfId="9444"/>
    <cellStyle name="Subtotal" xfId="9445"/>
    <cellStyle name="Sub-total" xfId="9446"/>
    <cellStyle name="Subtotal 2" xfId="9447"/>
    <cellStyle name="Sub-total 2" xfId="9448"/>
    <cellStyle name="Subtotal 3" xfId="9449"/>
    <cellStyle name="Sub-total 3" xfId="9450"/>
    <cellStyle name="taples Plaza" xfId="9451"/>
    <cellStyle name="Test" xfId="9452"/>
    <cellStyle name="Tickmark" xfId="9453"/>
    <cellStyle name="Title 2" xfId="9454"/>
    <cellStyle name="Title 2 2" xfId="9455"/>
    <cellStyle name="Title 2 2 2" xfId="9456"/>
    <cellStyle name="Title 2 3" xfId="9457"/>
    <cellStyle name="Title 3" xfId="9458"/>
    <cellStyle name="Title 3 2" xfId="9459"/>
    <cellStyle name="Title 3 3" xfId="9460"/>
    <cellStyle name="Title 3 4" xfId="9461"/>
    <cellStyle name="Title 4" xfId="9462"/>
    <cellStyle name="Title 5" xfId="9463"/>
    <cellStyle name="Title 6" xfId="9464"/>
    <cellStyle name="Title: - Style3" xfId="9465"/>
    <cellStyle name="Title: - Style4" xfId="9466"/>
    <cellStyle name="Title: Major" xfId="9467"/>
    <cellStyle name="Title: Major 2" xfId="9468"/>
    <cellStyle name="Title: Major 3" xfId="9469"/>
    <cellStyle name="Title: Minor" xfId="9470"/>
    <cellStyle name="Title: Minor 2" xfId="9471"/>
    <cellStyle name="Title: Minor 3" xfId="9472"/>
    <cellStyle name="Title: Minor_Electric Rev Req Model (2009 GRC) Rebuttal" xfId="9473"/>
    <cellStyle name="Title: Worksheet" xfId="9474"/>
    <cellStyle name="Title: Worksheet 2" xfId="9475"/>
    <cellStyle name="Total 2" xfId="9476"/>
    <cellStyle name="Total 2 2" xfId="9477"/>
    <cellStyle name="Total 2 2 2" xfId="9478"/>
    <cellStyle name="Total 2 2 3" xfId="9479"/>
    <cellStyle name="Total 2 3" xfId="9480"/>
    <cellStyle name="Total 2 3 2" xfId="9481"/>
    <cellStyle name="Total 2 3 3" xfId="9482"/>
    <cellStyle name="Total 2 3 4" xfId="9483"/>
    <cellStyle name="Total 2 4" xfId="9484"/>
    <cellStyle name="Total 3" xfId="9485"/>
    <cellStyle name="Total 3 2" xfId="9486"/>
    <cellStyle name="Total 3 3" xfId="9487"/>
    <cellStyle name="Total 3 4" xfId="9488"/>
    <cellStyle name="Total 4" xfId="9489"/>
    <cellStyle name="Total 4 2" xfId="9490"/>
    <cellStyle name="Total 5" xfId="9491"/>
    <cellStyle name="Total 6" xfId="9492"/>
    <cellStyle name="Total 9" xfId="9493"/>
    <cellStyle name="Total 9 2" xfId="9494"/>
    <cellStyle name="Total4 - Style4" xfId="9495"/>
    <cellStyle name="Total4 - Style4 2" xfId="9496"/>
    <cellStyle name="Total4 - Style4 2 2" xfId="9497"/>
    <cellStyle name="Total4 - Style4 3" xfId="9498"/>
    <cellStyle name="Total4 - Style4_ACCOUNTS" xfId="9499"/>
    <cellStyle name="Warning Text 2" xfId="9500"/>
    <cellStyle name="Warning Text 2 2" xfId="9501"/>
    <cellStyle name="Warning Text 2 2 2" xfId="9502"/>
    <cellStyle name="Warning Text 2 3" xfId="9503"/>
    <cellStyle name="Warning Text 3" xfId="9504"/>
    <cellStyle name="Warning Text 4" xfId="95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7" Type="http://schemas.openxmlformats.org/officeDocument/2006/relationships/worksheet" Target="worksheets/sheet7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1"/>
  <sheetViews>
    <sheetView tabSelected="1" zoomScaleNormal="100" workbookViewId="0">
      <pane xSplit="3" ySplit="8" topLeftCell="D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4.85546875" style="1" bestFit="1" customWidth="1"/>
    <col min="17" max="18" width="12.28515625" style="1" customWidth="1"/>
    <col min="19" max="16384" width="9.140625" style="1"/>
  </cols>
  <sheetData>
    <row r="1" spans="1:2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2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21">
      <c r="A3" s="81" t="s">
        <v>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21" ht="15">
      <c r="A4" s="80" t="s">
        <v>41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</row>
    <row r="5" spans="1:21" ht="15">
      <c r="A5" s="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5" t="s">
        <v>40</v>
      </c>
      <c r="B7" s="34"/>
      <c r="C7" s="33" t="s">
        <v>39</v>
      </c>
      <c r="D7" s="32">
        <v>41275</v>
      </c>
      <c r="E7" s="32">
        <f t="shared" ref="E7:O7" si="0">EDATE(D7,1)</f>
        <v>41306</v>
      </c>
      <c r="F7" s="32">
        <f t="shared" si="0"/>
        <v>41334</v>
      </c>
      <c r="G7" s="32">
        <f t="shared" si="0"/>
        <v>41365</v>
      </c>
      <c r="H7" s="32">
        <f t="shared" si="0"/>
        <v>41395</v>
      </c>
      <c r="I7" s="32">
        <f t="shared" si="0"/>
        <v>41426</v>
      </c>
      <c r="J7" s="32">
        <f t="shared" si="0"/>
        <v>41456</v>
      </c>
      <c r="K7" s="32">
        <f t="shared" si="0"/>
        <v>41487</v>
      </c>
      <c r="L7" s="32">
        <f t="shared" si="0"/>
        <v>41518</v>
      </c>
      <c r="M7" s="32">
        <f t="shared" si="0"/>
        <v>41548</v>
      </c>
      <c r="N7" s="32">
        <f t="shared" si="0"/>
        <v>41579</v>
      </c>
      <c r="O7" s="32">
        <f t="shared" si="0"/>
        <v>41609</v>
      </c>
      <c r="P7" s="32" t="s">
        <v>38</v>
      </c>
      <c r="Q7" s="31"/>
      <c r="R7" s="31"/>
      <c r="S7" s="30"/>
      <c r="T7" s="30"/>
      <c r="U7" s="30"/>
    </row>
    <row r="8" spans="1:21">
      <c r="A8" s="5"/>
      <c r="B8" s="7" t="s">
        <v>37</v>
      </c>
      <c r="C8" s="7" t="s">
        <v>36</v>
      </c>
      <c r="D8" s="7" t="s">
        <v>35</v>
      </c>
      <c r="E8" s="7" t="s">
        <v>34</v>
      </c>
      <c r="F8" s="7" t="s">
        <v>33</v>
      </c>
      <c r="G8" s="7" t="s">
        <v>32</v>
      </c>
      <c r="H8" s="7" t="s">
        <v>31</v>
      </c>
      <c r="I8" s="7" t="s">
        <v>30</v>
      </c>
      <c r="J8" s="7" t="s">
        <v>29</v>
      </c>
      <c r="K8" s="7" t="s">
        <v>28</v>
      </c>
      <c r="L8" s="7" t="s">
        <v>27</v>
      </c>
      <c r="M8" s="7" t="s">
        <v>26</v>
      </c>
      <c r="N8" s="7" t="s">
        <v>25</v>
      </c>
      <c r="O8" s="7" t="s">
        <v>24</v>
      </c>
      <c r="P8" s="7" t="s">
        <v>23</v>
      </c>
    </row>
    <row r="9" spans="1:2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1">
      <c r="A10" s="5">
        <v>1</v>
      </c>
      <c r="B10" s="9" t="s">
        <v>22</v>
      </c>
      <c r="C10" s="7" t="s">
        <v>17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952354</v>
      </c>
      <c r="K10" s="25">
        <v>952722</v>
      </c>
      <c r="L10" s="25">
        <v>953462</v>
      </c>
      <c r="M10" s="25">
        <v>957934.61121634231</v>
      </c>
      <c r="N10" s="25">
        <v>959411.89257341856</v>
      </c>
      <c r="O10" s="25">
        <v>960734.53884798265</v>
      </c>
      <c r="P10" s="29"/>
      <c r="Q10" s="24"/>
      <c r="R10" s="24"/>
    </row>
    <row r="11" spans="1:21">
      <c r="A11" s="5">
        <f t="shared" ref="A11:A38" si="1">A10+1</f>
        <v>2</v>
      </c>
      <c r="B11" s="9" t="s">
        <v>21</v>
      </c>
      <c r="C11" s="23" t="s">
        <v>20</v>
      </c>
      <c r="D11" s="28">
        <v>0</v>
      </c>
      <c r="E11" s="28">
        <f>D11</f>
        <v>0</v>
      </c>
      <c r="F11" s="28">
        <f>E11</f>
        <v>0</v>
      </c>
      <c r="G11" s="28">
        <v>0</v>
      </c>
      <c r="H11" s="28">
        <v>0</v>
      </c>
      <c r="I11" s="28">
        <v>0</v>
      </c>
      <c r="J11" s="28">
        <v>18.972918396156935</v>
      </c>
      <c r="K11" s="28">
        <v>18.665183841349876</v>
      </c>
      <c r="L11" s="28">
        <v>18.85142494582961</v>
      </c>
      <c r="M11" s="28">
        <v>19.697466544692016</v>
      </c>
      <c r="N11" s="28">
        <v>26.275342499220987</v>
      </c>
      <c r="O11" s="28">
        <v>33.110890005585446</v>
      </c>
      <c r="P11" s="6"/>
      <c r="Q11" s="27"/>
      <c r="R11" s="27"/>
    </row>
    <row r="12" spans="1:21">
      <c r="A12" s="5">
        <f t="shared" si="1"/>
        <v>3</v>
      </c>
      <c r="B12" s="9" t="s">
        <v>19</v>
      </c>
      <c r="C12" s="7" t="str">
        <f>"("&amp;A10&amp;") x ("&amp;A11&amp;")"</f>
        <v>(1) x (2)</v>
      </c>
      <c r="D12" s="11">
        <f t="shared" ref="D12:O12" si="2">D10*D11</f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18068934.72625364</v>
      </c>
      <c r="K12" s="11">
        <f t="shared" si="2"/>
        <v>17782731.279698536</v>
      </c>
      <c r="L12" s="11">
        <f t="shared" si="2"/>
        <v>17974117.331700593</v>
      </c>
      <c r="M12" s="11">
        <f t="shared" si="2"/>
        <v>18868884.956436455</v>
      </c>
      <c r="N12" s="11">
        <f t="shared" si="2"/>
        <v>25208876.075192384</v>
      </c>
      <c r="O12" s="11">
        <f t="shared" si="2"/>
        <v>31810775.640362412</v>
      </c>
      <c r="P12" s="8">
        <f>SUM(D12:O12)</f>
        <v>129714320.00964403</v>
      </c>
      <c r="Q12" s="18"/>
      <c r="R12" s="18"/>
    </row>
    <row r="13" spans="1:21">
      <c r="A13" s="5">
        <f t="shared" si="1"/>
        <v>4</v>
      </c>
      <c r="B13" s="9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26"/>
      <c r="R13" s="26"/>
    </row>
    <row r="14" spans="1:21">
      <c r="A14" s="5">
        <f t="shared" si="1"/>
        <v>5</v>
      </c>
      <c r="B14" s="4" t="s">
        <v>18</v>
      </c>
      <c r="C14" s="7" t="s">
        <v>17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665611224</v>
      </c>
      <c r="K14" s="25">
        <v>679600818</v>
      </c>
      <c r="L14" s="25">
        <v>676788693</v>
      </c>
      <c r="M14" s="25">
        <v>701144000</v>
      </c>
      <c r="N14" s="25">
        <v>893594000</v>
      </c>
      <c r="O14" s="25">
        <v>1127425000</v>
      </c>
      <c r="P14" s="9"/>
      <c r="Q14" s="24"/>
      <c r="R14" s="24"/>
    </row>
    <row r="15" spans="1:21">
      <c r="A15" s="5">
        <f t="shared" si="1"/>
        <v>6</v>
      </c>
      <c r="B15" s="9" t="s">
        <v>16</v>
      </c>
      <c r="C15" s="23" t="s">
        <v>6</v>
      </c>
      <c r="D15" s="22">
        <v>0</v>
      </c>
      <c r="E15" s="22">
        <f>$D$15</f>
        <v>0</v>
      </c>
      <c r="F15" s="22">
        <f>$D$15</f>
        <v>0</v>
      </c>
      <c r="G15" s="21">
        <v>0</v>
      </c>
      <c r="H15" s="21">
        <v>0</v>
      </c>
      <c r="I15" s="21">
        <v>0</v>
      </c>
      <c r="J15" s="21">
        <v>2.7555E-2</v>
      </c>
      <c r="K15" s="21">
        <f>J15</f>
        <v>2.7555E-2</v>
      </c>
      <c r="L15" s="21">
        <f>K15</f>
        <v>2.7555E-2</v>
      </c>
      <c r="M15" s="21">
        <f>L15</f>
        <v>2.7555E-2</v>
      </c>
      <c r="N15" s="21">
        <f>M15</f>
        <v>2.7555E-2</v>
      </c>
      <c r="O15" s="21">
        <f>N15</f>
        <v>2.7555E-2</v>
      </c>
      <c r="P15" s="20"/>
      <c r="Q15" s="19"/>
      <c r="R15" s="19"/>
    </row>
    <row r="16" spans="1:21">
      <c r="A16" s="5">
        <f t="shared" si="1"/>
        <v>7</v>
      </c>
      <c r="B16" s="9" t="s">
        <v>15</v>
      </c>
      <c r="C16" s="7" t="str">
        <f>"("&amp;A14&amp;") x ("&amp;A15&amp;")"</f>
        <v>(5) x (6)</v>
      </c>
      <c r="D16" s="11">
        <f t="shared" ref="D16:O16" si="3">D14*D15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18340917.277320001</v>
      </c>
      <c r="K16" s="11">
        <f t="shared" si="3"/>
        <v>18726400.53999</v>
      </c>
      <c r="L16" s="11">
        <f t="shared" si="3"/>
        <v>18648912.435614999</v>
      </c>
      <c r="M16" s="11">
        <f t="shared" si="3"/>
        <v>19320022.919999998</v>
      </c>
      <c r="N16" s="11">
        <f t="shared" si="3"/>
        <v>24622982.669999998</v>
      </c>
      <c r="O16" s="11">
        <f t="shared" si="3"/>
        <v>31066195.875</v>
      </c>
      <c r="P16" s="8">
        <f>SUM(D16:O16)</f>
        <v>130725431.71792501</v>
      </c>
      <c r="Q16" s="18"/>
      <c r="R16" s="18"/>
    </row>
    <row r="17" spans="1:18">
      <c r="A17" s="5">
        <f t="shared" si="1"/>
        <v>8</v>
      </c>
      <c r="B17" s="9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8">
      <c r="A18" s="5">
        <f t="shared" si="1"/>
        <v>9</v>
      </c>
      <c r="B18" s="9" t="s">
        <v>14</v>
      </c>
      <c r="C18" s="7" t="str">
        <f>"("&amp;A$12&amp;") - ("&amp;A16&amp;")"</f>
        <v>(3) - (7)</v>
      </c>
      <c r="D18" s="11">
        <f t="shared" ref="D18:O18" si="4">D12-D16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  <c r="J18" s="11">
        <f t="shared" si="4"/>
        <v>-271982.55106636137</v>
      </c>
      <c r="K18" s="11">
        <f t="shared" si="4"/>
        <v>-943669.26029146463</v>
      </c>
      <c r="L18" s="11">
        <f t="shared" si="4"/>
        <v>-674795.10391440615</v>
      </c>
      <c r="M18" s="11">
        <f t="shared" si="4"/>
        <v>-451137.96356354281</v>
      </c>
      <c r="N18" s="11">
        <f t="shared" si="4"/>
        <v>585893.40519238636</v>
      </c>
      <c r="O18" s="11">
        <f t="shared" si="4"/>
        <v>744579.76536241174</v>
      </c>
      <c r="P18" s="8">
        <f>SUM(D18:O18)</f>
        <v>-1011111.7082809769</v>
      </c>
      <c r="Q18" s="18"/>
      <c r="R18" s="18"/>
    </row>
    <row r="19" spans="1:18">
      <c r="A19" s="5">
        <f t="shared" si="1"/>
        <v>10</v>
      </c>
      <c r="B19" s="9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1:18">
      <c r="A20" s="5">
        <f t="shared" si="1"/>
        <v>11</v>
      </c>
      <c r="B20" s="9" t="s">
        <v>13</v>
      </c>
      <c r="C20" s="7" t="s">
        <v>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-368.30970456903106</v>
      </c>
      <c r="K20" s="17">
        <v>-2014.5048657827538</v>
      </c>
      <c r="L20" s="17">
        <v>-4206.1753589782038</v>
      </c>
      <c r="M20" s="17">
        <v>-5730.8763878545933</v>
      </c>
      <c r="N20" s="17">
        <v>-5548.3950606488679</v>
      </c>
      <c r="O20" s="17">
        <v>-3746.7126421892449</v>
      </c>
      <c r="P20" s="8">
        <f>SUM(D20:O20)</f>
        <v>-21614.974020022695</v>
      </c>
      <c r="Q20" s="16"/>
      <c r="R20" s="16"/>
    </row>
    <row r="21" spans="1:18">
      <c r="A21" s="5">
        <f t="shared" si="1"/>
        <v>12</v>
      </c>
      <c r="B21" s="9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1:18">
      <c r="A22" s="5">
        <f t="shared" si="1"/>
        <v>13</v>
      </c>
      <c r="B22" s="9" t="s">
        <v>12</v>
      </c>
      <c r="C22" s="7" t="str">
        <f>"Σ(("&amp;A$18&amp;") + ("&amp;A20&amp;"))"</f>
        <v>Σ((9) + (11))</v>
      </c>
      <c r="D22" s="11">
        <f>D18+D20</f>
        <v>0</v>
      </c>
      <c r="E22" s="11">
        <f t="shared" ref="E22:O22" si="5">D22+E18+E20</f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  <c r="J22" s="11">
        <f t="shared" si="5"/>
        <v>-272350.86077093042</v>
      </c>
      <c r="K22" s="11">
        <f t="shared" si="5"/>
        <v>-1218034.625928178</v>
      </c>
      <c r="L22" s="11">
        <f t="shared" si="5"/>
        <v>-1897035.9052015622</v>
      </c>
      <c r="M22" s="11">
        <f t="shared" si="5"/>
        <v>-2353904.7451529596</v>
      </c>
      <c r="N22" s="11">
        <f t="shared" si="5"/>
        <v>-1773559.7350212221</v>
      </c>
      <c r="O22" s="11">
        <f t="shared" si="5"/>
        <v>-1032726.6823009996</v>
      </c>
      <c r="P22" s="8"/>
    </row>
    <row r="23" spans="1:18">
      <c r="A23" s="5">
        <f t="shared" si="1"/>
        <v>14</v>
      </c>
      <c r="B23" s="3"/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8"/>
    </row>
    <row r="24" spans="1:18">
      <c r="A24" s="5">
        <f t="shared" si="1"/>
        <v>15</v>
      </c>
      <c r="B24" s="9" t="s">
        <v>11</v>
      </c>
      <c r="C24" s="7" t="s">
        <v>10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8"/>
    </row>
    <row r="25" spans="1:18">
      <c r="A25" s="5">
        <f t="shared" si="1"/>
        <v>16</v>
      </c>
      <c r="B25" s="3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</row>
    <row r="26" spans="1:18">
      <c r="A26" s="5">
        <f t="shared" si="1"/>
        <v>17</v>
      </c>
      <c r="B26" s="9" t="s">
        <v>9</v>
      </c>
      <c r="C26" s="7" t="str">
        <f>"("&amp;A14&amp;") x ("&amp;A24&amp;")"</f>
        <v>(5) x (15)</v>
      </c>
      <c r="D26" s="11">
        <v>0</v>
      </c>
      <c r="E26" s="11">
        <v>0</v>
      </c>
      <c r="F26" s="11">
        <v>0</v>
      </c>
      <c r="G26" s="11">
        <v>0</v>
      </c>
      <c r="H26" s="11">
        <f t="shared" ref="H26:O26" si="6">H14*H24</f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  <c r="L26" s="11">
        <f t="shared" si="6"/>
        <v>0</v>
      </c>
      <c r="M26" s="11">
        <f t="shared" si="6"/>
        <v>0</v>
      </c>
      <c r="N26" s="11">
        <f t="shared" si="6"/>
        <v>0</v>
      </c>
      <c r="O26" s="11">
        <f t="shared" si="6"/>
        <v>0</v>
      </c>
      <c r="P26" s="8"/>
    </row>
    <row r="27" spans="1:18">
      <c r="A27" s="5">
        <f t="shared" si="1"/>
        <v>18</v>
      </c>
      <c r="B27" s="9"/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"/>
    </row>
    <row r="28" spans="1:18">
      <c r="A28" s="5">
        <f t="shared" si="1"/>
        <v>19</v>
      </c>
      <c r="B28" s="9" t="s">
        <v>8</v>
      </c>
      <c r="C28" s="7" t="str">
        <f>"("&amp;A$28&amp;") + ("&amp;A18&amp;") + ("&amp;A20&amp;") - ("&amp;A26&amp;")"</f>
        <v>(19) + (9) + (11) - (17)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8"/>
    </row>
    <row r="29" spans="1:18">
      <c r="A29" s="5">
        <f t="shared" si="1"/>
        <v>20</v>
      </c>
      <c r="B29" s="9"/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/>
    </row>
    <row r="30" spans="1:18">
      <c r="A30" s="5">
        <f t="shared" si="1"/>
        <v>21</v>
      </c>
      <c r="B30" s="4" t="s">
        <v>7</v>
      </c>
      <c r="C30" s="7" t="s">
        <v>6</v>
      </c>
      <c r="D30" s="13">
        <v>0</v>
      </c>
      <c r="E30" s="13">
        <f>+D30</f>
        <v>0</v>
      </c>
      <c r="F30" s="13">
        <f>+E30</f>
        <v>0</v>
      </c>
      <c r="G30" s="13">
        <v>0</v>
      </c>
      <c r="H30" s="13">
        <v>0</v>
      </c>
      <c r="I30" s="13">
        <v>0</v>
      </c>
      <c r="J30" s="13">
        <v>1.628000000000001E-3</v>
      </c>
      <c r="K30" s="13">
        <f>+J30</f>
        <v>1.628000000000001E-3</v>
      </c>
      <c r="L30" s="13">
        <f>+K30</f>
        <v>1.628000000000001E-3</v>
      </c>
      <c r="M30" s="13">
        <f>+L30</f>
        <v>1.628000000000001E-3</v>
      </c>
      <c r="N30" s="13">
        <f>+M30</f>
        <v>1.628000000000001E-3</v>
      </c>
      <c r="O30" s="13">
        <f>+N30</f>
        <v>1.628000000000001E-3</v>
      </c>
      <c r="P30" s="8"/>
    </row>
    <row r="31" spans="1:18">
      <c r="A31" s="5">
        <f t="shared" si="1"/>
        <v>22</v>
      </c>
      <c r="B31" s="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8">
      <c r="A32" s="5">
        <f t="shared" si="1"/>
        <v>23</v>
      </c>
      <c r="B32" s="4" t="s">
        <v>5</v>
      </c>
      <c r="C32" s="7" t="str">
        <f>"("&amp;A14&amp;") x ("&amp;A30&amp;")"</f>
        <v>(5) x (21)</v>
      </c>
      <c r="D32" s="12">
        <f t="shared" ref="D32:O32" si="7">+D30*D14</f>
        <v>0</v>
      </c>
      <c r="E32" s="12">
        <f t="shared" si="7"/>
        <v>0</v>
      </c>
      <c r="F32" s="12">
        <f t="shared" si="7"/>
        <v>0</v>
      </c>
      <c r="G32" s="12">
        <f t="shared" si="7"/>
        <v>0</v>
      </c>
      <c r="H32" s="12">
        <f t="shared" si="7"/>
        <v>0</v>
      </c>
      <c r="I32" s="12">
        <f t="shared" si="7"/>
        <v>0</v>
      </c>
      <c r="J32" s="12">
        <f t="shared" si="7"/>
        <v>1083615.0726720006</v>
      </c>
      <c r="K32" s="12">
        <f t="shared" si="7"/>
        <v>1106390.1317040008</v>
      </c>
      <c r="L32" s="12">
        <f t="shared" si="7"/>
        <v>1101811.9922040007</v>
      </c>
      <c r="M32" s="12">
        <f t="shared" si="7"/>
        <v>1141462.4320000007</v>
      </c>
      <c r="N32" s="12">
        <f t="shared" si="7"/>
        <v>1454771.0320000008</v>
      </c>
      <c r="O32" s="12">
        <f t="shared" si="7"/>
        <v>1835447.9000000011</v>
      </c>
      <c r="P32" s="8">
        <f>SUM(D32:O32)</f>
        <v>7723498.5605800049</v>
      </c>
    </row>
    <row r="33" spans="1:16">
      <c r="A33" s="5">
        <f t="shared" si="1"/>
        <v>24</v>
      </c>
      <c r="B33" s="9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>
      <c r="A34" s="5">
        <f t="shared" si="1"/>
        <v>25</v>
      </c>
      <c r="B34" s="9" t="s">
        <v>4</v>
      </c>
      <c r="C34" s="7" t="s">
        <v>3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72346969.348584384</v>
      </c>
      <c r="K34" s="11">
        <v>73720956.354019448</v>
      </c>
      <c r="L34" s="11">
        <v>73496255.93589896</v>
      </c>
      <c r="M34" s="11">
        <v>75853802.98995851</v>
      </c>
      <c r="N34" s="11">
        <v>94552839.178593785</v>
      </c>
      <c r="O34" s="11">
        <v>117231913.75379054</v>
      </c>
      <c r="P34" s="8">
        <f>SUM(D34:O34)</f>
        <v>507202737.56084567</v>
      </c>
    </row>
    <row r="35" spans="1:16">
      <c r="A35" s="5">
        <f t="shared" si="1"/>
        <v>26</v>
      </c>
      <c r="B35" s="9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8"/>
    </row>
    <row r="36" spans="1:16">
      <c r="A36" s="5">
        <f t="shared" si="1"/>
        <v>27</v>
      </c>
      <c r="B36" s="9" t="s">
        <v>2</v>
      </c>
      <c r="C36" s="7" t="str">
        <f>"("&amp;A32&amp;") / ("&amp;A34&amp;")"</f>
        <v>(23) / (25)</v>
      </c>
      <c r="D36" s="11"/>
      <c r="E36" s="11"/>
      <c r="F36" s="11"/>
      <c r="G36" s="10"/>
      <c r="H36" s="10"/>
      <c r="I36" s="10"/>
      <c r="J36" s="10">
        <f t="shared" ref="J36:P36" si="8">J32/J34</f>
        <v>1.4978029935862181E-2</v>
      </c>
      <c r="K36" s="10">
        <f t="shared" si="8"/>
        <v>1.500781034894534E-2</v>
      </c>
      <c r="L36" s="10">
        <f t="shared" si="8"/>
        <v>1.4991403006500974E-2</v>
      </c>
      <c r="M36" s="10">
        <f t="shared" si="8"/>
        <v>1.5048189899603413E-2</v>
      </c>
      <c r="N36" s="10">
        <f t="shared" si="8"/>
        <v>1.5385799566020356E-2</v>
      </c>
      <c r="O36" s="10">
        <f t="shared" si="8"/>
        <v>1.5656554953583656E-2</v>
      </c>
      <c r="P36" s="10">
        <f t="shared" si="8"/>
        <v>1.5227635792587711E-2</v>
      </c>
    </row>
    <row r="37" spans="1:16">
      <c r="A37" s="5">
        <f t="shared" si="1"/>
        <v>28</v>
      </c>
      <c r="B37" s="9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6">
      <c r="A38" s="5">
        <f t="shared" si="1"/>
        <v>29</v>
      </c>
      <c r="B38" s="4" t="s">
        <v>1</v>
      </c>
      <c r="C38" s="7" t="str">
        <f>"("&amp;A30&amp;") * 1000"</f>
        <v>(21) * 1000</v>
      </c>
      <c r="D38" s="6"/>
      <c r="E38" s="6"/>
      <c r="F38" s="6"/>
      <c r="G38" s="6"/>
      <c r="H38" s="6"/>
      <c r="I38" s="6"/>
      <c r="J38" s="6">
        <f t="shared" ref="J38:O38" si="9">J30*1000</f>
        <v>1.628000000000001</v>
      </c>
      <c r="K38" s="6">
        <f t="shared" si="9"/>
        <v>1.628000000000001</v>
      </c>
      <c r="L38" s="6">
        <f t="shared" si="9"/>
        <v>1.628000000000001</v>
      </c>
      <c r="M38" s="6">
        <f t="shared" si="9"/>
        <v>1.628000000000001</v>
      </c>
      <c r="N38" s="6">
        <f t="shared" si="9"/>
        <v>1.628000000000001</v>
      </c>
      <c r="O38" s="6">
        <f t="shared" si="9"/>
        <v>1.628000000000001</v>
      </c>
    </row>
    <row r="39" spans="1:16">
      <c r="A39" s="5"/>
      <c r="B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1" spans="1:16">
      <c r="A41" s="2" t="s">
        <v>0</v>
      </c>
    </row>
  </sheetData>
  <mergeCells count="4">
    <mergeCell ref="A1:O1"/>
    <mergeCell ref="A2:O2"/>
    <mergeCell ref="A3:O3"/>
    <mergeCell ref="A4:O4"/>
  </mergeCells>
  <printOptions horizontalCentered="1" verticalCentered="1"/>
  <pageMargins left="0.2" right="0.2" top="0.75" bottom="0.75" header="0.3" footer="0.3"/>
  <pageSetup scale="44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6"/>
  <sheetViews>
    <sheetView zoomScaleNormal="100" workbookViewId="0">
      <pane xSplit="3" ySplit="8" topLeftCell="D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/>
  <cols>
    <col min="1" max="1" width="5" style="1" customWidth="1"/>
    <col min="2" max="2" width="41" style="1" customWidth="1"/>
    <col min="3" max="3" width="20.140625" style="1" bestFit="1" customWidth="1"/>
    <col min="4" max="15" width="14.7109375" style="1" customWidth="1"/>
    <col min="16" max="16" width="13.42578125" style="1" bestFit="1" customWidth="1"/>
    <col min="17" max="18" width="12.28515625" style="1" customWidth="1"/>
    <col min="19" max="16384" width="9.140625" style="1"/>
  </cols>
  <sheetData>
    <row r="1" spans="1:2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2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21">
      <c r="A3" s="81" t="s">
        <v>47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21" ht="15">
      <c r="A4" s="80" t="s">
        <v>105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</row>
    <row r="5" spans="1:21" ht="15">
      <c r="A5" s="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5" t="s">
        <v>40</v>
      </c>
      <c r="B7" s="34"/>
      <c r="C7" s="33" t="s">
        <v>39</v>
      </c>
      <c r="D7" s="32">
        <v>42005</v>
      </c>
      <c r="E7" s="32">
        <f t="shared" ref="E7:O7" si="0">EDATE(D7,1)</f>
        <v>42036</v>
      </c>
      <c r="F7" s="32">
        <f t="shared" si="0"/>
        <v>42064</v>
      </c>
      <c r="G7" s="32">
        <f t="shared" si="0"/>
        <v>42095</v>
      </c>
      <c r="H7" s="32">
        <f t="shared" si="0"/>
        <v>42125</v>
      </c>
      <c r="I7" s="32">
        <f t="shared" si="0"/>
        <v>42156</v>
      </c>
      <c r="J7" s="32">
        <f t="shared" si="0"/>
        <v>42186</v>
      </c>
      <c r="K7" s="32">
        <f t="shared" si="0"/>
        <v>42217</v>
      </c>
      <c r="L7" s="32">
        <f t="shared" si="0"/>
        <v>42248</v>
      </c>
      <c r="M7" s="32">
        <f t="shared" si="0"/>
        <v>42278</v>
      </c>
      <c r="N7" s="32">
        <f t="shared" si="0"/>
        <v>42309</v>
      </c>
      <c r="O7" s="32">
        <f t="shared" si="0"/>
        <v>42339</v>
      </c>
      <c r="P7" s="32" t="s">
        <v>38</v>
      </c>
      <c r="Q7" s="31"/>
      <c r="R7" s="31"/>
      <c r="S7" s="30"/>
      <c r="T7" s="30"/>
      <c r="U7" s="30"/>
    </row>
    <row r="8" spans="1:21">
      <c r="A8" s="5"/>
      <c r="B8" s="7" t="s">
        <v>37</v>
      </c>
      <c r="C8" s="7" t="s">
        <v>36</v>
      </c>
      <c r="D8" s="7" t="s">
        <v>35</v>
      </c>
      <c r="E8" s="7" t="s">
        <v>34</v>
      </c>
      <c r="F8" s="7" t="s">
        <v>33</v>
      </c>
      <c r="G8" s="7" t="s">
        <v>32</v>
      </c>
      <c r="H8" s="7" t="s">
        <v>31</v>
      </c>
      <c r="I8" s="7" t="s">
        <v>30</v>
      </c>
      <c r="J8" s="7" t="s">
        <v>29</v>
      </c>
      <c r="K8" s="7" t="s">
        <v>28</v>
      </c>
      <c r="L8" s="7" t="s">
        <v>27</v>
      </c>
      <c r="M8" s="7" t="s">
        <v>26</v>
      </c>
      <c r="N8" s="7" t="s">
        <v>25</v>
      </c>
      <c r="O8" s="7" t="s">
        <v>24</v>
      </c>
      <c r="P8" s="7" t="s">
        <v>23</v>
      </c>
    </row>
    <row r="9" spans="1:2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1">
      <c r="A10" s="5">
        <v>1</v>
      </c>
      <c r="B10" s="9" t="s">
        <v>22</v>
      </c>
      <c r="C10" s="7" t="s">
        <v>17</v>
      </c>
      <c r="D10" s="25">
        <v>124833.55931902507</v>
      </c>
      <c r="E10" s="25">
        <v>124996.36199185622</v>
      </c>
      <c r="F10" s="25">
        <v>125207.90330930926</v>
      </c>
      <c r="G10" s="25">
        <v>125495.69334482243</v>
      </c>
      <c r="H10" s="25">
        <v>125786.18459631091</v>
      </c>
      <c r="I10" s="25">
        <v>126074.93695947208</v>
      </c>
      <c r="J10" s="25">
        <v>126360.88495559737</v>
      </c>
      <c r="K10" s="25">
        <v>126561.42256051798</v>
      </c>
      <c r="L10" s="25">
        <v>126749.79032179984</v>
      </c>
      <c r="M10" s="25">
        <v>126874.359365561</v>
      </c>
      <c r="N10" s="25">
        <v>126985.39665132773</v>
      </c>
      <c r="O10" s="25">
        <v>127155.49418541502</v>
      </c>
      <c r="P10" s="29"/>
      <c r="Q10" s="24"/>
      <c r="R10" s="24"/>
    </row>
    <row r="11" spans="1:21">
      <c r="A11" s="5">
        <f t="shared" ref="A11:A36" si="1">A10+1</f>
        <v>2</v>
      </c>
      <c r="B11" s="9" t="s">
        <v>21</v>
      </c>
      <c r="C11" s="23" t="s">
        <v>20</v>
      </c>
      <c r="D11" s="28">
        <v>170.09012472936212</v>
      </c>
      <c r="E11" s="28">
        <v>164.40603726559192</v>
      </c>
      <c r="F11" s="28">
        <v>167.73255635335912</v>
      </c>
      <c r="G11" s="28">
        <v>155.04226801330913</v>
      </c>
      <c r="H11" s="28">
        <v>147.59298490672413</v>
      </c>
      <c r="I11" s="28">
        <v>152.56647691761651</v>
      </c>
      <c r="J11" s="28">
        <v>153.20692109737357</v>
      </c>
      <c r="K11" s="28">
        <v>158.03470353130677</v>
      </c>
      <c r="L11" s="28">
        <v>159.69545298590532</v>
      </c>
      <c r="M11" s="28">
        <v>153.1165386634851</v>
      </c>
      <c r="N11" s="28">
        <v>161.19595041544034</v>
      </c>
      <c r="O11" s="28">
        <v>169.56998512052607</v>
      </c>
      <c r="P11" s="6"/>
      <c r="Q11" s="27"/>
      <c r="R11" s="27"/>
    </row>
    <row r="12" spans="1:21">
      <c r="A12" s="5">
        <f t="shared" si="1"/>
        <v>3</v>
      </c>
      <c r="B12" s="9" t="s">
        <v>19</v>
      </c>
      <c r="C12" s="7" t="str">
        <f>"("&amp;A10&amp;") x ("&amp;A11&amp;")"</f>
        <v>(1) x (2)</v>
      </c>
      <c r="D12" s="11">
        <f t="shared" ref="D12:O12" si="2">D10*D11</f>
        <v>21232955.6749832</v>
      </c>
      <c r="E12" s="11">
        <f t="shared" si="2"/>
        <v>20550156.547696531</v>
      </c>
      <c r="F12" s="11">
        <f t="shared" si="2"/>
        <v>21001441.697714653</v>
      </c>
      <c r="G12" s="11">
        <f t="shared" si="2"/>
        <v>19457136.922084015</v>
      </c>
      <c r="H12" s="11">
        <f t="shared" si="2"/>
        <v>18565158.444597732</v>
      </c>
      <c r="I12" s="11">
        <f t="shared" si="2"/>
        <v>19234808.959517255</v>
      </c>
      <c r="J12" s="11">
        <f t="shared" si="2"/>
        <v>19359362.131186504</v>
      </c>
      <c r="K12" s="11">
        <f t="shared" si="2"/>
        <v>20001096.8928519</v>
      </c>
      <c r="L12" s="11">
        <f t="shared" si="2"/>
        <v>20241365.181308344</v>
      </c>
      <c r="M12" s="11">
        <f t="shared" si="2"/>
        <v>19426562.751201823</v>
      </c>
      <c r="N12" s="11">
        <f t="shared" si="2"/>
        <v>20469531.702092446</v>
      </c>
      <c r="O12" s="11">
        <f t="shared" si="2"/>
        <v>21561755.257013965</v>
      </c>
      <c r="P12" s="8">
        <f>SUM(D12:O12)</f>
        <v>241101332.16224834</v>
      </c>
      <c r="Q12" s="18"/>
      <c r="R12" s="18"/>
    </row>
    <row r="13" spans="1:21">
      <c r="A13" s="5">
        <f t="shared" si="1"/>
        <v>4</v>
      </c>
      <c r="B13" s="9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26"/>
      <c r="R13" s="26"/>
    </row>
    <row r="14" spans="1:21">
      <c r="A14" s="5">
        <f t="shared" si="1"/>
        <v>5</v>
      </c>
      <c r="B14" s="4" t="s">
        <v>18</v>
      </c>
      <c r="C14" s="7" t="s">
        <v>17</v>
      </c>
      <c r="D14" s="25">
        <v>935940000</v>
      </c>
      <c r="E14" s="25">
        <v>929955000</v>
      </c>
      <c r="F14" s="25">
        <v>916275000</v>
      </c>
      <c r="G14" s="25">
        <v>845624000</v>
      </c>
      <c r="H14" s="25">
        <v>841161000</v>
      </c>
      <c r="I14" s="25">
        <v>854697000</v>
      </c>
      <c r="J14" s="25">
        <v>857194000</v>
      </c>
      <c r="K14" s="25">
        <v>883342000</v>
      </c>
      <c r="L14" s="25">
        <v>878372000</v>
      </c>
      <c r="M14" s="25">
        <v>847422000</v>
      </c>
      <c r="N14" s="25">
        <v>866959000</v>
      </c>
      <c r="O14" s="25">
        <v>935682000</v>
      </c>
      <c r="P14" s="9"/>
      <c r="Q14" s="24"/>
      <c r="R14" s="24"/>
    </row>
    <row r="15" spans="1:21">
      <c r="A15" s="5">
        <f t="shared" si="1"/>
        <v>6</v>
      </c>
      <c r="B15" s="9" t="s">
        <v>16</v>
      </c>
      <c r="C15" s="23" t="s">
        <v>104</v>
      </c>
      <c r="D15" s="21">
        <f>'JPE-12 Page 3'!E32</f>
        <v>2.1856E-2</v>
      </c>
      <c r="E15" s="21">
        <f>$D$15</f>
        <v>2.1856E-2</v>
      </c>
      <c r="F15" s="21">
        <f>$D$15</f>
        <v>2.1856E-2</v>
      </c>
      <c r="G15" s="21">
        <f>$D$15</f>
        <v>2.1856E-2</v>
      </c>
      <c r="H15" s="21">
        <f>'JPE-12 Page 7'!E32</f>
        <v>2.3016000000000002E-2</v>
      </c>
      <c r="I15" s="21">
        <f t="shared" ref="I15:O15" si="3">$H$15</f>
        <v>2.3016000000000002E-2</v>
      </c>
      <c r="J15" s="21">
        <f t="shared" si="3"/>
        <v>2.3016000000000002E-2</v>
      </c>
      <c r="K15" s="21">
        <f t="shared" si="3"/>
        <v>2.3016000000000002E-2</v>
      </c>
      <c r="L15" s="21">
        <f t="shared" si="3"/>
        <v>2.3016000000000002E-2</v>
      </c>
      <c r="M15" s="21">
        <f t="shared" si="3"/>
        <v>2.3016000000000002E-2</v>
      </c>
      <c r="N15" s="21">
        <f t="shared" si="3"/>
        <v>2.3016000000000002E-2</v>
      </c>
      <c r="O15" s="21">
        <f t="shared" si="3"/>
        <v>2.3016000000000002E-2</v>
      </c>
      <c r="P15" s="20"/>
      <c r="Q15" s="19"/>
      <c r="R15" s="19"/>
    </row>
    <row r="16" spans="1:21">
      <c r="A16" s="5">
        <f t="shared" si="1"/>
        <v>7</v>
      </c>
      <c r="B16" s="9" t="s">
        <v>15</v>
      </c>
      <c r="C16" s="7" t="str">
        <f>"("&amp;A14&amp;") x ("&amp;A15&amp;")"</f>
        <v>(5) x (6)</v>
      </c>
      <c r="D16" s="11">
        <f t="shared" ref="D16:O16" si="4">D14*D15</f>
        <v>20455904.640000001</v>
      </c>
      <c r="E16" s="11">
        <f t="shared" si="4"/>
        <v>20325096.48</v>
      </c>
      <c r="F16" s="11">
        <f t="shared" si="4"/>
        <v>20026106.400000002</v>
      </c>
      <c r="G16" s="11">
        <f t="shared" si="4"/>
        <v>18481958.144000001</v>
      </c>
      <c r="H16" s="11">
        <f t="shared" si="4"/>
        <v>19360161.576000001</v>
      </c>
      <c r="I16" s="11">
        <f t="shared" si="4"/>
        <v>19671706.152000003</v>
      </c>
      <c r="J16" s="11">
        <f t="shared" si="4"/>
        <v>19729177.104000002</v>
      </c>
      <c r="K16" s="11">
        <f t="shared" si="4"/>
        <v>20330999.472000003</v>
      </c>
      <c r="L16" s="11">
        <f t="shared" si="4"/>
        <v>20216609.952000003</v>
      </c>
      <c r="M16" s="11">
        <f t="shared" si="4"/>
        <v>19504264.752</v>
      </c>
      <c r="N16" s="11">
        <f t="shared" si="4"/>
        <v>19953928.344000001</v>
      </c>
      <c r="O16" s="11">
        <f t="shared" si="4"/>
        <v>21535656.912</v>
      </c>
      <c r="P16" s="8">
        <f>SUM(D16:O16)</f>
        <v>239591569.92800003</v>
      </c>
      <c r="Q16" s="18"/>
      <c r="R16" s="18"/>
    </row>
    <row r="17" spans="1:18">
      <c r="A17" s="5">
        <f t="shared" si="1"/>
        <v>8</v>
      </c>
      <c r="B17" s="9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8">
      <c r="A18" s="5">
        <f t="shared" si="1"/>
        <v>9</v>
      </c>
      <c r="B18" s="9" t="s">
        <v>14</v>
      </c>
      <c r="C18" s="7" t="str">
        <f>"("&amp;A$12&amp;") - ("&amp;A16&amp;")"</f>
        <v>(3) - (7)</v>
      </c>
      <c r="D18" s="11">
        <f t="shared" ref="D18:O18" si="5">D12-D16</f>
        <v>777051.03498319909</v>
      </c>
      <c r="E18" s="11">
        <f t="shared" si="5"/>
        <v>225060.06769653037</v>
      </c>
      <c r="F18" s="11">
        <f t="shared" si="5"/>
        <v>975335.29771465063</v>
      </c>
      <c r="G18" s="11">
        <f t="shared" si="5"/>
        <v>975178.77808401361</v>
      </c>
      <c r="H18" s="11">
        <f t="shared" si="5"/>
        <v>-795003.13140226901</v>
      </c>
      <c r="I18" s="11">
        <f t="shared" si="5"/>
        <v>-436897.19248274714</v>
      </c>
      <c r="J18" s="11">
        <f t="shared" si="5"/>
        <v>-369814.97281349823</v>
      </c>
      <c r="K18" s="11">
        <f t="shared" si="5"/>
        <v>-329902.57914810255</v>
      </c>
      <c r="L18" s="11">
        <f t="shared" si="5"/>
        <v>24755.229308340698</v>
      </c>
      <c r="M18" s="11">
        <f t="shared" si="5"/>
        <v>-77702.000798176974</v>
      </c>
      <c r="N18" s="11">
        <f t="shared" si="5"/>
        <v>515603.35809244588</v>
      </c>
      <c r="O18" s="11">
        <f t="shared" si="5"/>
        <v>26098.345013964921</v>
      </c>
      <c r="P18" s="8">
        <f>SUM(D18:O18)</f>
        <v>1509762.2342483513</v>
      </c>
      <c r="Q18" s="18"/>
      <c r="R18" s="18"/>
    </row>
    <row r="19" spans="1:18">
      <c r="A19" s="5">
        <f t="shared" si="1"/>
        <v>10</v>
      </c>
      <c r="B19" s="9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1:18">
      <c r="A20" s="5">
        <f t="shared" si="1"/>
        <v>11</v>
      </c>
      <c r="B20" s="9" t="s">
        <v>13</v>
      </c>
      <c r="C20" s="7" t="s">
        <v>3</v>
      </c>
      <c r="D20" s="17">
        <v>9045.4997402740901</v>
      </c>
      <c r="E20" s="17">
        <v>10508.444118115953</v>
      </c>
      <c r="F20" s="17">
        <v>12238.782136629079</v>
      </c>
      <c r="G20" s="17">
        <v>14980.118796455214</v>
      </c>
      <c r="H20" s="17">
        <v>14955.401727391922</v>
      </c>
      <c r="I20" s="17">
        <v>12648.692096088205</v>
      </c>
      <c r="J20" s="17">
        <v>10911.72147563549</v>
      </c>
      <c r="K20" s="17">
        <v>9308.8542012670569</v>
      </c>
      <c r="L20" s="17">
        <v>8232.3269662812472</v>
      </c>
      <c r="M20" s="17">
        <v>7510.8456670850164</v>
      </c>
      <c r="N20" s="17">
        <v>7458.3516763561665</v>
      </c>
      <c r="O20" s="17">
        <v>7513.1896845624788</v>
      </c>
      <c r="P20" s="8">
        <f>SUM(D20:O20)</f>
        <v>125312.22828614192</v>
      </c>
      <c r="Q20" s="16"/>
      <c r="R20" s="16"/>
    </row>
    <row r="21" spans="1:18">
      <c r="A21" s="5">
        <f t="shared" si="1"/>
        <v>12</v>
      </c>
      <c r="B21" s="9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1:18">
      <c r="A22" s="5">
        <f t="shared" si="1"/>
        <v>13</v>
      </c>
      <c r="B22" s="9" t="s">
        <v>12</v>
      </c>
      <c r="C22" s="7" t="str">
        <f>"Σ(("&amp;A$18&amp;") + ("&amp;A20&amp;"))"</f>
        <v>Σ((9) + (11))</v>
      </c>
      <c r="D22" s="11">
        <f>'JPE-12 Page 6'!O22+D18+D20</f>
        <v>3464753.6977717122</v>
      </c>
      <c r="E22" s="11">
        <f t="shared" ref="E22:O22" si="6">D22+E18+E20</f>
        <v>3700322.2095863586</v>
      </c>
      <c r="F22" s="11">
        <f t="shared" si="6"/>
        <v>4687896.2894376386</v>
      </c>
      <c r="G22" s="11">
        <f t="shared" si="6"/>
        <v>5678055.1863181079</v>
      </c>
      <c r="H22" s="11">
        <f t="shared" si="6"/>
        <v>4898007.4566432312</v>
      </c>
      <c r="I22" s="11">
        <f t="shared" si="6"/>
        <v>4473758.9562565722</v>
      </c>
      <c r="J22" s="11">
        <f t="shared" si="6"/>
        <v>4114855.7049187096</v>
      </c>
      <c r="K22" s="11">
        <f t="shared" si="6"/>
        <v>3794261.979971874</v>
      </c>
      <c r="L22" s="11">
        <f t="shared" si="6"/>
        <v>3827249.5362464958</v>
      </c>
      <c r="M22" s="11">
        <f t="shared" si="6"/>
        <v>3757058.381115404</v>
      </c>
      <c r="N22" s="11">
        <f t="shared" si="6"/>
        <v>4280120.0908842059</v>
      </c>
      <c r="O22" s="11">
        <f t="shared" si="6"/>
        <v>4313731.6255827332</v>
      </c>
      <c r="P22" s="8"/>
    </row>
    <row r="23" spans="1:18">
      <c r="A23" s="5">
        <f t="shared" si="1"/>
        <v>14</v>
      </c>
      <c r="B23" s="3"/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8"/>
    </row>
    <row r="24" spans="1:18">
      <c r="A24" s="5">
        <f t="shared" si="1"/>
        <v>15</v>
      </c>
      <c r="B24" s="9" t="s">
        <v>11</v>
      </c>
      <c r="C24" s="7" t="s">
        <v>10</v>
      </c>
      <c r="D24" s="69">
        <f>'JPE-12 Page 6'!O24</f>
        <v>-4.1919321968830005E-5</v>
      </c>
      <c r="E24" s="69">
        <f>$D$24</f>
        <v>-4.1919321968830005E-5</v>
      </c>
      <c r="F24" s="69">
        <f>$D$24</f>
        <v>-4.1919321968830005E-5</v>
      </c>
      <c r="G24" s="69">
        <f>$D$24</f>
        <v>-4.1919321968830005E-5</v>
      </c>
      <c r="H24" s="69">
        <f>'JPE-12 Page 6'!O28/'JPE-12 Page 7'!E30</f>
        <v>2.7803980004904519E-4</v>
      </c>
      <c r="I24" s="69">
        <f t="shared" ref="I24:O24" si="7">$H$24</f>
        <v>2.7803980004904519E-4</v>
      </c>
      <c r="J24" s="69">
        <f t="shared" si="7"/>
        <v>2.7803980004904519E-4</v>
      </c>
      <c r="K24" s="69">
        <f t="shared" si="7"/>
        <v>2.7803980004904519E-4</v>
      </c>
      <c r="L24" s="69">
        <f t="shared" si="7"/>
        <v>2.7803980004904519E-4</v>
      </c>
      <c r="M24" s="69">
        <f t="shared" si="7"/>
        <v>2.7803980004904519E-4</v>
      </c>
      <c r="N24" s="69">
        <f t="shared" si="7"/>
        <v>2.7803980004904519E-4</v>
      </c>
      <c r="O24" s="69">
        <f t="shared" si="7"/>
        <v>2.7803980004904519E-4</v>
      </c>
      <c r="P24" s="8"/>
    </row>
    <row r="25" spans="1:18">
      <c r="A25" s="5">
        <f t="shared" si="1"/>
        <v>16</v>
      </c>
      <c r="B25" s="3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</row>
    <row r="26" spans="1:18">
      <c r="A26" s="5">
        <f t="shared" si="1"/>
        <v>17</v>
      </c>
      <c r="B26" s="9" t="s">
        <v>9</v>
      </c>
      <c r="C26" s="7" t="str">
        <f>"("&amp;A14&amp;") x ("&amp;A24&amp;")"</f>
        <v>(5) x (15)</v>
      </c>
      <c r="D26" s="11">
        <f t="shared" ref="D26:O26" si="8">D14*D24</f>
        <v>-39233.970203506753</v>
      </c>
      <c r="E26" s="11">
        <f t="shared" si="8"/>
        <v>-38983.083061523306</v>
      </c>
      <c r="F26" s="11">
        <f t="shared" si="8"/>
        <v>-38409.62673698971</v>
      </c>
      <c r="G26" s="11">
        <f t="shared" si="8"/>
        <v>-35447.984720569904</v>
      </c>
      <c r="H26" s="11">
        <f t="shared" si="8"/>
        <v>233876.2362490549</v>
      </c>
      <c r="I26" s="11">
        <f t="shared" si="8"/>
        <v>237639.78298251878</v>
      </c>
      <c r="J26" s="11">
        <f t="shared" si="8"/>
        <v>238334.04836324125</v>
      </c>
      <c r="K26" s="11">
        <f t="shared" si="8"/>
        <v>245604.23305492368</v>
      </c>
      <c r="L26" s="11">
        <f t="shared" si="8"/>
        <v>244222.37524867992</v>
      </c>
      <c r="M26" s="11">
        <f t="shared" si="8"/>
        <v>235617.04343716198</v>
      </c>
      <c r="N26" s="11">
        <f t="shared" si="8"/>
        <v>241049.10701072015</v>
      </c>
      <c r="O26" s="11">
        <f t="shared" si="8"/>
        <v>260156.83618949068</v>
      </c>
      <c r="P26" s="8"/>
    </row>
    <row r="27" spans="1:18">
      <c r="A27" s="5">
        <f t="shared" si="1"/>
        <v>18</v>
      </c>
      <c r="B27" s="9"/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"/>
    </row>
    <row r="28" spans="1:18">
      <c r="A28" s="5">
        <f t="shared" si="1"/>
        <v>19</v>
      </c>
      <c r="B28" s="9" t="s">
        <v>8</v>
      </c>
      <c r="C28" s="7" t="str">
        <f>"("&amp;A$28&amp;") + ("&amp;A18&amp;") + ("&amp;A20&amp;") - ("&amp;A26&amp;")"</f>
        <v>(19) + (9) + (11) - (17)</v>
      </c>
      <c r="D28" s="11">
        <f>'JPE-12 Page 6'!O28+'JPE-12 Page 10'!D18+'JPE-12 Page 10'!D20-'JPE-12 Page 10'!D26</f>
        <v>3792590.7138363938</v>
      </c>
      <c r="E28" s="11">
        <f t="shared" ref="E28:O28" si="9">D28+E18+E20-E26</f>
        <v>4067142.3087125635</v>
      </c>
      <c r="F28" s="11">
        <f t="shared" si="9"/>
        <v>5093126.0153008327</v>
      </c>
      <c r="G28" s="11">
        <f t="shared" si="9"/>
        <v>6118732.896901872</v>
      </c>
      <c r="H28" s="11">
        <f t="shared" si="9"/>
        <v>5104808.9309779406</v>
      </c>
      <c r="I28" s="11">
        <f t="shared" si="9"/>
        <v>4442920.6476087626</v>
      </c>
      <c r="J28" s="11">
        <f t="shared" si="9"/>
        <v>3845683.3479076587</v>
      </c>
      <c r="K28" s="11">
        <f t="shared" si="9"/>
        <v>3279485.3899058993</v>
      </c>
      <c r="L28" s="11">
        <f t="shared" si="9"/>
        <v>3068250.5709318412</v>
      </c>
      <c r="M28" s="11">
        <f t="shared" si="9"/>
        <v>2762442.3723635874</v>
      </c>
      <c r="N28" s="11">
        <f t="shared" si="9"/>
        <v>3044454.975121669</v>
      </c>
      <c r="O28" s="11">
        <f t="shared" si="9"/>
        <v>2817909.6736307056</v>
      </c>
      <c r="P28" s="8"/>
    </row>
    <row r="29" spans="1:18">
      <c r="A29" s="5">
        <f t="shared" si="1"/>
        <v>20</v>
      </c>
      <c r="B29" s="9"/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/>
    </row>
    <row r="30" spans="1:18">
      <c r="A30" s="5">
        <f t="shared" si="1"/>
        <v>21</v>
      </c>
      <c r="B30" s="4" t="s">
        <v>7</v>
      </c>
      <c r="C30" s="23" t="s">
        <v>104</v>
      </c>
      <c r="D30" s="13">
        <f>+'JPE-12 Page 3'!$E$34</f>
        <v>1.2279999999999999E-3</v>
      </c>
      <c r="E30" s="13">
        <f>+D30</f>
        <v>1.2279999999999999E-3</v>
      </c>
      <c r="F30" s="13">
        <f>+E30</f>
        <v>1.2279999999999999E-3</v>
      </c>
      <c r="G30" s="13">
        <f>+F30</f>
        <v>1.2279999999999999E-3</v>
      </c>
      <c r="H30" s="13">
        <f>+'JPE-12 Page 7'!$E$34</f>
        <v>2.3880000000000012E-3</v>
      </c>
      <c r="I30" s="13">
        <f t="shared" ref="I30:O30" si="10">+H30</f>
        <v>2.3880000000000012E-3</v>
      </c>
      <c r="J30" s="13">
        <f t="shared" si="10"/>
        <v>2.3880000000000012E-3</v>
      </c>
      <c r="K30" s="13">
        <f t="shared" si="10"/>
        <v>2.3880000000000012E-3</v>
      </c>
      <c r="L30" s="13">
        <f t="shared" si="10"/>
        <v>2.3880000000000012E-3</v>
      </c>
      <c r="M30" s="13">
        <f t="shared" si="10"/>
        <v>2.3880000000000012E-3</v>
      </c>
      <c r="N30" s="13">
        <f t="shared" si="10"/>
        <v>2.3880000000000012E-3</v>
      </c>
      <c r="O30" s="13">
        <f t="shared" si="10"/>
        <v>2.3880000000000012E-3</v>
      </c>
      <c r="P30" s="8"/>
    </row>
    <row r="31" spans="1:18">
      <c r="A31" s="5">
        <f t="shared" si="1"/>
        <v>22</v>
      </c>
      <c r="B31" s="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8">
      <c r="A32" s="5">
        <f t="shared" si="1"/>
        <v>23</v>
      </c>
      <c r="B32" s="4" t="s">
        <v>5</v>
      </c>
      <c r="C32" s="7" t="str">
        <f>"("&amp;A14&amp;") x ("&amp;A30&amp;")"</f>
        <v>(5) x (21)</v>
      </c>
      <c r="D32" s="12">
        <f t="shared" ref="D32:O32" si="11">+D30*D14</f>
        <v>1149334.3199999998</v>
      </c>
      <c r="E32" s="12">
        <f t="shared" si="11"/>
        <v>1141984.74</v>
      </c>
      <c r="F32" s="12">
        <f t="shared" si="11"/>
        <v>1125185.7</v>
      </c>
      <c r="G32" s="12">
        <f t="shared" si="11"/>
        <v>1038426.2719999999</v>
      </c>
      <c r="H32" s="12">
        <f t="shared" si="11"/>
        <v>2008692.468000001</v>
      </c>
      <c r="I32" s="12">
        <f t="shared" si="11"/>
        <v>2041016.4360000012</v>
      </c>
      <c r="J32" s="12">
        <f t="shared" si="11"/>
        <v>2046979.272000001</v>
      </c>
      <c r="K32" s="12">
        <f t="shared" si="11"/>
        <v>2109420.6960000009</v>
      </c>
      <c r="L32" s="12">
        <f t="shared" si="11"/>
        <v>2097552.3360000011</v>
      </c>
      <c r="M32" s="12">
        <f t="shared" si="11"/>
        <v>2023643.736000001</v>
      </c>
      <c r="N32" s="12">
        <f t="shared" si="11"/>
        <v>2070298.0920000011</v>
      </c>
      <c r="O32" s="12">
        <f t="shared" si="11"/>
        <v>2234408.6160000013</v>
      </c>
      <c r="P32" s="8">
        <f>SUM(D32:O32)</f>
        <v>21086942.684000008</v>
      </c>
    </row>
    <row r="33" spans="1:16">
      <c r="A33" s="5">
        <f t="shared" si="1"/>
        <v>24</v>
      </c>
      <c r="B33" s="9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>
      <c r="A34" s="5">
        <f t="shared" si="1"/>
        <v>25</v>
      </c>
      <c r="B34" s="9" t="s">
        <v>4</v>
      </c>
      <c r="C34" s="7" t="s">
        <v>3</v>
      </c>
      <c r="D34" s="11">
        <v>82008473.347763866</v>
      </c>
      <c r="E34" s="11">
        <v>81518061.263220161</v>
      </c>
      <c r="F34" s="11">
        <v>80346168.144466937</v>
      </c>
      <c r="G34" s="11">
        <v>74335373.709767789</v>
      </c>
      <c r="H34" s="11">
        <v>74958800.31273596</v>
      </c>
      <c r="I34" s="11">
        <v>76139086.968280345</v>
      </c>
      <c r="J34" s="11">
        <v>76354252.062765419</v>
      </c>
      <c r="K34" s="11">
        <v>78544567.067790166</v>
      </c>
      <c r="L34" s="11">
        <v>78202753.583354816</v>
      </c>
      <c r="M34" s="11">
        <v>75504997.257472172</v>
      </c>
      <c r="N34" s="11">
        <v>77206553.793862447</v>
      </c>
      <c r="O34" s="11">
        <v>83098658.171221226</v>
      </c>
      <c r="P34" s="8">
        <f>SUM(D34:O34)</f>
        <v>938217745.68270135</v>
      </c>
    </row>
    <row r="35" spans="1:16">
      <c r="A35" s="5">
        <f t="shared" si="1"/>
        <v>26</v>
      </c>
      <c r="B35" s="9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8"/>
    </row>
    <row r="36" spans="1:16">
      <c r="A36" s="5">
        <f t="shared" si="1"/>
        <v>27</v>
      </c>
      <c r="B36" s="9" t="s">
        <v>46</v>
      </c>
      <c r="C36" s="7" t="str">
        <f>"("&amp;A$32&amp;") / ("&amp;A$34&amp;")"</f>
        <v>(23) / (25)</v>
      </c>
      <c r="D36" s="68">
        <f t="shared" ref="D36:P36" si="12">D32/D34</f>
        <v>1.4014823994176192E-2</v>
      </c>
      <c r="E36" s="68">
        <f t="shared" si="12"/>
        <v>1.4008978161447614E-2</v>
      </c>
      <c r="F36" s="68">
        <f t="shared" si="12"/>
        <v>1.4004223548991815E-2</v>
      </c>
      <c r="G36" s="68">
        <f t="shared" si="12"/>
        <v>1.3969476713124387E-2</v>
      </c>
      <c r="H36" s="68">
        <f t="shared" si="12"/>
        <v>2.6797286771126617E-2</v>
      </c>
      <c r="I36" s="68">
        <f t="shared" si="12"/>
        <v>2.680642121240949E-2</v>
      </c>
      <c r="J36" s="68">
        <f t="shared" si="12"/>
        <v>2.6808975488586077E-2</v>
      </c>
      <c r="K36" s="68">
        <f t="shared" si="12"/>
        <v>2.6856353975182067E-2</v>
      </c>
      <c r="L36" s="68">
        <f t="shared" si="12"/>
        <v>2.6821975440599548E-2</v>
      </c>
      <c r="M36" s="68">
        <f t="shared" si="12"/>
        <v>2.6801454334199528E-2</v>
      </c>
      <c r="N36" s="68">
        <f t="shared" si="12"/>
        <v>2.6815056368499381E-2</v>
      </c>
      <c r="O36" s="68">
        <f t="shared" si="12"/>
        <v>2.6888624499761454E-2</v>
      </c>
      <c r="P36" s="68">
        <f t="shared" si="12"/>
        <v>2.2475531699366794E-2</v>
      </c>
    </row>
  </sheetData>
  <mergeCells count="4">
    <mergeCell ref="A1:O1"/>
    <mergeCell ref="A2:O2"/>
    <mergeCell ref="A3:O3"/>
    <mergeCell ref="A4:O4"/>
  </mergeCells>
  <printOptions horizontalCentered="1" verticalCentered="1"/>
  <pageMargins left="0.2" right="0.2" top="0.75" bottom="0.75" header="0.3" footer="0.3"/>
  <pageSetup scale="45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0"/>
  <sheetViews>
    <sheetView zoomScaleNormal="100" workbookViewId="0">
      <pane xSplit="3" ySplit="8" topLeftCell="D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3.42578125" style="1" bestFit="1" customWidth="1"/>
    <col min="17" max="18" width="12.28515625" style="1" customWidth="1"/>
    <col min="19" max="16384" width="9.140625" style="1"/>
  </cols>
  <sheetData>
    <row r="1" spans="1:2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2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21">
      <c r="A3" s="81" t="s">
        <v>47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21" ht="15">
      <c r="A4" s="80" t="s">
        <v>41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</row>
    <row r="5" spans="1:21" ht="15">
      <c r="A5" s="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5" t="s">
        <v>40</v>
      </c>
      <c r="B7" s="34"/>
      <c r="C7" s="33" t="s">
        <v>39</v>
      </c>
      <c r="D7" s="32">
        <v>41275</v>
      </c>
      <c r="E7" s="32">
        <f t="shared" ref="E7:O7" si="0">EDATE(D7,1)</f>
        <v>41306</v>
      </c>
      <c r="F7" s="32">
        <f t="shared" si="0"/>
        <v>41334</v>
      </c>
      <c r="G7" s="32">
        <f t="shared" si="0"/>
        <v>41365</v>
      </c>
      <c r="H7" s="32">
        <f t="shared" si="0"/>
        <v>41395</v>
      </c>
      <c r="I7" s="32">
        <f t="shared" si="0"/>
        <v>41426</v>
      </c>
      <c r="J7" s="32">
        <f t="shared" si="0"/>
        <v>41456</v>
      </c>
      <c r="K7" s="32">
        <f t="shared" si="0"/>
        <v>41487</v>
      </c>
      <c r="L7" s="32">
        <f t="shared" si="0"/>
        <v>41518</v>
      </c>
      <c r="M7" s="32">
        <f t="shared" si="0"/>
        <v>41548</v>
      </c>
      <c r="N7" s="32">
        <f t="shared" si="0"/>
        <v>41579</v>
      </c>
      <c r="O7" s="32">
        <f t="shared" si="0"/>
        <v>41609</v>
      </c>
      <c r="P7" s="32" t="s">
        <v>38</v>
      </c>
      <c r="Q7" s="31"/>
      <c r="R7" s="31"/>
      <c r="S7" s="30"/>
      <c r="T7" s="30"/>
      <c r="U7" s="30"/>
    </row>
    <row r="8" spans="1:21">
      <c r="A8" s="5"/>
      <c r="B8" s="7" t="s">
        <v>37</v>
      </c>
      <c r="C8" s="7" t="s">
        <v>36</v>
      </c>
      <c r="D8" s="7" t="s">
        <v>35</v>
      </c>
      <c r="E8" s="7" t="s">
        <v>34</v>
      </c>
      <c r="F8" s="7" t="s">
        <v>33</v>
      </c>
      <c r="G8" s="7" t="s">
        <v>32</v>
      </c>
      <c r="H8" s="7" t="s">
        <v>31</v>
      </c>
      <c r="I8" s="7" t="s">
        <v>30</v>
      </c>
      <c r="J8" s="7" t="s">
        <v>29</v>
      </c>
      <c r="K8" s="7" t="s">
        <v>28</v>
      </c>
      <c r="L8" s="7" t="s">
        <v>27</v>
      </c>
      <c r="M8" s="7" t="s">
        <v>26</v>
      </c>
      <c r="N8" s="7" t="s">
        <v>25</v>
      </c>
      <c r="O8" s="7" t="s">
        <v>24</v>
      </c>
      <c r="P8" s="7" t="s">
        <v>23</v>
      </c>
    </row>
    <row r="9" spans="1:2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1">
      <c r="A10" s="5">
        <v>1</v>
      </c>
      <c r="B10" s="9" t="s">
        <v>22</v>
      </c>
      <c r="C10" s="7" t="s">
        <v>17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122239</v>
      </c>
      <c r="K10" s="25">
        <v>122279</v>
      </c>
      <c r="L10" s="25">
        <v>122200</v>
      </c>
      <c r="M10" s="25">
        <v>122276.69029505848</v>
      </c>
      <c r="N10" s="25">
        <v>122358.95743474975</v>
      </c>
      <c r="O10" s="25">
        <v>122496.91148510555</v>
      </c>
      <c r="P10" s="41"/>
      <c r="Q10" s="24"/>
      <c r="R10" s="24"/>
    </row>
    <row r="11" spans="1:21">
      <c r="A11" s="5">
        <f t="shared" ref="A11:A36" si="1">A10+1</f>
        <v>2</v>
      </c>
      <c r="B11" s="9" t="s">
        <v>21</v>
      </c>
      <c r="C11" s="7" t="s">
        <v>20</v>
      </c>
      <c r="D11" s="28">
        <v>0</v>
      </c>
      <c r="E11" s="28">
        <f>D11</f>
        <v>0</v>
      </c>
      <c r="F11" s="28">
        <f>E11</f>
        <v>0</v>
      </c>
      <c r="G11" s="28">
        <v>0</v>
      </c>
      <c r="H11" s="28">
        <v>0</v>
      </c>
      <c r="I11" s="28">
        <v>0</v>
      </c>
      <c r="J11" s="28">
        <v>143.2433636610188</v>
      </c>
      <c r="K11" s="28">
        <v>147.75717928962641</v>
      </c>
      <c r="L11" s="28">
        <v>149.30992466412354</v>
      </c>
      <c r="M11" s="28">
        <v>143.15885909847478</v>
      </c>
      <c r="N11" s="28">
        <v>150.71283973761885</v>
      </c>
      <c r="O11" s="28">
        <v>158.54228301589089</v>
      </c>
      <c r="P11" s="40"/>
      <c r="Q11" s="27"/>
      <c r="R11" s="27"/>
    </row>
    <row r="12" spans="1:21">
      <c r="A12" s="5">
        <f t="shared" si="1"/>
        <v>3</v>
      </c>
      <c r="B12" s="9" t="s">
        <v>19</v>
      </c>
      <c r="C12" s="7" t="str">
        <f>"("&amp;A10&amp;") x ("&amp;A11&amp;")"</f>
        <v>(1) x (2)</v>
      </c>
      <c r="D12" s="11">
        <f t="shared" ref="D12:O12" si="2">D10*D11</f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17509925.530559279</v>
      </c>
      <c r="K12" s="11">
        <f t="shared" si="2"/>
        <v>18067600.126356229</v>
      </c>
      <c r="L12" s="11">
        <f t="shared" si="2"/>
        <v>18245672.793955896</v>
      </c>
      <c r="M12" s="11">
        <f t="shared" si="2"/>
        <v>17504991.476978116</v>
      </c>
      <c r="N12" s="11">
        <f t="shared" si="2"/>
        <v>18441065.942325566</v>
      </c>
      <c r="O12" s="11">
        <f t="shared" si="2"/>
        <v>19420940.00924414</v>
      </c>
      <c r="P12" s="12">
        <f>SUM(D12:O12)</f>
        <v>109190195.87941924</v>
      </c>
      <c r="Q12" s="18"/>
      <c r="R12" s="18"/>
    </row>
    <row r="13" spans="1:21">
      <c r="A13" s="5">
        <f t="shared" si="1"/>
        <v>4</v>
      </c>
      <c r="B13" s="9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2"/>
      <c r="Q13" s="26"/>
      <c r="R13" s="26"/>
    </row>
    <row r="14" spans="1:21">
      <c r="A14" s="5">
        <f t="shared" si="1"/>
        <v>5</v>
      </c>
      <c r="B14" s="4" t="s">
        <v>18</v>
      </c>
      <c r="C14" s="7" t="s">
        <v>17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875120835</v>
      </c>
      <c r="K14" s="25">
        <v>896361072</v>
      </c>
      <c r="L14" s="25">
        <v>862870677</v>
      </c>
      <c r="M14" s="25">
        <v>829385000</v>
      </c>
      <c r="N14" s="25">
        <v>848829000</v>
      </c>
      <c r="O14" s="25">
        <v>915898000</v>
      </c>
      <c r="P14" s="12"/>
      <c r="Q14" s="24"/>
      <c r="R14" s="24"/>
    </row>
    <row r="15" spans="1:21">
      <c r="A15" s="5">
        <f t="shared" si="1"/>
        <v>6</v>
      </c>
      <c r="B15" s="9" t="s">
        <v>16</v>
      </c>
      <c r="C15" s="7" t="s">
        <v>6</v>
      </c>
      <c r="D15" s="22">
        <v>0</v>
      </c>
      <c r="E15" s="22">
        <f>$D$15</f>
        <v>0</v>
      </c>
      <c r="F15" s="22">
        <f>$D$15</f>
        <v>0</v>
      </c>
      <c r="G15" s="21">
        <v>0</v>
      </c>
      <c r="H15" s="21">
        <v>0</v>
      </c>
      <c r="I15" s="21">
        <v>0</v>
      </c>
      <c r="J15" s="21">
        <v>2.0965000000000001E-2</v>
      </c>
      <c r="K15" s="21">
        <f>J15</f>
        <v>2.0965000000000001E-2</v>
      </c>
      <c r="L15" s="21">
        <f>K15</f>
        <v>2.0965000000000001E-2</v>
      </c>
      <c r="M15" s="21">
        <f>L15</f>
        <v>2.0965000000000001E-2</v>
      </c>
      <c r="N15" s="21">
        <f>M15</f>
        <v>2.0965000000000001E-2</v>
      </c>
      <c r="O15" s="21">
        <f>N15</f>
        <v>2.0965000000000001E-2</v>
      </c>
      <c r="P15" s="12"/>
      <c r="Q15" s="19"/>
      <c r="R15" s="19"/>
    </row>
    <row r="16" spans="1:21">
      <c r="A16" s="5">
        <f t="shared" si="1"/>
        <v>7</v>
      </c>
      <c r="B16" s="9" t="s">
        <v>15</v>
      </c>
      <c r="C16" s="7" t="str">
        <f>"("&amp;A14&amp;") x ("&amp;A15&amp;")"</f>
        <v>(5) x (6)</v>
      </c>
      <c r="D16" s="11">
        <f t="shared" ref="D16:O16" si="3">D14*D15</f>
        <v>0</v>
      </c>
      <c r="E16" s="11">
        <f t="shared" si="3"/>
        <v>0</v>
      </c>
      <c r="F16" s="11">
        <f t="shared" si="3"/>
        <v>0</v>
      </c>
      <c r="G16" s="11">
        <f t="shared" si="3"/>
        <v>0</v>
      </c>
      <c r="H16" s="11">
        <f t="shared" si="3"/>
        <v>0</v>
      </c>
      <c r="I16" s="11">
        <f t="shared" si="3"/>
        <v>0</v>
      </c>
      <c r="J16" s="11">
        <f t="shared" si="3"/>
        <v>18346908.305775002</v>
      </c>
      <c r="K16" s="11">
        <f t="shared" si="3"/>
        <v>18792209.874480002</v>
      </c>
      <c r="L16" s="11">
        <f t="shared" si="3"/>
        <v>18090083.743305001</v>
      </c>
      <c r="M16" s="11">
        <f t="shared" si="3"/>
        <v>17388056.525000002</v>
      </c>
      <c r="N16" s="11">
        <f t="shared" si="3"/>
        <v>17795699.984999999</v>
      </c>
      <c r="O16" s="11">
        <f t="shared" si="3"/>
        <v>19201801.57</v>
      </c>
      <c r="P16" s="12">
        <f>SUM(D16:O16)</f>
        <v>109614760.00356001</v>
      </c>
      <c r="Q16" s="18"/>
      <c r="R16" s="18"/>
    </row>
    <row r="17" spans="1:18">
      <c r="A17" s="5">
        <f t="shared" si="1"/>
        <v>8</v>
      </c>
      <c r="B17" s="9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8">
      <c r="A18" s="5">
        <f t="shared" si="1"/>
        <v>9</v>
      </c>
      <c r="B18" s="9" t="s">
        <v>14</v>
      </c>
      <c r="C18" s="7" t="str">
        <f>"("&amp;A$12&amp;") - ("&amp;A16&amp;")"</f>
        <v>(3) - (7)</v>
      </c>
      <c r="D18" s="11">
        <f t="shared" ref="D18:O18" si="4">D12-D16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11">
        <f t="shared" si="4"/>
        <v>0</v>
      </c>
      <c r="I18" s="11">
        <f t="shared" si="4"/>
        <v>0</v>
      </c>
      <c r="J18" s="11">
        <f t="shared" si="4"/>
        <v>-836982.77521572262</v>
      </c>
      <c r="K18" s="11">
        <f t="shared" si="4"/>
        <v>-724609.74812377244</v>
      </c>
      <c r="L18" s="11">
        <f t="shared" si="4"/>
        <v>155589.05065089464</v>
      </c>
      <c r="M18" s="11">
        <f t="shared" si="4"/>
        <v>116934.9519781135</v>
      </c>
      <c r="N18" s="11">
        <f t="shared" si="4"/>
        <v>645365.95732556656</v>
      </c>
      <c r="O18" s="11">
        <f t="shared" si="4"/>
        <v>219138.43924413994</v>
      </c>
      <c r="P18" s="8">
        <f>SUM(D18:O18)</f>
        <v>-424564.12414078042</v>
      </c>
      <c r="Q18" s="18"/>
      <c r="R18" s="18"/>
    </row>
    <row r="19" spans="1:18">
      <c r="A19" s="5">
        <f t="shared" si="1"/>
        <v>10</v>
      </c>
      <c r="B19" s="9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2"/>
    </row>
    <row r="20" spans="1:18">
      <c r="A20" s="5">
        <f t="shared" si="1"/>
        <v>11</v>
      </c>
      <c r="B20" s="9" t="s">
        <v>13</v>
      </c>
      <c r="C20" s="7" t="s">
        <v>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-1133.4141747712911</v>
      </c>
      <c r="K20" s="17">
        <v>-3248.0707167935238</v>
      </c>
      <c r="L20" s="17">
        <v>-4018.6195779547129</v>
      </c>
      <c r="M20" s="17">
        <v>-3649.5766577279305</v>
      </c>
      <c r="N20" s="17">
        <v>-2617.2941763791973</v>
      </c>
      <c r="O20" s="17">
        <v>-1446.61113935772</v>
      </c>
      <c r="P20" s="12">
        <f>SUM(D20:O20)</f>
        <v>-16113.586442984373</v>
      </c>
      <c r="Q20" s="16"/>
      <c r="R20" s="16"/>
    </row>
    <row r="21" spans="1:18">
      <c r="A21" s="5">
        <f t="shared" si="1"/>
        <v>12</v>
      </c>
      <c r="B21" s="9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2"/>
    </row>
    <row r="22" spans="1:18">
      <c r="A22" s="5">
        <f t="shared" si="1"/>
        <v>13</v>
      </c>
      <c r="B22" s="9" t="s">
        <v>12</v>
      </c>
      <c r="C22" s="7" t="str">
        <f>"Σ(("&amp;A$18&amp;") + ("&amp;A20&amp;"))"</f>
        <v>Σ((9) + (11))</v>
      </c>
      <c r="D22" s="11">
        <f>D18+D20</f>
        <v>0</v>
      </c>
      <c r="E22" s="11">
        <f t="shared" ref="E22:O22" si="5">D22+E18+E20</f>
        <v>0</v>
      </c>
      <c r="F22" s="11">
        <f t="shared" si="5"/>
        <v>0</v>
      </c>
      <c r="G22" s="11">
        <f t="shared" si="5"/>
        <v>0</v>
      </c>
      <c r="H22" s="11">
        <f t="shared" si="5"/>
        <v>0</v>
      </c>
      <c r="I22" s="11">
        <f t="shared" si="5"/>
        <v>0</v>
      </c>
      <c r="J22" s="11">
        <f t="shared" si="5"/>
        <v>-838116.18939049391</v>
      </c>
      <c r="K22" s="11">
        <f t="shared" si="5"/>
        <v>-1565974.0082310599</v>
      </c>
      <c r="L22" s="11">
        <f t="shared" si="5"/>
        <v>-1414403.57715812</v>
      </c>
      <c r="M22" s="11">
        <f t="shared" si="5"/>
        <v>-1301118.2018377343</v>
      </c>
      <c r="N22" s="11">
        <f t="shared" si="5"/>
        <v>-658369.53868854698</v>
      </c>
      <c r="O22" s="11">
        <f t="shared" si="5"/>
        <v>-440677.71058376477</v>
      </c>
      <c r="P22" s="12"/>
    </row>
    <row r="23" spans="1:18">
      <c r="A23" s="5">
        <f t="shared" si="1"/>
        <v>14</v>
      </c>
      <c r="B23" s="3"/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2"/>
    </row>
    <row r="24" spans="1:18">
      <c r="A24" s="5">
        <f t="shared" si="1"/>
        <v>15</v>
      </c>
      <c r="B24" s="9" t="s">
        <v>11</v>
      </c>
      <c r="C24" s="7" t="s">
        <v>10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2"/>
    </row>
    <row r="25" spans="1:18">
      <c r="A25" s="5">
        <f t="shared" si="1"/>
        <v>16</v>
      </c>
      <c r="B25" s="3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</row>
    <row r="26" spans="1:18">
      <c r="A26" s="5">
        <f t="shared" si="1"/>
        <v>17</v>
      </c>
      <c r="B26" s="9" t="s">
        <v>9</v>
      </c>
      <c r="C26" s="7" t="str">
        <f>"("&amp;A14&amp;") x ("&amp;A24&amp;")"</f>
        <v>(5) x (15)</v>
      </c>
      <c r="D26" s="11">
        <v>0</v>
      </c>
      <c r="E26" s="11">
        <v>0</v>
      </c>
      <c r="F26" s="11">
        <v>0</v>
      </c>
      <c r="G26" s="11">
        <v>0</v>
      </c>
      <c r="H26" s="11">
        <f t="shared" ref="H26:O26" si="6">H14*H24</f>
        <v>0</v>
      </c>
      <c r="I26" s="11">
        <f t="shared" si="6"/>
        <v>0</v>
      </c>
      <c r="J26" s="11">
        <f t="shared" si="6"/>
        <v>0</v>
      </c>
      <c r="K26" s="11">
        <f t="shared" si="6"/>
        <v>0</v>
      </c>
      <c r="L26" s="11">
        <f t="shared" si="6"/>
        <v>0</v>
      </c>
      <c r="M26" s="11">
        <f t="shared" si="6"/>
        <v>0</v>
      </c>
      <c r="N26" s="11">
        <f t="shared" si="6"/>
        <v>0</v>
      </c>
      <c r="O26" s="11">
        <f t="shared" si="6"/>
        <v>0</v>
      </c>
      <c r="P26" s="12"/>
    </row>
    <row r="27" spans="1:18">
      <c r="A27" s="5">
        <f t="shared" si="1"/>
        <v>18</v>
      </c>
      <c r="B27" s="9"/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</row>
    <row r="28" spans="1:18">
      <c r="A28" s="5">
        <f t="shared" si="1"/>
        <v>19</v>
      </c>
      <c r="B28" s="9" t="s">
        <v>8</v>
      </c>
      <c r="C28" s="7" t="str">
        <f>"("&amp;A$28&amp;") + ("&amp;A18&amp;") + ("&amp;A20&amp;") - ("&amp;A26&amp;")"</f>
        <v>(19) + (9) + (11) - (17)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2"/>
    </row>
    <row r="29" spans="1:18">
      <c r="A29" s="5">
        <f t="shared" si="1"/>
        <v>20</v>
      </c>
      <c r="B29" s="9"/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</row>
    <row r="30" spans="1:18">
      <c r="A30" s="5">
        <f t="shared" si="1"/>
        <v>21</v>
      </c>
      <c r="B30" s="4" t="s">
        <v>7</v>
      </c>
      <c r="C30" s="7" t="s">
        <v>6</v>
      </c>
      <c r="D30" s="38">
        <v>0</v>
      </c>
      <c r="E30" s="38">
        <f>+D30</f>
        <v>0</v>
      </c>
      <c r="F30" s="38">
        <f>+E30</f>
        <v>0</v>
      </c>
      <c r="G30" s="13">
        <v>0</v>
      </c>
      <c r="H30" s="13">
        <v>0</v>
      </c>
      <c r="I30" s="13">
        <v>0</v>
      </c>
      <c r="J30" s="13">
        <v>3.3700000000000049E-4</v>
      </c>
      <c r="K30" s="13">
        <f>+J30</f>
        <v>3.3700000000000049E-4</v>
      </c>
      <c r="L30" s="13">
        <f>+K30</f>
        <v>3.3700000000000049E-4</v>
      </c>
      <c r="M30" s="13">
        <f>+L30</f>
        <v>3.3700000000000049E-4</v>
      </c>
      <c r="N30" s="13">
        <f>+M30</f>
        <v>3.3700000000000049E-4</v>
      </c>
      <c r="O30" s="13">
        <f>+N30</f>
        <v>3.3700000000000049E-4</v>
      </c>
      <c r="P30" s="12"/>
    </row>
    <row r="31" spans="1:18">
      <c r="A31" s="5">
        <f t="shared" si="1"/>
        <v>22</v>
      </c>
      <c r="B31" s="4"/>
      <c r="D31" s="3"/>
      <c r="E31" s="3"/>
      <c r="F31" s="3"/>
      <c r="G31" s="9"/>
      <c r="H31" s="9"/>
      <c r="I31" s="9"/>
      <c r="J31" s="9"/>
      <c r="K31" s="9"/>
      <c r="L31" s="9"/>
      <c r="M31" s="9"/>
      <c r="N31" s="9"/>
      <c r="O31" s="9"/>
      <c r="P31" s="12"/>
    </row>
    <row r="32" spans="1:18">
      <c r="A32" s="5">
        <f t="shared" si="1"/>
        <v>23</v>
      </c>
      <c r="B32" s="4" t="s">
        <v>5</v>
      </c>
      <c r="C32" s="7" t="str">
        <f>"("&amp;A14&amp;") x ("&amp;A30&amp;")"</f>
        <v>(5) x (21)</v>
      </c>
      <c r="D32" s="39">
        <f>+D30*D12</f>
        <v>0</v>
      </c>
      <c r="E32" s="39">
        <f>+E30*E12</f>
        <v>0</v>
      </c>
      <c r="F32" s="39">
        <f>+F30*F12</f>
        <v>0</v>
      </c>
      <c r="G32" s="12">
        <f>+G30*G12</f>
        <v>0</v>
      </c>
      <c r="H32" s="12">
        <f t="shared" ref="H32:O32" si="7">+H30*H14</f>
        <v>0</v>
      </c>
      <c r="I32" s="12">
        <f t="shared" si="7"/>
        <v>0</v>
      </c>
      <c r="J32" s="12">
        <f t="shared" si="7"/>
        <v>294915.72139500041</v>
      </c>
      <c r="K32" s="12">
        <f t="shared" si="7"/>
        <v>302073.68126400042</v>
      </c>
      <c r="L32" s="12">
        <f t="shared" si="7"/>
        <v>290787.41814900044</v>
      </c>
      <c r="M32" s="12">
        <f t="shared" si="7"/>
        <v>279502.7450000004</v>
      </c>
      <c r="N32" s="12">
        <f t="shared" si="7"/>
        <v>286055.37300000043</v>
      </c>
      <c r="O32" s="12">
        <f t="shared" si="7"/>
        <v>308657.62600000045</v>
      </c>
      <c r="P32" s="12">
        <f>SUM(D32:O32)</f>
        <v>1761992.5648080024</v>
      </c>
    </row>
    <row r="33" spans="1:16">
      <c r="A33" s="5">
        <f t="shared" si="1"/>
        <v>24</v>
      </c>
      <c r="B33" s="9"/>
      <c r="C33" s="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  <row r="34" spans="1:16">
      <c r="A34" s="5">
        <f t="shared" si="1"/>
        <v>25</v>
      </c>
      <c r="B34" s="9" t="s">
        <v>4</v>
      </c>
      <c r="C34" s="7" t="s">
        <v>3</v>
      </c>
      <c r="D34" s="38">
        <v>0</v>
      </c>
      <c r="E34" s="38">
        <f>+D34</f>
        <v>0</v>
      </c>
      <c r="F34" s="38">
        <f>+E34</f>
        <v>0</v>
      </c>
      <c r="G34" s="11">
        <v>0</v>
      </c>
      <c r="H34" s="11">
        <v>0</v>
      </c>
      <c r="I34" s="11">
        <v>0</v>
      </c>
      <c r="J34" s="11">
        <v>76018778.792952061</v>
      </c>
      <c r="K34" s="11">
        <v>77745552.383331746</v>
      </c>
      <c r="L34" s="11">
        <v>75019527.136042133</v>
      </c>
      <c r="M34" s="11">
        <v>72173748.327762023</v>
      </c>
      <c r="N34" s="11">
        <v>73826748.173631519</v>
      </c>
      <c r="O34" s="11">
        <v>79439556.064883471</v>
      </c>
      <c r="P34" s="12">
        <f>SUM(D34:O34)</f>
        <v>454223910.87860298</v>
      </c>
    </row>
    <row r="35" spans="1:16">
      <c r="A35" s="5">
        <f t="shared" si="1"/>
        <v>26</v>
      </c>
      <c r="B35" s="9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6">
      <c r="A36" s="5">
        <f t="shared" si="1"/>
        <v>27</v>
      </c>
      <c r="B36" s="9" t="s">
        <v>46</v>
      </c>
      <c r="C36" s="7" t="str">
        <f>"("&amp;A$32&amp;") / ("&amp;A$34&amp;")"</f>
        <v>(23) / (25)</v>
      </c>
      <c r="D36" s="11"/>
      <c r="E36" s="11"/>
      <c r="F36" s="11"/>
      <c r="G36" s="10"/>
      <c r="H36" s="10"/>
      <c r="I36" s="10"/>
      <c r="J36" s="10">
        <f t="shared" ref="J36:P36" si="8">J32/J34</f>
        <v>3.8795114322770856E-3</v>
      </c>
      <c r="K36" s="10">
        <f t="shared" si="8"/>
        <v>3.8854143035037909E-3</v>
      </c>
      <c r="L36" s="10">
        <f t="shared" si="8"/>
        <v>3.8761563722159945E-3</v>
      </c>
      <c r="M36" s="10">
        <f t="shared" si="8"/>
        <v>3.8726372327331123E-3</v>
      </c>
      <c r="N36" s="10">
        <f t="shared" si="8"/>
        <v>3.8746847189752016E-3</v>
      </c>
      <c r="O36" s="10">
        <f t="shared" si="8"/>
        <v>3.8854399658011635E-3</v>
      </c>
      <c r="P36" s="10">
        <f t="shared" si="8"/>
        <v>3.8791277222720161E-3</v>
      </c>
    </row>
    <row r="38" spans="1:16">
      <c r="A38" s="2" t="s">
        <v>0</v>
      </c>
    </row>
    <row r="40" spans="1:16">
      <c r="I40" s="37" t="s">
        <v>45</v>
      </c>
      <c r="J40" s="1">
        <f t="shared" ref="J40:O40" si="9">J34/J14</f>
        <v>8.6866608304385834E-2</v>
      </c>
      <c r="K40" s="1">
        <f t="shared" si="9"/>
        <v>8.6734637203579656E-2</v>
      </c>
      <c r="L40" s="1">
        <f t="shared" si="9"/>
        <v>8.6941796883013248E-2</v>
      </c>
      <c r="M40" s="1">
        <f t="shared" si="9"/>
        <v>8.7020802555823923E-2</v>
      </c>
      <c r="N40" s="1">
        <f t="shared" si="9"/>
        <v>8.6974818454166297E-2</v>
      </c>
      <c r="O40" s="1">
        <f t="shared" si="9"/>
        <v>8.6734064344374015E-2</v>
      </c>
    </row>
  </sheetData>
  <mergeCells count="4">
    <mergeCell ref="A1:O1"/>
    <mergeCell ref="A2:O2"/>
    <mergeCell ref="A3:O3"/>
    <mergeCell ref="A4:O4"/>
  </mergeCells>
  <printOptions horizontalCentered="1" verticalCentered="1"/>
  <pageMargins left="0.2" right="0.2" top="0.75" bottom="0.75" header="0.3" footer="0.3"/>
  <pageSetup scale="44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3"/>
  <sheetViews>
    <sheetView zoomScaleNormal="100" workbookViewId="0">
      <selection sqref="A1:O1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9.140625" style="1" customWidth="1"/>
    <col min="7" max="7" width="9.85546875" style="1" customWidth="1"/>
    <col min="8" max="16384" width="9.140625" style="1"/>
  </cols>
  <sheetData>
    <row r="1" spans="1:15">
      <c r="A1" s="83" t="s">
        <v>44</v>
      </c>
      <c r="B1" s="83"/>
      <c r="C1" s="83"/>
      <c r="D1" s="83"/>
      <c r="E1" s="83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83" t="s">
        <v>43</v>
      </c>
      <c r="B2" s="83"/>
      <c r="C2" s="83"/>
      <c r="D2" s="83"/>
      <c r="E2" s="83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3" t="s">
        <v>70</v>
      </c>
      <c r="B3" s="83"/>
      <c r="C3" s="83"/>
      <c r="D3" s="83"/>
      <c r="E3" s="83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>
      <c r="A4" s="83" t="s">
        <v>69</v>
      </c>
      <c r="B4" s="83"/>
      <c r="C4" s="83"/>
      <c r="D4" s="83"/>
      <c r="E4" s="83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>
      <c r="A5" s="3"/>
      <c r="B5" s="3"/>
      <c r="C5" s="3"/>
      <c r="D5" s="3"/>
      <c r="E5" s="3"/>
    </row>
    <row r="6" spans="1:15" ht="15">
      <c r="A6" s="3"/>
      <c r="B6" s="3"/>
      <c r="C6" s="3"/>
      <c r="D6" s="3"/>
      <c r="E6" s="3"/>
      <c r="G6"/>
      <c r="H6"/>
    </row>
    <row r="7" spans="1:15" ht="25.5">
      <c r="A7" s="56" t="s">
        <v>40</v>
      </c>
      <c r="B7" s="57"/>
      <c r="C7" s="56" t="s">
        <v>39</v>
      </c>
      <c r="D7" s="56" t="s">
        <v>68</v>
      </c>
      <c r="E7" s="56" t="s">
        <v>67</v>
      </c>
      <c r="G7"/>
      <c r="H7"/>
    </row>
    <row r="8" spans="1:15" ht="15">
      <c r="A8" s="9"/>
      <c r="B8" s="7" t="s">
        <v>37</v>
      </c>
      <c r="C8" s="7" t="s">
        <v>36</v>
      </c>
      <c r="D8" s="7" t="s">
        <v>35</v>
      </c>
      <c r="E8" s="7" t="s">
        <v>34</v>
      </c>
      <c r="G8"/>
      <c r="H8"/>
    </row>
    <row r="9" spans="1:15" ht="15">
      <c r="A9" s="7">
        <v>1</v>
      </c>
      <c r="B9" s="55"/>
      <c r="C9" s="7"/>
      <c r="D9" s="7"/>
      <c r="E9" s="7"/>
      <c r="G9"/>
      <c r="H9"/>
    </row>
    <row r="10" spans="1:15" ht="15">
      <c r="A10" s="7">
        <f t="shared" ref="A10:A40" si="0">A9+1</f>
        <v>2</v>
      </c>
      <c r="B10" s="9" t="s">
        <v>66</v>
      </c>
      <c r="C10" s="53" t="s">
        <v>62</v>
      </c>
      <c r="D10" s="8">
        <v>372335049.88542497</v>
      </c>
      <c r="E10" s="8">
        <v>244568476.7684623</v>
      </c>
      <c r="G10"/>
      <c r="H10"/>
    </row>
    <row r="11" spans="1:15" ht="15">
      <c r="A11" s="7">
        <f t="shared" si="0"/>
        <v>3</v>
      </c>
      <c r="B11" s="9"/>
      <c r="C11" s="7"/>
      <c r="D11" s="9"/>
      <c r="E11" s="9"/>
      <c r="G11"/>
      <c r="H11"/>
    </row>
    <row r="12" spans="1:15" ht="15">
      <c r="A12" s="7">
        <f t="shared" si="0"/>
        <v>4</v>
      </c>
      <c r="B12" s="4" t="s">
        <v>65</v>
      </c>
      <c r="C12" s="53" t="s">
        <v>62</v>
      </c>
      <c r="D12" s="54">
        <v>93020381.989999995</v>
      </c>
      <c r="E12" s="54">
        <v>31341486.830000002</v>
      </c>
      <c r="G12"/>
      <c r="H12"/>
    </row>
    <row r="13" spans="1:15" ht="15">
      <c r="A13" s="7">
        <f t="shared" si="0"/>
        <v>5</v>
      </c>
      <c r="B13" s="9"/>
      <c r="C13" s="53"/>
      <c r="D13" s="12"/>
      <c r="E13" s="12"/>
      <c r="G13"/>
      <c r="H13"/>
    </row>
    <row r="14" spans="1:15" ht="15">
      <c r="A14" s="7">
        <f t="shared" si="0"/>
        <v>6</v>
      </c>
      <c r="B14" s="9" t="s">
        <v>64</v>
      </c>
      <c r="C14" s="7" t="str">
        <f>"("&amp;A$10&amp;") - ("&amp;A12&amp;")"</f>
        <v>(2) - (4)</v>
      </c>
      <c r="D14" s="12">
        <f>+D10-D12</f>
        <v>279314667.89542496</v>
      </c>
      <c r="E14" s="12">
        <f>+E10-E12</f>
        <v>213226989.93846229</v>
      </c>
      <c r="G14"/>
      <c r="H14"/>
    </row>
    <row r="15" spans="1:15" ht="15">
      <c r="A15" s="7">
        <f t="shared" si="0"/>
        <v>7</v>
      </c>
      <c r="B15" s="9"/>
      <c r="C15" s="53"/>
      <c r="D15" s="9"/>
      <c r="E15" s="9"/>
      <c r="G15"/>
      <c r="H15"/>
    </row>
    <row r="16" spans="1:15" ht="15">
      <c r="A16" s="7">
        <f t="shared" si="0"/>
        <v>8</v>
      </c>
      <c r="B16" s="4" t="s">
        <v>63</v>
      </c>
      <c r="C16" s="53" t="s">
        <v>62</v>
      </c>
      <c r="D16" s="47">
        <v>10773318324.189205</v>
      </c>
      <c r="E16" s="47">
        <v>10336852082.775232</v>
      </c>
      <c r="G16"/>
      <c r="H16"/>
    </row>
    <row r="17" spans="1:8" ht="15">
      <c r="A17" s="7">
        <f t="shared" si="0"/>
        <v>9</v>
      </c>
      <c r="B17" s="9"/>
      <c r="C17" s="7"/>
      <c r="D17" s="9"/>
      <c r="E17" s="9"/>
      <c r="G17"/>
      <c r="H17"/>
    </row>
    <row r="18" spans="1:8" ht="15.75" thickBot="1">
      <c r="A18" s="7">
        <f t="shared" si="0"/>
        <v>10</v>
      </c>
      <c r="B18" s="4" t="s">
        <v>61</v>
      </c>
      <c r="C18" s="7" t="str">
        <f>"("&amp;A14&amp;") / ("&amp;A16&amp;")"</f>
        <v>(6) / (8)</v>
      </c>
      <c r="D18" s="46">
        <f>ROUND(D14/D16,6)</f>
        <v>2.5926999999999999E-2</v>
      </c>
      <c r="E18" s="46">
        <f>ROUND(E14/E16,6)</f>
        <v>2.0628000000000001E-2</v>
      </c>
      <c r="G18"/>
      <c r="H18"/>
    </row>
    <row r="19" spans="1:8" ht="15.75" thickTop="1">
      <c r="A19" s="7">
        <f t="shared" si="0"/>
        <v>11</v>
      </c>
      <c r="B19" s="3"/>
      <c r="C19" s="3"/>
      <c r="D19" s="3"/>
      <c r="E19" s="3"/>
      <c r="G19"/>
      <c r="H19"/>
    </row>
    <row r="20" spans="1:8" ht="15">
      <c r="A20" s="7">
        <f t="shared" si="0"/>
        <v>12</v>
      </c>
      <c r="B20" s="9" t="s">
        <v>60</v>
      </c>
      <c r="C20" s="7" t="s">
        <v>59</v>
      </c>
      <c r="D20" s="6">
        <v>314.73</v>
      </c>
      <c r="E20" s="6">
        <v>1849.15</v>
      </c>
      <c r="G20"/>
      <c r="H20"/>
    </row>
    <row r="21" spans="1:8" ht="15">
      <c r="A21" s="7">
        <f t="shared" si="0"/>
        <v>13</v>
      </c>
      <c r="B21" s="9"/>
      <c r="C21" s="7"/>
      <c r="D21" s="9"/>
      <c r="E21" s="9"/>
      <c r="G21"/>
      <c r="H21"/>
    </row>
    <row r="22" spans="1:8" ht="15">
      <c r="A22" s="7">
        <f t="shared" si="0"/>
        <v>14</v>
      </c>
      <c r="B22" s="45" t="s">
        <v>58</v>
      </c>
      <c r="C22" s="7" t="s">
        <v>17</v>
      </c>
      <c r="D22" s="52">
        <v>976222.30572687334</v>
      </c>
      <c r="E22" s="52">
        <v>124488.20624932497</v>
      </c>
      <c r="G22"/>
      <c r="H22"/>
    </row>
    <row r="23" spans="1:8" ht="15">
      <c r="A23" s="7">
        <f t="shared" si="0"/>
        <v>15</v>
      </c>
      <c r="B23" s="9"/>
      <c r="C23" s="7"/>
      <c r="D23" s="9"/>
      <c r="E23" s="9"/>
      <c r="G23"/>
      <c r="H23"/>
    </row>
    <row r="24" spans="1:8" ht="15">
      <c r="A24" s="7">
        <f t="shared" si="0"/>
        <v>16</v>
      </c>
      <c r="B24" s="45" t="s">
        <v>57</v>
      </c>
      <c r="C24" s="7" t="str">
        <f>"("&amp;A$20&amp;") x ("&amp;A22&amp;")"</f>
        <v>(12) x (14)</v>
      </c>
      <c r="D24" s="49">
        <f>D20*D22</f>
        <v>307246446.28141886</v>
      </c>
      <c r="E24" s="49">
        <f>E20*E22</f>
        <v>230197366.58593929</v>
      </c>
      <c r="G24"/>
      <c r="H24"/>
    </row>
    <row r="25" spans="1:8" ht="15">
      <c r="A25" s="7">
        <f t="shared" si="0"/>
        <v>17</v>
      </c>
      <c r="B25" s="9"/>
      <c r="C25" s="7"/>
      <c r="D25" s="49"/>
      <c r="E25" s="49"/>
      <c r="G25"/>
      <c r="H25"/>
    </row>
    <row r="26" spans="1:8" ht="15">
      <c r="A26" s="7">
        <f t="shared" si="0"/>
        <v>18</v>
      </c>
      <c r="B26" s="9" t="s">
        <v>56</v>
      </c>
      <c r="C26" s="7" t="s">
        <v>55</v>
      </c>
      <c r="D26" s="51">
        <f>'JPE-12 Page 1'!O22</f>
        <v>-1032726.6823009996</v>
      </c>
      <c r="E26" s="51">
        <f>'JPE-12 Page 2'!O22</f>
        <v>-440677.71058376477</v>
      </c>
      <c r="G26"/>
      <c r="H26"/>
    </row>
    <row r="27" spans="1:8" ht="15">
      <c r="A27" s="7">
        <f t="shared" si="0"/>
        <v>19</v>
      </c>
      <c r="B27" s="9"/>
      <c r="C27" s="7"/>
      <c r="D27" s="50"/>
      <c r="E27" s="50"/>
      <c r="G27"/>
      <c r="H27"/>
    </row>
    <row r="28" spans="1:8" ht="15">
      <c r="A28" s="7">
        <f t="shared" si="0"/>
        <v>20</v>
      </c>
      <c r="B28" s="9" t="s">
        <v>54</v>
      </c>
      <c r="C28" s="7" t="str">
        <f>"("&amp;A24&amp;") + ("&amp;A26&amp;")"</f>
        <v>(16) + (18)</v>
      </c>
      <c r="D28" s="49">
        <f>D24+D26</f>
        <v>306213719.59911788</v>
      </c>
      <c r="E28" s="49">
        <f>E24+E26</f>
        <v>229756688.87535551</v>
      </c>
      <c r="G28"/>
      <c r="H28"/>
    </row>
    <row r="29" spans="1:8" ht="15">
      <c r="A29" s="7">
        <f t="shared" si="0"/>
        <v>21</v>
      </c>
      <c r="B29" s="3"/>
      <c r="C29" s="3"/>
      <c r="D29" s="48"/>
      <c r="E29" s="48"/>
      <c r="G29"/>
      <c r="H29"/>
    </row>
    <row r="30" spans="1:8" ht="15">
      <c r="A30" s="7">
        <f t="shared" si="0"/>
        <v>22</v>
      </c>
      <c r="B30" s="4" t="s">
        <v>53</v>
      </c>
      <c r="C30" s="7" t="s">
        <v>17</v>
      </c>
      <c r="D30" s="47">
        <v>10590444000</v>
      </c>
      <c r="E30" s="47">
        <v>10512520000</v>
      </c>
      <c r="G30"/>
      <c r="H30"/>
    </row>
    <row r="31" spans="1:8" ht="15">
      <c r="A31" s="7">
        <f t="shared" si="0"/>
        <v>23</v>
      </c>
      <c r="B31" s="3"/>
      <c r="C31" s="3"/>
      <c r="D31" s="3"/>
      <c r="E31" s="3"/>
      <c r="G31"/>
      <c r="H31"/>
    </row>
    <row r="32" spans="1:8" ht="15.75" thickBot="1">
      <c r="A32" s="7">
        <f t="shared" si="0"/>
        <v>24</v>
      </c>
      <c r="B32" s="4" t="s">
        <v>52</v>
      </c>
      <c r="C32" s="7" t="str">
        <f>"("&amp;A28&amp;") / ("&amp;A30&amp;")"</f>
        <v>(20) / (22)</v>
      </c>
      <c r="D32" s="46">
        <f>ROUND(D28/D30,6)</f>
        <v>2.8913999999999999E-2</v>
      </c>
      <c r="E32" s="46">
        <f>ROUND(E28/E30,6)</f>
        <v>2.1856E-2</v>
      </c>
      <c r="G32"/>
      <c r="H32"/>
    </row>
    <row r="33" spans="1:8" ht="15.75" thickTop="1">
      <c r="A33" s="7">
        <f t="shared" si="0"/>
        <v>25</v>
      </c>
      <c r="B33" s="3"/>
      <c r="C33" s="3"/>
      <c r="D33" s="3"/>
      <c r="E33" s="3"/>
      <c r="G33"/>
      <c r="H33"/>
    </row>
    <row r="34" spans="1:8" ht="15">
      <c r="A34" s="7">
        <f t="shared" si="0"/>
        <v>26</v>
      </c>
      <c r="B34" s="45" t="s">
        <v>51</v>
      </c>
      <c r="C34" s="7" t="str">
        <f>"("&amp;A32&amp;") - ("&amp;A18&amp;")"</f>
        <v>(24) - (10)</v>
      </c>
      <c r="D34" s="44">
        <f>D32-D18</f>
        <v>2.9870000000000001E-3</v>
      </c>
      <c r="E34" s="44">
        <f>E32-E18</f>
        <v>1.2279999999999999E-3</v>
      </c>
      <c r="G34"/>
      <c r="H34"/>
    </row>
    <row r="35" spans="1:8" ht="15">
      <c r="A35" s="7">
        <f t="shared" si="0"/>
        <v>27</v>
      </c>
      <c r="B35" s="45"/>
      <c r="C35" s="7"/>
      <c r="D35" s="44"/>
      <c r="E35" s="44"/>
      <c r="G35"/>
      <c r="H35"/>
    </row>
    <row r="36" spans="1:8" ht="15">
      <c r="A36" s="7">
        <f t="shared" si="0"/>
        <v>28</v>
      </c>
      <c r="B36" s="9" t="s">
        <v>50</v>
      </c>
      <c r="C36" s="7" t="s">
        <v>49</v>
      </c>
      <c r="D36" s="44">
        <f>'JPE-12 Page 4'!D34</f>
        <v>2.9870000000000001E-3</v>
      </c>
      <c r="E36" s="44">
        <f>'JPE-12 Page 4'!E34</f>
        <v>1.2279999999999999E-3</v>
      </c>
      <c r="G36"/>
      <c r="H36"/>
    </row>
    <row r="37" spans="1:8" ht="15">
      <c r="A37" s="7">
        <f t="shared" si="0"/>
        <v>29</v>
      </c>
      <c r="B37" s="9"/>
      <c r="C37" s="7"/>
      <c r="D37" s="3"/>
      <c r="E37" s="3"/>
      <c r="G37"/>
      <c r="H37"/>
    </row>
    <row r="38" spans="1:8" ht="15">
      <c r="A38" s="7">
        <f t="shared" si="0"/>
        <v>30</v>
      </c>
      <c r="B38" s="9" t="s">
        <v>48</v>
      </c>
      <c r="C38" s="7" t="s">
        <v>10</v>
      </c>
      <c r="D38" s="43">
        <f>IF(D34=D36,D26,(D26-((D34-D36)*D30)))</f>
        <v>-1032726.6823009996</v>
      </c>
      <c r="E38" s="12">
        <f>IF(E34=E36,E26,(E26-((E34-E36)*E30)))</f>
        <v>-440677.71058376477</v>
      </c>
      <c r="G38"/>
      <c r="H38"/>
    </row>
    <row r="39" spans="1:8" ht="15">
      <c r="A39" s="7">
        <f t="shared" si="0"/>
        <v>31</v>
      </c>
      <c r="B39" s="9"/>
      <c r="C39" s="7"/>
      <c r="D39" s="3"/>
      <c r="E39" s="3"/>
      <c r="G39"/>
      <c r="H39"/>
    </row>
    <row r="40" spans="1:8" ht="15">
      <c r="A40" s="7">
        <f t="shared" si="0"/>
        <v>32</v>
      </c>
      <c r="B40" s="3" t="s">
        <v>106</v>
      </c>
      <c r="C40" s="3"/>
      <c r="D40" s="42"/>
      <c r="E40" s="42"/>
      <c r="G40"/>
      <c r="H40"/>
    </row>
    <row r="41" spans="1:8" ht="15">
      <c r="G41"/>
      <c r="H41"/>
    </row>
    <row r="42" spans="1:8" ht="15">
      <c r="G42"/>
      <c r="H42"/>
    </row>
    <row r="43" spans="1:8" ht="15">
      <c r="G43"/>
      <c r="H43"/>
    </row>
    <row r="44" spans="1:8" ht="15">
      <c r="G44"/>
      <c r="H44"/>
    </row>
    <row r="45" spans="1:8" ht="15">
      <c r="G45"/>
      <c r="H45"/>
    </row>
    <row r="46" spans="1:8" ht="15">
      <c r="G46"/>
      <c r="H46"/>
    </row>
    <row r="47" spans="1:8" ht="15">
      <c r="G47"/>
      <c r="H47"/>
    </row>
    <row r="48" spans="1:8" ht="15">
      <c r="G48"/>
      <c r="H48"/>
    </row>
    <row r="49" spans="7:8" ht="15">
      <c r="G49"/>
      <c r="H49"/>
    </row>
    <row r="50" spans="7:8" ht="15">
      <c r="G50"/>
      <c r="H50"/>
    </row>
    <row r="51" spans="7:8" ht="15">
      <c r="G51"/>
      <c r="H51"/>
    </row>
    <row r="52" spans="7:8" ht="15">
      <c r="G52"/>
      <c r="H52"/>
    </row>
    <row r="53" spans="7:8" ht="15">
      <c r="G53"/>
      <c r="H53"/>
    </row>
    <row r="54" spans="7:8" ht="15">
      <c r="G54"/>
      <c r="H54"/>
    </row>
    <row r="55" spans="7:8" ht="15">
      <c r="G55"/>
      <c r="H55"/>
    </row>
    <row r="56" spans="7:8" ht="15">
      <c r="G56"/>
      <c r="H56"/>
    </row>
    <row r="57" spans="7:8" ht="15">
      <c r="G57"/>
      <c r="H57"/>
    </row>
    <row r="58" spans="7:8" ht="15">
      <c r="G58"/>
      <c r="H58"/>
    </row>
    <row r="59" spans="7:8" ht="15">
      <c r="G59"/>
      <c r="H59"/>
    </row>
    <row r="60" spans="7:8" ht="15">
      <c r="G60"/>
      <c r="H60"/>
    </row>
    <row r="61" spans="7:8" ht="15">
      <c r="G61"/>
      <c r="H61"/>
    </row>
    <row r="62" spans="7:8" ht="15">
      <c r="G62"/>
      <c r="H62"/>
    </row>
    <row r="63" spans="7:8" ht="15">
      <c r="G63"/>
      <c r="H63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87" orientation="landscape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sqref="A1:O1"/>
    </sheetView>
  </sheetViews>
  <sheetFormatPr defaultRowHeight="15"/>
  <cols>
    <col min="1" max="1" width="6.42578125" customWidth="1"/>
    <col min="2" max="2" width="58.28515625" customWidth="1"/>
    <col min="3" max="3" width="17" bestFit="1" customWidth="1"/>
    <col min="4" max="5" width="19.7109375" customWidth="1"/>
  </cols>
  <sheetData>
    <row r="1" spans="1:5">
      <c r="A1" s="83" t="s">
        <v>44</v>
      </c>
      <c r="B1" s="83"/>
      <c r="C1" s="83"/>
      <c r="D1" s="83"/>
      <c r="E1" s="83"/>
    </row>
    <row r="2" spans="1:5">
      <c r="A2" s="83" t="s">
        <v>43</v>
      </c>
      <c r="B2" s="83"/>
      <c r="C2" s="83"/>
      <c r="D2" s="83"/>
      <c r="E2" s="83"/>
    </row>
    <row r="3" spans="1:5">
      <c r="A3" s="83" t="s">
        <v>93</v>
      </c>
      <c r="B3" s="83"/>
      <c r="C3" s="83"/>
      <c r="D3" s="83"/>
      <c r="E3" s="83"/>
    </row>
    <row r="4" spans="1:5">
      <c r="A4" s="83" t="s">
        <v>69</v>
      </c>
      <c r="B4" s="83"/>
      <c r="C4" s="83"/>
      <c r="D4" s="83"/>
      <c r="E4" s="8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 ht="25.5">
      <c r="A7" s="67" t="s">
        <v>40</v>
      </c>
      <c r="B7" s="57"/>
      <c r="C7" s="67" t="s">
        <v>39</v>
      </c>
      <c r="D7" s="67" t="s">
        <v>68</v>
      </c>
      <c r="E7" s="67" t="s">
        <v>67</v>
      </c>
    </row>
    <row r="8" spans="1:5">
      <c r="A8" s="9"/>
      <c r="B8" s="7" t="s">
        <v>37</v>
      </c>
      <c r="C8" s="7" t="s">
        <v>36</v>
      </c>
      <c r="D8" s="7" t="s">
        <v>35</v>
      </c>
      <c r="E8" s="7" t="s">
        <v>34</v>
      </c>
    </row>
    <row r="9" spans="1:5">
      <c r="A9" s="7">
        <v>1</v>
      </c>
      <c r="B9" s="55"/>
      <c r="C9" s="7"/>
      <c r="D9" s="7"/>
      <c r="E9" s="7"/>
    </row>
    <row r="10" spans="1:5">
      <c r="A10" s="7">
        <f t="shared" ref="A10:A36" si="0">A9+1</f>
        <v>2</v>
      </c>
      <c r="B10" s="9" t="s">
        <v>92</v>
      </c>
      <c r="C10" s="7" t="s">
        <v>86</v>
      </c>
      <c r="D10" s="8">
        <v>957735600.1057694</v>
      </c>
      <c r="E10" s="8">
        <v>761830528.02817941</v>
      </c>
    </row>
    <row r="11" spans="1:5">
      <c r="A11" s="7">
        <f t="shared" si="0"/>
        <v>3</v>
      </c>
      <c r="B11" s="9"/>
      <c r="C11" s="7"/>
      <c r="D11" s="9"/>
      <c r="E11" s="9"/>
    </row>
    <row r="12" spans="1:5">
      <c r="A12" s="7">
        <f t="shared" si="0"/>
        <v>4</v>
      </c>
      <c r="B12" s="9" t="s">
        <v>91</v>
      </c>
      <c r="C12" s="7" t="s">
        <v>90</v>
      </c>
      <c r="D12" s="66">
        <f>'JPE-12 Page 1'!P32</f>
        <v>7723498.5605800049</v>
      </c>
      <c r="E12" s="66">
        <f>'JPE-12 Page 2'!P32</f>
        <v>1761992.5648080024</v>
      </c>
    </row>
    <row r="13" spans="1:5">
      <c r="A13" s="7">
        <f t="shared" si="0"/>
        <v>5</v>
      </c>
      <c r="B13" s="9"/>
      <c r="C13" s="7"/>
      <c r="D13" s="9"/>
      <c r="E13" s="9"/>
    </row>
    <row r="14" spans="1:5">
      <c r="A14" s="7">
        <f t="shared" si="0"/>
        <v>6</v>
      </c>
      <c r="B14" s="9" t="s">
        <v>89</v>
      </c>
      <c r="C14" s="7" t="s">
        <v>88</v>
      </c>
      <c r="D14" s="8">
        <f>D10-D12</f>
        <v>950012101.54518938</v>
      </c>
      <c r="E14" s="8">
        <f>E10-E12</f>
        <v>760068535.4633714</v>
      </c>
    </row>
    <row r="15" spans="1:5">
      <c r="A15" s="7">
        <f t="shared" si="0"/>
        <v>7</v>
      </c>
      <c r="B15" s="9"/>
      <c r="C15" s="7"/>
      <c r="D15" s="9"/>
      <c r="E15" s="9"/>
    </row>
    <row r="16" spans="1:5">
      <c r="A16" s="7">
        <f t="shared" si="0"/>
        <v>8</v>
      </c>
      <c r="B16" s="9" t="s">
        <v>87</v>
      </c>
      <c r="C16" s="7" t="s">
        <v>86</v>
      </c>
      <c r="D16" s="51">
        <v>10613632000</v>
      </c>
      <c r="E16" s="51">
        <v>10512520000</v>
      </c>
    </row>
    <row r="17" spans="1:5">
      <c r="A17" s="7">
        <f t="shared" si="0"/>
        <v>9</v>
      </c>
      <c r="B17" s="9"/>
      <c r="C17" s="7"/>
      <c r="D17" s="9"/>
      <c r="E17" s="9"/>
    </row>
    <row r="18" spans="1:5">
      <c r="A18" s="7">
        <f t="shared" si="0"/>
        <v>10</v>
      </c>
      <c r="B18" s="9" t="s">
        <v>85</v>
      </c>
      <c r="C18" s="7" t="s">
        <v>84</v>
      </c>
      <c r="D18" s="13">
        <f>ROUND(D10/D16,6)</f>
        <v>9.0235999999999997E-2</v>
      </c>
      <c r="E18" s="13">
        <f>ROUND(E10/E16,6)</f>
        <v>7.2469000000000006E-2</v>
      </c>
    </row>
    <row r="19" spans="1:5">
      <c r="A19" s="7">
        <f t="shared" si="0"/>
        <v>11</v>
      </c>
      <c r="B19" s="9"/>
      <c r="C19" s="7"/>
      <c r="D19" s="64"/>
      <c r="E19" s="64"/>
    </row>
    <row r="20" spans="1:5">
      <c r="A20" s="7">
        <f t="shared" si="0"/>
        <v>12</v>
      </c>
      <c r="B20" s="9" t="s">
        <v>83</v>
      </c>
      <c r="C20" s="7" t="s">
        <v>6</v>
      </c>
      <c r="D20" s="65">
        <v>1.628000000000001E-3</v>
      </c>
      <c r="E20" s="65">
        <v>3.3700000000000049E-4</v>
      </c>
    </row>
    <row r="21" spans="1:5">
      <c r="A21" s="7">
        <f t="shared" si="0"/>
        <v>13</v>
      </c>
      <c r="B21" s="9"/>
      <c r="C21" s="7"/>
      <c r="D21" s="64"/>
      <c r="E21" s="64"/>
    </row>
    <row r="22" spans="1:5">
      <c r="A22" s="7">
        <f t="shared" si="0"/>
        <v>14</v>
      </c>
      <c r="B22" s="9" t="s">
        <v>82</v>
      </c>
      <c r="C22" s="7" t="s">
        <v>81</v>
      </c>
      <c r="D22" s="13">
        <f>D18+D20</f>
        <v>9.1864000000000001E-2</v>
      </c>
      <c r="E22" s="13">
        <f>E18+E20</f>
        <v>7.280600000000001E-2</v>
      </c>
    </row>
    <row r="23" spans="1:5">
      <c r="A23" s="7">
        <f t="shared" si="0"/>
        <v>15</v>
      </c>
      <c r="B23" s="9"/>
      <c r="C23" s="7"/>
      <c r="D23" s="64"/>
      <c r="E23" s="64"/>
    </row>
    <row r="24" spans="1:5">
      <c r="A24" s="7">
        <f t="shared" si="0"/>
        <v>16</v>
      </c>
      <c r="B24" s="9" t="s">
        <v>80</v>
      </c>
      <c r="C24" s="7" t="s">
        <v>79</v>
      </c>
      <c r="D24" s="13">
        <f>'JPE-12 Page 3'!D34</f>
        <v>2.9870000000000001E-3</v>
      </c>
      <c r="E24" s="13">
        <f>'JPE-12 Page 3'!E34</f>
        <v>1.2279999999999999E-3</v>
      </c>
    </row>
    <row r="25" spans="1:5">
      <c r="A25" s="7">
        <f t="shared" si="0"/>
        <v>17</v>
      </c>
      <c r="B25" s="9"/>
      <c r="C25" s="7"/>
      <c r="D25" s="9"/>
      <c r="E25" s="9"/>
    </row>
    <row r="26" spans="1:5">
      <c r="A26" s="7">
        <f t="shared" si="0"/>
        <v>18</v>
      </c>
      <c r="B26" s="9" t="s">
        <v>78</v>
      </c>
      <c r="C26" s="7" t="s">
        <v>77</v>
      </c>
      <c r="D26" s="44">
        <f>D24-D20</f>
        <v>1.3589999999999991E-3</v>
      </c>
      <c r="E26" s="44">
        <f>E24-E20</f>
        <v>8.9099999999999943E-4</v>
      </c>
    </row>
    <row r="27" spans="1:5">
      <c r="A27" s="7">
        <f t="shared" si="0"/>
        <v>19</v>
      </c>
      <c r="B27" s="9"/>
      <c r="C27" s="7"/>
      <c r="D27" s="9"/>
      <c r="E27" s="9"/>
    </row>
    <row r="28" spans="1:5">
      <c r="A28" s="7">
        <f t="shared" si="0"/>
        <v>20</v>
      </c>
      <c r="B28" s="9" t="s">
        <v>76</v>
      </c>
      <c r="C28" s="7" t="s">
        <v>75</v>
      </c>
      <c r="D28" s="10">
        <f>D26/D22</f>
        <v>1.479360794217538E-2</v>
      </c>
      <c r="E28" s="10">
        <f>E26/E22</f>
        <v>1.2238002362442647E-2</v>
      </c>
    </row>
    <row r="29" spans="1:5">
      <c r="A29" s="7">
        <f t="shared" si="0"/>
        <v>21</v>
      </c>
      <c r="B29" s="9"/>
      <c r="C29" s="7"/>
      <c r="D29" s="9"/>
      <c r="E29" s="9"/>
    </row>
    <row r="30" spans="1:5">
      <c r="A30" s="7">
        <f t="shared" si="0"/>
        <v>22</v>
      </c>
      <c r="B30" s="9" t="s">
        <v>74</v>
      </c>
      <c r="C30" s="7" t="s">
        <v>10</v>
      </c>
      <c r="D30" s="63">
        <f>IF(D28&gt;3%,D28-3%,0)</f>
        <v>0</v>
      </c>
      <c r="E30" s="63">
        <f>IF(E28&gt;3%,E28-3%,0)</f>
        <v>0</v>
      </c>
    </row>
    <row r="31" spans="1:5">
      <c r="A31" s="7">
        <f t="shared" si="0"/>
        <v>23</v>
      </c>
      <c r="B31" s="9"/>
      <c r="C31" s="7"/>
      <c r="D31" s="9"/>
      <c r="E31" s="9"/>
    </row>
    <row r="32" spans="1:5">
      <c r="A32" s="7">
        <f t="shared" si="0"/>
        <v>24</v>
      </c>
      <c r="B32" s="9" t="s">
        <v>73</v>
      </c>
      <c r="C32" s="7" t="s">
        <v>72</v>
      </c>
      <c r="D32" s="62">
        <f>D30*D22</f>
        <v>0</v>
      </c>
      <c r="E32" s="62">
        <f>E30*E22</f>
        <v>0</v>
      </c>
    </row>
    <row r="33" spans="1:5">
      <c r="A33" s="7">
        <f t="shared" si="0"/>
        <v>25</v>
      </c>
      <c r="B33" s="3"/>
      <c r="C33" s="3"/>
      <c r="D33" s="61"/>
      <c r="E33" s="61"/>
    </row>
    <row r="34" spans="1:5">
      <c r="A34" s="7">
        <f t="shared" si="0"/>
        <v>26</v>
      </c>
      <c r="B34" s="9" t="s">
        <v>50</v>
      </c>
      <c r="C34" s="7" t="s">
        <v>71</v>
      </c>
      <c r="D34" s="13">
        <f>D24-D32</f>
        <v>2.9870000000000001E-3</v>
      </c>
      <c r="E34" s="13">
        <f>E24-E32</f>
        <v>1.2279999999999999E-3</v>
      </c>
    </row>
    <row r="35" spans="1:5">
      <c r="A35" s="7">
        <f t="shared" si="0"/>
        <v>27</v>
      </c>
      <c r="B35" s="60"/>
      <c r="C35" s="60"/>
      <c r="D35" s="60"/>
      <c r="E35" s="60"/>
    </row>
    <row r="36" spans="1:5">
      <c r="A36" s="7">
        <f t="shared" si="0"/>
        <v>28</v>
      </c>
      <c r="B36" s="3" t="s">
        <v>106</v>
      </c>
      <c r="C36" s="60"/>
      <c r="D36" s="60"/>
      <c r="E36" s="60"/>
    </row>
    <row r="37" spans="1:5">
      <c r="A37" s="7"/>
      <c r="B37" s="3"/>
    </row>
    <row r="39" spans="1:5">
      <c r="D39" s="59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/>
  <cols>
    <col min="1" max="1" width="5" style="2" customWidth="1"/>
    <col min="2" max="2" width="41" style="2" customWidth="1"/>
    <col min="3" max="3" width="20.140625" style="2" bestFit="1" customWidth="1"/>
    <col min="4" max="15" width="14.7109375" style="2" customWidth="1"/>
    <col min="16" max="16" width="15.5703125" style="2" bestFit="1" customWidth="1"/>
    <col min="17" max="18" width="12.28515625" style="2" customWidth="1"/>
    <col min="19" max="16384" width="9.140625" style="2"/>
  </cols>
  <sheetData>
    <row r="1" spans="1:2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9"/>
    </row>
    <row r="2" spans="1:2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9"/>
    </row>
    <row r="3" spans="1:21">
      <c r="A3" s="81" t="s">
        <v>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9"/>
    </row>
    <row r="4" spans="1:21">
      <c r="A4" s="80" t="s">
        <v>95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9"/>
    </row>
    <row r="5" spans="1:21">
      <c r="A5" s="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9"/>
    </row>
    <row r="6" spans="1:2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1" ht="25.5" customHeight="1">
      <c r="A7" s="76" t="s">
        <v>40</v>
      </c>
      <c r="B7" s="34"/>
      <c r="C7" s="33" t="s">
        <v>39</v>
      </c>
      <c r="D7" s="32">
        <v>41640</v>
      </c>
      <c r="E7" s="32">
        <f t="shared" ref="E7:O7" si="0">EDATE(D7,1)</f>
        <v>41671</v>
      </c>
      <c r="F7" s="32">
        <f t="shared" si="0"/>
        <v>41699</v>
      </c>
      <c r="G7" s="32">
        <f t="shared" si="0"/>
        <v>41730</v>
      </c>
      <c r="H7" s="32">
        <f t="shared" si="0"/>
        <v>41760</v>
      </c>
      <c r="I7" s="32">
        <f t="shared" si="0"/>
        <v>41791</v>
      </c>
      <c r="J7" s="32">
        <f t="shared" si="0"/>
        <v>41821</v>
      </c>
      <c r="K7" s="32">
        <f t="shared" si="0"/>
        <v>41852</v>
      </c>
      <c r="L7" s="32">
        <f t="shared" si="0"/>
        <v>41883</v>
      </c>
      <c r="M7" s="32">
        <f t="shared" si="0"/>
        <v>41913</v>
      </c>
      <c r="N7" s="32">
        <f t="shared" si="0"/>
        <v>41944</v>
      </c>
      <c r="O7" s="32">
        <f t="shared" si="0"/>
        <v>41974</v>
      </c>
      <c r="P7" s="32" t="s">
        <v>38</v>
      </c>
      <c r="Q7" s="31"/>
      <c r="R7" s="31"/>
      <c r="S7" s="75"/>
      <c r="T7" s="75"/>
      <c r="U7" s="75"/>
    </row>
    <row r="8" spans="1:21">
      <c r="A8" s="7"/>
      <c r="B8" s="7" t="s">
        <v>37</v>
      </c>
      <c r="C8" s="7" t="s">
        <v>36</v>
      </c>
      <c r="D8" s="7" t="s">
        <v>35</v>
      </c>
      <c r="E8" s="7" t="s">
        <v>34</v>
      </c>
      <c r="F8" s="7" t="s">
        <v>33</v>
      </c>
      <c r="G8" s="7" t="s">
        <v>32</v>
      </c>
      <c r="H8" s="7" t="s">
        <v>31</v>
      </c>
      <c r="I8" s="7" t="s">
        <v>30</v>
      </c>
      <c r="J8" s="7" t="s">
        <v>29</v>
      </c>
      <c r="K8" s="7" t="s">
        <v>28</v>
      </c>
      <c r="L8" s="7" t="s">
        <v>27</v>
      </c>
      <c r="M8" s="7" t="s">
        <v>26</v>
      </c>
      <c r="N8" s="7" t="s">
        <v>25</v>
      </c>
      <c r="O8" s="7" t="s">
        <v>24</v>
      </c>
      <c r="P8" s="7" t="s">
        <v>23</v>
      </c>
    </row>
    <row r="9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1">
      <c r="A10" s="5">
        <v>1</v>
      </c>
      <c r="B10" s="9" t="s">
        <v>22</v>
      </c>
      <c r="C10" s="7" t="s">
        <v>17</v>
      </c>
      <c r="D10" s="25">
        <v>962163.93158044864</v>
      </c>
      <c r="E10" s="25">
        <v>963514.45799169224</v>
      </c>
      <c r="F10" s="25">
        <v>964752.53015332913</v>
      </c>
      <c r="G10" s="25">
        <v>965984.0527453752</v>
      </c>
      <c r="H10" s="25">
        <v>967136.27675073827</v>
      </c>
      <c r="I10" s="25">
        <v>968398.85088628228</v>
      </c>
      <c r="J10" s="25">
        <v>969518.18040597637</v>
      </c>
      <c r="K10" s="25">
        <v>971031.28430322208</v>
      </c>
      <c r="L10" s="25">
        <v>972768.57910381735</v>
      </c>
      <c r="M10" s="25">
        <v>974923.24372719531</v>
      </c>
      <c r="N10" s="25">
        <v>977041.23043458816</v>
      </c>
      <c r="O10" s="25">
        <v>978981.22046280722</v>
      </c>
      <c r="P10" s="29"/>
      <c r="Q10" s="72"/>
      <c r="R10" s="72"/>
    </row>
    <row r="11" spans="1:21">
      <c r="A11" s="5">
        <f t="shared" ref="A11:A38" si="1">A10+1</f>
        <v>2</v>
      </c>
      <c r="B11" s="9" t="s">
        <v>21</v>
      </c>
      <c r="C11" s="23" t="s">
        <v>20</v>
      </c>
      <c r="D11" s="28">
        <v>35.826531930879831</v>
      </c>
      <c r="E11" s="28">
        <v>34.293074680470603</v>
      </c>
      <c r="F11" s="28">
        <v>31.583144960289925</v>
      </c>
      <c r="G11" s="28">
        <v>28.176445223712612</v>
      </c>
      <c r="H11" s="28">
        <v>22.772838820465783</v>
      </c>
      <c r="I11" s="28">
        <v>21.135368452820671</v>
      </c>
      <c r="J11" s="28">
        <v>19.724339719965883</v>
      </c>
      <c r="K11" s="28">
        <v>19.404417356107704</v>
      </c>
      <c r="L11" s="28">
        <v>19.598034528641584</v>
      </c>
      <c r="M11" s="28">
        <v>20.477583555562262</v>
      </c>
      <c r="N11" s="28">
        <v>27.315975902688184</v>
      </c>
      <c r="O11" s="28">
        <v>34.422244868395019</v>
      </c>
      <c r="P11" s="6"/>
      <c r="Q11" s="74"/>
      <c r="R11" s="74"/>
    </row>
    <row r="12" spans="1:21">
      <c r="A12" s="5">
        <f t="shared" si="1"/>
        <v>3</v>
      </c>
      <c r="B12" s="9" t="s">
        <v>19</v>
      </c>
      <c r="C12" s="7" t="str">
        <f>"("&amp;A10&amp;") x ("&amp;A11&amp;")"</f>
        <v>(1) x (2)</v>
      </c>
      <c r="D12" s="11">
        <f t="shared" ref="D12:O12" si="2">D10*D11</f>
        <v>34470996.817507818</v>
      </c>
      <c r="E12" s="11">
        <f t="shared" si="2"/>
        <v>33041873.263622258</v>
      </c>
      <c r="F12" s="11">
        <f t="shared" si="2"/>
        <v>30469919.010639071</v>
      </c>
      <c r="G12" s="11">
        <f t="shared" si="2"/>
        <v>27217996.749159981</v>
      </c>
      <c r="H12" s="11">
        <f t="shared" si="2"/>
        <v>22024438.547869951</v>
      </c>
      <c r="I12" s="11">
        <f t="shared" si="2"/>
        <v>20467466.522769719</v>
      </c>
      <c r="J12" s="11">
        <f t="shared" si="2"/>
        <v>19123105.955010649</v>
      </c>
      <c r="K12" s="11">
        <f t="shared" si="2"/>
        <v>18842296.306456998</v>
      </c>
      <c r="L12" s="11">
        <f t="shared" si="2"/>
        <v>19064352.201654226</v>
      </c>
      <c r="M12" s="11">
        <f t="shared" si="2"/>
        <v>19964072.183683433</v>
      </c>
      <c r="N12" s="11">
        <f t="shared" si="2"/>
        <v>26688834.706484023</v>
      </c>
      <c r="O12" s="11">
        <f t="shared" si="2"/>
        <v>33698731.292330958</v>
      </c>
      <c r="P12" s="8">
        <f>SUM(D12:O12)</f>
        <v>305074083.55718911</v>
      </c>
      <c r="Q12" s="70"/>
      <c r="R12" s="70"/>
    </row>
    <row r="13" spans="1:21">
      <c r="A13" s="5">
        <f t="shared" si="1"/>
        <v>4</v>
      </c>
      <c r="B13" s="9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73"/>
      <c r="R13" s="73"/>
    </row>
    <row r="14" spans="1:21">
      <c r="A14" s="5">
        <f t="shared" si="1"/>
        <v>5</v>
      </c>
      <c r="B14" s="4" t="s">
        <v>18</v>
      </c>
      <c r="C14" s="7" t="s">
        <v>17</v>
      </c>
      <c r="D14" s="25">
        <v>1256369000</v>
      </c>
      <c r="E14" s="25">
        <v>1146843000</v>
      </c>
      <c r="F14" s="25">
        <v>1049566000</v>
      </c>
      <c r="G14" s="25">
        <v>908796000</v>
      </c>
      <c r="H14" s="25">
        <v>792819000</v>
      </c>
      <c r="I14" s="25">
        <v>701203000</v>
      </c>
      <c r="J14" s="25">
        <v>657268000</v>
      </c>
      <c r="K14" s="25">
        <v>659128000</v>
      </c>
      <c r="L14" s="25">
        <v>668080000</v>
      </c>
      <c r="M14" s="25">
        <v>700449000</v>
      </c>
      <c r="N14" s="25">
        <v>892837000</v>
      </c>
      <c r="O14" s="25">
        <v>1128345000</v>
      </c>
      <c r="P14" s="9"/>
      <c r="Q14" s="72"/>
      <c r="R14" s="72"/>
    </row>
    <row r="15" spans="1:21">
      <c r="A15" s="5">
        <f t="shared" si="1"/>
        <v>6</v>
      </c>
      <c r="B15" s="9" t="s">
        <v>16</v>
      </c>
      <c r="C15" s="23" t="s">
        <v>94</v>
      </c>
      <c r="D15" s="21">
        <v>2.7555E-2</v>
      </c>
      <c r="E15" s="21">
        <f>$D$15</f>
        <v>2.7555E-2</v>
      </c>
      <c r="F15" s="21">
        <f>$D$15</f>
        <v>2.7555E-2</v>
      </c>
      <c r="G15" s="21">
        <f>$D$15</f>
        <v>2.7555E-2</v>
      </c>
      <c r="H15" s="21">
        <f>'JPE-12 Page 3'!D32</f>
        <v>2.8913999999999999E-2</v>
      </c>
      <c r="I15" s="21">
        <f t="shared" ref="I15:O15" si="3">$H$15</f>
        <v>2.8913999999999999E-2</v>
      </c>
      <c r="J15" s="21">
        <f t="shared" si="3"/>
        <v>2.8913999999999999E-2</v>
      </c>
      <c r="K15" s="21">
        <f t="shared" si="3"/>
        <v>2.8913999999999999E-2</v>
      </c>
      <c r="L15" s="21">
        <f t="shared" si="3"/>
        <v>2.8913999999999999E-2</v>
      </c>
      <c r="M15" s="21">
        <f t="shared" si="3"/>
        <v>2.8913999999999999E-2</v>
      </c>
      <c r="N15" s="21">
        <f t="shared" si="3"/>
        <v>2.8913999999999999E-2</v>
      </c>
      <c r="O15" s="21">
        <f t="shared" si="3"/>
        <v>2.8913999999999999E-2</v>
      </c>
      <c r="P15" s="20"/>
      <c r="Q15" s="71"/>
      <c r="R15" s="71"/>
    </row>
    <row r="16" spans="1:21">
      <c r="A16" s="5">
        <f t="shared" si="1"/>
        <v>7</v>
      </c>
      <c r="B16" s="9" t="s">
        <v>15</v>
      </c>
      <c r="C16" s="7" t="str">
        <f>"("&amp;A14&amp;") x ("&amp;A15&amp;")"</f>
        <v>(5) x (6)</v>
      </c>
      <c r="D16" s="11">
        <f t="shared" ref="D16:O16" si="4">D14*D15</f>
        <v>34619247.795000002</v>
      </c>
      <c r="E16" s="11">
        <f t="shared" si="4"/>
        <v>31601258.864999998</v>
      </c>
      <c r="F16" s="11">
        <f t="shared" si="4"/>
        <v>28920791.129999999</v>
      </c>
      <c r="G16" s="11">
        <f t="shared" si="4"/>
        <v>25041873.780000001</v>
      </c>
      <c r="H16" s="11">
        <f t="shared" si="4"/>
        <v>22923568.566</v>
      </c>
      <c r="I16" s="11">
        <f t="shared" si="4"/>
        <v>20274583.541999999</v>
      </c>
      <c r="J16" s="11">
        <f t="shared" si="4"/>
        <v>19004246.952</v>
      </c>
      <c r="K16" s="11">
        <f t="shared" si="4"/>
        <v>19058026.991999999</v>
      </c>
      <c r="L16" s="11">
        <f t="shared" si="4"/>
        <v>19316865.119999997</v>
      </c>
      <c r="M16" s="11">
        <f t="shared" si="4"/>
        <v>20252782.386</v>
      </c>
      <c r="N16" s="11">
        <f t="shared" si="4"/>
        <v>25815489.017999999</v>
      </c>
      <c r="O16" s="11">
        <f t="shared" si="4"/>
        <v>32624967.329999998</v>
      </c>
      <c r="P16" s="8">
        <f>SUM(D16:O16)</f>
        <v>299453701.47600001</v>
      </c>
      <c r="Q16" s="70"/>
      <c r="R16" s="70"/>
    </row>
    <row r="17" spans="1:18">
      <c r="A17" s="5">
        <f t="shared" si="1"/>
        <v>8</v>
      </c>
      <c r="B17" s="9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8">
      <c r="A18" s="5">
        <f t="shared" si="1"/>
        <v>9</v>
      </c>
      <c r="B18" s="9" t="s">
        <v>14</v>
      </c>
      <c r="C18" s="7" t="str">
        <f>"("&amp;A$12&amp;") - ("&amp;A16&amp;")"</f>
        <v>(3) - (7)</v>
      </c>
      <c r="D18" s="11">
        <f t="shared" ref="D18:O18" si="5">D12-D16</f>
        <v>-148250.97749218345</v>
      </c>
      <c r="E18" s="11">
        <f t="shared" si="5"/>
        <v>1440614.3986222595</v>
      </c>
      <c r="F18" s="11">
        <f t="shared" si="5"/>
        <v>1549127.8806390725</v>
      </c>
      <c r="G18" s="11">
        <f t="shared" si="5"/>
        <v>2176122.9691599794</v>
      </c>
      <c r="H18" s="11">
        <f t="shared" si="5"/>
        <v>-899130.01813004911</v>
      </c>
      <c r="I18" s="11">
        <f t="shared" si="5"/>
        <v>192882.98076971993</v>
      </c>
      <c r="J18" s="11">
        <f t="shared" si="5"/>
        <v>118859.00301064923</v>
      </c>
      <c r="K18" s="11">
        <f t="shared" si="5"/>
        <v>-215730.6855430007</v>
      </c>
      <c r="L18" s="11">
        <f t="shared" si="5"/>
        <v>-252512.91834577173</v>
      </c>
      <c r="M18" s="11">
        <f t="shared" si="5"/>
        <v>-288710.2023165673</v>
      </c>
      <c r="N18" s="11">
        <f t="shared" si="5"/>
        <v>873345.68848402426</v>
      </c>
      <c r="O18" s="11">
        <f t="shared" si="5"/>
        <v>1073763.9623309597</v>
      </c>
      <c r="P18" s="8">
        <f>SUM(D18:O18)</f>
        <v>5620382.0811890922</v>
      </c>
      <c r="Q18" s="70"/>
      <c r="R18" s="70"/>
    </row>
    <row r="19" spans="1:18">
      <c r="A19" s="5">
        <f t="shared" si="1"/>
        <v>10</v>
      </c>
      <c r="B19" s="9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1:18">
      <c r="A20" s="5">
        <f t="shared" si="1"/>
        <v>11</v>
      </c>
      <c r="B20" s="9" t="s">
        <v>13</v>
      </c>
      <c r="C20" s="7" t="s">
        <v>3</v>
      </c>
      <c r="D20" s="17">
        <v>-2939.1840752816443</v>
      </c>
      <c r="E20" s="17">
        <v>-1189.1086091679995</v>
      </c>
      <c r="F20" s="17">
        <v>2859.500727331721</v>
      </c>
      <c r="G20" s="17">
        <v>7904.1112531012704</v>
      </c>
      <c r="H20" s="17">
        <v>9738.065481609472</v>
      </c>
      <c r="I20" s="17">
        <v>8978.9771359841707</v>
      </c>
      <c r="J20" s="17">
        <v>9580.515876520285</v>
      </c>
      <c r="K20" s="17">
        <v>9623.1675435973229</v>
      </c>
      <c r="L20" s="17">
        <v>9164.3474746893153</v>
      </c>
      <c r="M20" s="17">
        <v>8612.1574769776835</v>
      </c>
      <c r="N20" s="17">
        <v>9614.2471757023486</v>
      </c>
      <c r="O20" s="17">
        <v>12517.858282367903</v>
      </c>
      <c r="P20" s="8">
        <f>SUM(D20:O20)</f>
        <v>84464.655743431853</v>
      </c>
      <c r="Q20" s="16"/>
      <c r="R20" s="16"/>
    </row>
    <row r="21" spans="1:18">
      <c r="A21" s="5">
        <f t="shared" si="1"/>
        <v>12</v>
      </c>
      <c r="B21" s="9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1:18">
      <c r="A22" s="5">
        <f t="shared" si="1"/>
        <v>13</v>
      </c>
      <c r="B22" s="9" t="s">
        <v>12</v>
      </c>
      <c r="C22" s="7" t="str">
        <f>"Σ(("&amp;A$18&amp;") + ("&amp;A20&amp;"))"</f>
        <v>Σ((9) + (11))</v>
      </c>
      <c r="D22" s="11">
        <f>'JPE-12 Page 1'!O22+D18+D20</f>
        <v>-1183916.8438684649</v>
      </c>
      <c r="E22" s="11">
        <f t="shared" ref="E22:O22" si="6">D22+E18+E20</f>
        <v>255508.44614462656</v>
      </c>
      <c r="F22" s="11">
        <f t="shared" si="6"/>
        <v>1807495.8275110307</v>
      </c>
      <c r="G22" s="11">
        <f t="shared" si="6"/>
        <v>3991522.9079241115</v>
      </c>
      <c r="H22" s="11">
        <f t="shared" si="6"/>
        <v>3102130.955275672</v>
      </c>
      <c r="I22" s="11">
        <f t="shared" si="6"/>
        <v>3303992.9131813762</v>
      </c>
      <c r="J22" s="11">
        <f t="shared" si="6"/>
        <v>3432432.4320685458</v>
      </c>
      <c r="K22" s="11">
        <f t="shared" si="6"/>
        <v>3226324.9140691427</v>
      </c>
      <c r="L22" s="11">
        <f t="shared" si="6"/>
        <v>2982976.3431980601</v>
      </c>
      <c r="M22" s="11">
        <f t="shared" si="6"/>
        <v>2702878.2983584707</v>
      </c>
      <c r="N22" s="11">
        <f t="shared" si="6"/>
        <v>3585838.2340181973</v>
      </c>
      <c r="O22" s="11">
        <f t="shared" si="6"/>
        <v>4672120.0546315247</v>
      </c>
      <c r="P22" s="8"/>
    </row>
    <row r="23" spans="1:18">
      <c r="A23" s="5">
        <f t="shared" si="1"/>
        <v>14</v>
      </c>
      <c r="B23" s="3"/>
      <c r="C23" s="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8"/>
    </row>
    <row r="24" spans="1:18">
      <c r="A24" s="5">
        <f t="shared" si="1"/>
        <v>15</v>
      </c>
      <c r="B24" s="9" t="s">
        <v>11</v>
      </c>
      <c r="C24" s="7" t="s">
        <v>10</v>
      </c>
      <c r="D24" s="69">
        <v>0</v>
      </c>
      <c r="E24" s="69">
        <v>0</v>
      </c>
      <c r="F24" s="69">
        <v>0</v>
      </c>
      <c r="G24" s="69">
        <v>0</v>
      </c>
      <c r="H24" s="69">
        <f>'JPE-12 Page 1'!O22/'JPE-12 Page 3'!D30</f>
        <v>-9.7514956153018674E-5</v>
      </c>
      <c r="I24" s="69">
        <f t="shared" ref="I24:O24" si="7">$H$24</f>
        <v>-9.7514956153018674E-5</v>
      </c>
      <c r="J24" s="69">
        <f t="shared" si="7"/>
        <v>-9.7514956153018674E-5</v>
      </c>
      <c r="K24" s="69">
        <f t="shared" si="7"/>
        <v>-9.7514956153018674E-5</v>
      </c>
      <c r="L24" s="69">
        <f t="shared" si="7"/>
        <v>-9.7514956153018674E-5</v>
      </c>
      <c r="M24" s="69">
        <f t="shared" si="7"/>
        <v>-9.7514956153018674E-5</v>
      </c>
      <c r="N24" s="69">
        <f t="shared" si="7"/>
        <v>-9.7514956153018674E-5</v>
      </c>
      <c r="O24" s="69">
        <f t="shared" si="7"/>
        <v>-9.7514956153018674E-5</v>
      </c>
      <c r="P24" s="8"/>
    </row>
    <row r="25" spans="1:18">
      <c r="A25" s="5">
        <f t="shared" si="1"/>
        <v>16</v>
      </c>
      <c r="B25" s="3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</row>
    <row r="26" spans="1:18">
      <c r="A26" s="5">
        <f t="shared" si="1"/>
        <v>17</v>
      </c>
      <c r="B26" s="9" t="s">
        <v>9</v>
      </c>
      <c r="C26" s="7" t="str">
        <f>"("&amp;A14&amp;") x ("&amp;A24&amp;")"</f>
        <v>(5) x (15)</v>
      </c>
      <c r="D26" s="11">
        <v>0</v>
      </c>
      <c r="E26" s="11">
        <v>0</v>
      </c>
      <c r="F26" s="11">
        <v>0</v>
      </c>
      <c r="G26" s="11">
        <v>0</v>
      </c>
      <c r="H26" s="11">
        <f t="shared" ref="H26:O26" si="8">H14*H24</f>
        <v>-77311.710022280109</v>
      </c>
      <c r="I26" s="11">
        <f t="shared" si="8"/>
        <v>-68377.779799365147</v>
      </c>
      <c r="J26" s="11">
        <f t="shared" si="8"/>
        <v>-64093.460200782276</v>
      </c>
      <c r="K26" s="11">
        <f t="shared" si="8"/>
        <v>-64274.838019226896</v>
      </c>
      <c r="L26" s="11">
        <f t="shared" si="8"/>
        <v>-65147.791906708713</v>
      </c>
      <c r="M26" s="11">
        <f t="shared" si="8"/>
        <v>-68304.253522425774</v>
      </c>
      <c r="N26" s="11">
        <f t="shared" si="8"/>
        <v>-87064.960906792738</v>
      </c>
      <c r="O26" s="11">
        <f t="shared" si="8"/>
        <v>-110030.51320047786</v>
      </c>
      <c r="P26" s="8"/>
    </row>
    <row r="27" spans="1:18">
      <c r="A27" s="5">
        <f t="shared" si="1"/>
        <v>18</v>
      </c>
      <c r="B27" s="9"/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"/>
    </row>
    <row r="28" spans="1:18">
      <c r="A28" s="5">
        <f t="shared" si="1"/>
        <v>19</v>
      </c>
      <c r="B28" s="9" t="s">
        <v>8</v>
      </c>
      <c r="C28" s="7" t="str">
        <f>"("&amp;A$28&amp;") + ("&amp;A18&amp;") + ("&amp;A20&amp;") - ("&amp;A26&amp;")"</f>
        <v>(19) + (9) + (11) - (17)</v>
      </c>
      <c r="D28" s="11">
        <v>0</v>
      </c>
      <c r="E28" s="11">
        <v>0</v>
      </c>
      <c r="F28" s="11">
        <v>0</v>
      </c>
      <c r="G28" s="11">
        <v>0</v>
      </c>
      <c r="H28" s="11">
        <f>G22+H18+H20-H26</f>
        <v>3179442.665297952</v>
      </c>
      <c r="I28" s="11">
        <f t="shared" ref="I28:O28" si="9">H28+I18+I20-I26</f>
        <v>3449682.4030030211</v>
      </c>
      <c r="J28" s="11">
        <f t="shared" si="9"/>
        <v>3642215.3820909732</v>
      </c>
      <c r="K28" s="11">
        <f t="shared" si="9"/>
        <v>3500382.7021107967</v>
      </c>
      <c r="L28" s="11">
        <f t="shared" si="9"/>
        <v>3322181.923146423</v>
      </c>
      <c r="M28" s="11">
        <f t="shared" si="9"/>
        <v>3110388.1318292595</v>
      </c>
      <c r="N28" s="11">
        <f t="shared" si="9"/>
        <v>4080413.028395779</v>
      </c>
      <c r="O28" s="11">
        <f t="shared" si="9"/>
        <v>5276725.3622095846</v>
      </c>
      <c r="P28" s="8"/>
    </row>
    <row r="29" spans="1:18">
      <c r="A29" s="5">
        <f t="shared" si="1"/>
        <v>20</v>
      </c>
      <c r="B29" s="9"/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/>
    </row>
    <row r="30" spans="1:18">
      <c r="A30" s="5">
        <f t="shared" si="1"/>
        <v>21</v>
      </c>
      <c r="B30" s="4" t="s">
        <v>7</v>
      </c>
      <c r="C30" s="23" t="s">
        <v>94</v>
      </c>
      <c r="D30" s="13">
        <v>1.628000000000001E-3</v>
      </c>
      <c r="E30" s="13">
        <f>+D30</f>
        <v>1.628000000000001E-3</v>
      </c>
      <c r="F30" s="13">
        <f>+E30</f>
        <v>1.628000000000001E-3</v>
      </c>
      <c r="G30" s="13">
        <f>+F30</f>
        <v>1.628000000000001E-3</v>
      </c>
      <c r="H30" s="13">
        <f>+'JPE-12 Page 3'!$D$34</f>
        <v>2.9870000000000001E-3</v>
      </c>
      <c r="I30" s="13">
        <f t="shared" ref="I30:O30" si="10">+H30</f>
        <v>2.9870000000000001E-3</v>
      </c>
      <c r="J30" s="13">
        <f t="shared" si="10"/>
        <v>2.9870000000000001E-3</v>
      </c>
      <c r="K30" s="13">
        <f t="shared" si="10"/>
        <v>2.9870000000000001E-3</v>
      </c>
      <c r="L30" s="13">
        <f t="shared" si="10"/>
        <v>2.9870000000000001E-3</v>
      </c>
      <c r="M30" s="13">
        <f t="shared" si="10"/>
        <v>2.9870000000000001E-3</v>
      </c>
      <c r="N30" s="13">
        <f t="shared" si="10"/>
        <v>2.9870000000000001E-3</v>
      </c>
      <c r="O30" s="13">
        <f t="shared" si="10"/>
        <v>2.9870000000000001E-3</v>
      </c>
      <c r="P30" s="8"/>
    </row>
    <row r="31" spans="1:18">
      <c r="A31" s="5">
        <f t="shared" si="1"/>
        <v>22</v>
      </c>
      <c r="B31" s="4"/>
      <c r="C31" s="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8">
      <c r="A32" s="5">
        <f t="shared" si="1"/>
        <v>23</v>
      </c>
      <c r="B32" s="4" t="s">
        <v>5</v>
      </c>
      <c r="C32" s="7" t="str">
        <f>"("&amp;A14&amp;") x ("&amp;A30&amp;")"</f>
        <v>(5) x (21)</v>
      </c>
      <c r="D32" s="12">
        <f t="shared" ref="D32:O32" si="11">+D30*D14</f>
        <v>2045368.7320000012</v>
      </c>
      <c r="E32" s="12">
        <f t="shared" si="11"/>
        <v>1867060.404000001</v>
      </c>
      <c r="F32" s="12">
        <f t="shared" si="11"/>
        <v>1708693.448000001</v>
      </c>
      <c r="G32" s="12">
        <f t="shared" si="11"/>
        <v>1479519.888000001</v>
      </c>
      <c r="H32" s="12">
        <f t="shared" si="11"/>
        <v>2368150.3530000001</v>
      </c>
      <c r="I32" s="12">
        <f t="shared" si="11"/>
        <v>2094493.361</v>
      </c>
      <c r="J32" s="12">
        <f t="shared" si="11"/>
        <v>1963259.5160000001</v>
      </c>
      <c r="K32" s="12">
        <f t="shared" si="11"/>
        <v>1968815.3360000001</v>
      </c>
      <c r="L32" s="12">
        <f t="shared" si="11"/>
        <v>1995554.96</v>
      </c>
      <c r="M32" s="12">
        <f t="shared" si="11"/>
        <v>2092241.1629999999</v>
      </c>
      <c r="N32" s="12">
        <f t="shared" si="11"/>
        <v>2666904.1189999999</v>
      </c>
      <c r="O32" s="12">
        <f t="shared" si="11"/>
        <v>3370366.5150000001</v>
      </c>
      <c r="P32" s="8">
        <f>SUM(D32:O32)</f>
        <v>25620427.795000006</v>
      </c>
    </row>
    <row r="33" spans="1:16">
      <c r="A33" s="5">
        <f t="shared" si="1"/>
        <v>24</v>
      </c>
      <c r="B33" s="9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8"/>
    </row>
    <row r="34" spans="1:16">
      <c r="A34" s="5">
        <f t="shared" si="1"/>
        <v>25</v>
      </c>
      <c r="B34" s="9" t="s">
        <v>4</v>
      </c>
      <c r="C34" s="7" t="s">
        <v>3</v>
      </c>
      <c r="D34" s="11">
        <v>129796804.4974688</v>
      </c>
      <c r="E34" s="11">
        <v>119203890.29097874</v>
      </c>
      <c r="F34" s="11">
        <v>109744367.6011927</v>
      </c>
      <c r="G34" s="11">
        <v>96053759.478792474</v>
      </c>
      <c r="H34" s="11">
        <v>85880947.522273019</v>
      </c>
      <c r="I34" s="11">
        <v>76859123.572298974</v>
      </c>
      <c r="J34" s="11">
        <v>72530391.856403261</v>
      </c>
      <c r="K34" s="11">
        <v>72729755.482167155</v>
      </c>
      <c r="L34" s="11">
        <v>73659729.356136858</v>
      </c>
      <c r="M34" s="11">
        <v>76839030.970502481</v>
      </c>
      <c r="N34" s="11">
        <v>95793748.401625633</v>
      </c>
      <c r="O34" s="11">
        <v>118955427.17866759</v>
      </c>
      <c r="P34" s="8">
        <f>SUM(D34:O34)</f>
        <v>1128046976.2085078</v>
      </c>
    </row>
    <row r="35" spans="1:16">
      <c r="A35" s="5">
        <f t="shared" si="1"/>
        <v>26</v>
      </c>
      <c r="B35" s="9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8"/>
    </row>
    <row r="36" spans="1:16">
      <c r="A36" s="5">
        <f t="shared" si="1"/>
        <v>27</v>
      </c>
      <c r="B36" s="9" t="s">
        <v>46</v>
      </c>
      <c r="C36" s="7" t="str">
        <f>"("&amp;A32&amp;") / ("&amp;A34&amp;")"</f>
        <v>(23) / (25)</v>
      </c>
      <c r="D36" s="68">
        <f t="shared" ref="D36:P36" si="12">D32/D34</f>
        <v>1.5758236421297169E-2</v>
      </c>
      <c r="E36" s="68">
        <f t="shared" si="12"/>
        <v>1.5662747242916941E-2</v>
      </c>
      <c r="F36" s="68">
        <f t="shared" si="12"/>
        <v>1.5569759845984396E-2</v>
      </c>
      <c r="G36" s="68">
        <f t="shared" si="12"/>
        <v>1.5403039881293363E-2</v>
      </c>
      <c r="H36" s="68">
        <f t="shared" si="12"/>
        <v>2.7574804672314844E-2</v>
      </c>
      <c r="I36" s="68">
        <f t="shared" si="12"/>
        <v>2.7251070057151713E-2</v>
      </c>
      <c r="J36" s="68">
        <f t="shared" si="12"/>
        <v>2.7068094708310553E-2</v>
      </c>
      <c r="K36" s="68">
        <f t="shared" si="12"/>
        <v>2.7070286747804897E-2</v>
      </c>
      <c r="L36" s="68">
        <f t="shared" si="12"/>
        <v>2.7091532611417925E-2</v>
      </c>
      <c r="M36" s="68">
        <f t="shared" si="12"/>
        <v>2.7228885327863966E-2</v>
      </c>
      <c r="N36" s="68">
        <f t="shared" si="12"/>
        <v>2.7840064341346331E-2</v>
      </c>
      <c r="O36" s="68">
        <f t="shared" si="12"/>
        <v>2.8333020148276277E-2</v>
      </c>
      <c r="P36" s="68">
        <f t="shared" si="12"/>
        <v>2.2712199345733926E-2</v>
      </c>
    </row>
    <row r="37" spans="1:16">
      <c r="A37" s="5">
        <f t="shared" si="1"/>
        <v>28</v>
      </c>
      <c r="B37" s="9"/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6">
      <c r="A38" s="5">
        <f t="shared" si="1"/>
        <v>29</v>
      </c>
      <c r="B38" s="4" t="s">
        <v>1</v>
      </c>
      <c r="C38" s="7" t="str">
        <f>"("&amp;A30&amp;") * 1000"</f>
        <v>(21) * 1000</v>
      </c>
      <c r="D38" s="6">
        <f t="shared" ref="D38:O38" si="13">D30*1000</f>
        <v>1.628000000000001</v>
      </c>
      <c r="E38" s="6">
        <f t="shared" si="13"/>
        <v>1.628000000000001</v>
      </c>
      <c r="F38" s="6">
        <f t="shared" si="13"/>
        <v>1.628000000000001</v>
      </c>
      <c r="G38" s="6">
        <f t="shared" si="13"/>
        <v>1.628000000000001</v>
      </c>
      <c r="H38" s="6">
        <f t="shared" si="13"/>
        <v>2.9870000000000001</v>
      </c>
      <c r="I38" s="6">
        <f t="shared" si="13"/>
        <v>2.9870000000000001</v>
      </c>
      <c r="J38" s="6">
        <f t="shared" si="13"/>
        <v>2.9870000000000001</v>
      </c>
      <c r="K38" s="6">
        <f t="shared" si="13"/>
        <v>2.9870000000000001</v>
      </c>
      <c r="L38" s="6">
        <f t="shared" si="13"/>
        <v>2.9870000000000001</v>
      </c>
      <c r="M38" s="6">
        <f t="shared" si="13"/>
        <v>2.9870000000000001</v>
      </c>
      <c r="N38" s="6">
        <f t="shared" si="13"/>
        <v>2.9870000000000001</v>
      </c>
      <c r="O38" s="6">
        <f t="shared" si="13"/>
        <v>2.9870000000000001</v>
      </c>
      <c r="P38" s="9"/>
    </row>
  </sheetData>
  <mergeCells count="4">
    <mergeCell ref="A1:O1"/>
    <mergeCell ref="A2:O2"/>
    <mergeCell ref="A3:O3"/>
    <mergeCell ref="A4:O4"/>
  </mergeCells>
  <printOptions horizontalCentered="1" verticalCentered="1"/>
  <pageMargins left="0.2" right="0.2" top="0.75" bottom="0.75" header="0.3" footer="0.3"/>
  <pageSetup scale="44" orientation="landscape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3.42578125" style="1" bestFit="1" customWidth="1"/>
    <col min="17" max="18" width="12.28515625" style="1" customWidth="1"/>
    <col min="19" max="16384" width="9.140625" style="1"/>
  </cols>
  <sheetData>
    <row r="1" spans="1:2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2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21">
      <c r="A3" s="81" t="s">
        <v>47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21" ht="15">
      <c r="A4" s="80" t="s">
        <v>95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</row>
    <row r="5" spans="1:21" ht="15">
      <c r="A5" s="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5" t="s">
        <v>40</v>
      </c>
      <c r="B7" s="34"/>
      <c r="C7" s="33" t="s">
        <v>39</v>
      </c>
      <c r="D7" s="32">
        <v>41640</v>
      </c>
      <c r="E7" s="32">
        <f t="shared" ref="E7:O7" si="0">EDATE(D7,1)</f>
        <v>41671</v>
      </c>
      <c r="F7" s="32">
        <f t="shared" si="0"/>
        <v>41699</v>
      </c>
      <c r="G7" s="32">
        <f t="shared" si="0"/>
        <v>41730</v>
      </c>
      <c r="H7" s="32">
        <f t="shared" si="0"/>
        <v>41760</v>
      </c>
      <c r="I7" s="32">
        <f t="shared" si="0"/>
        <v>41791</v>
      </c>
      <c r="J7" s="32">
        <f t="shared" si="0"/>
        <v>41821</v>
      </c>
      <c r="K7" s="32">
        <f t="shared" si="0"/>
        <v>41852</v>
      </c>
      <c r="L7" s="32">
        <f t="shared" si="0"/>
        <v>41883</v>
      </c>
      <c r="M7" s="32">
        <f t="shared" si="0"/>
        <v>41913</v>
      </c>
      <c r="N7" s="32">
        <f t="shared" si="0"/>
        <v>41944</v>
      </c>
      <c r="O7" s="32">
        <f t="shared" si="0"/>
        <v>41974</v>
      </c>
      <c r="P7" s="32" t="s">
        <v>38</v>
      </c>
      <c r="Q7" s="31"/>
      <c r="R7" s="31"/>
      <c r="S7" s="30"/>
      <c r="T7" s="30"/>
      <c r="U7" s="30"/>
    </row>
    <row r="8" spans="1:21">
      <c r="A8" s="5"/>
      <c r="B8" s="7" t="s">
        <v>37</v>
      </c>
      <c r="C8" s="7" t="s">
        <v>36</v>
      </c>
      <c r="D8" s="7" t="s">
        <v>35</v>
      </c>
      <c r="E8" s="7" t="s">
        <v>34</v>
      </c>
      <c r="F8" s="7" t="s">
        <v>33</v>
      </c>
      <c r="G8" s="7" t="s">
        <v>32</v>
      </c>
      <c r="H8" s="7" t="s">
        <v>31</v>
      </c>
      <c r="I8" s="7" t="s">
        <v>30</v>
      </c>
      <c r="J8" s="7" t="s">
        <v>29</v>
      </c>
      <c r="K8" s="7" t="s">
        <v>28</v>
      </c>
      <c r="L8" s="7" t="s">
        <v>27</v>
      </c>
      <c r="M8" s="7" t="s">
        <v>26</v>
      </c>
      <c r="N8" s="7" t="s">
        <v>25</v>
      </c>
      <c r="O8" s="7" t="s">
        <v>24</v>
      </c>
      <c r="P8" s="7" t="s">
        <v>23</v>
      </c>
    </row>
    <row r="9" spans="1:2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1">
      <c r="A10" s="5">
        <v>1</v>
      </c>
      <c r="B10" s="9" t="s">
        <v>22</v>
      </c>
      <c r="C10" s="7" t="s">
        <v>17</v>
      </c>
      <c r="D10" s="25">
        <v>122572.82847566808</v>
      </c>
      <c r="E10" s="25">
        <v>122706.46109546947</v>
      </c>
      <c r="F10" s="25">
        <v>122895.05661056316</v>
      </c>
      <c r="G10" s="25">
        <v>123156.95999806479</v>
      </c>
      <c r="H10" s="25">
        <v>123426.47606324768</v>
      </c>
      <c r="I10" s="25">
        <v>123694.76846913381</v>
      </c>
      <c r="J10" s="25">
        <v>123964.38156834348</v>
      </c>
      <c r="K10" s="25">
        <v>124156.35095850957</v>
      </c>
      <c r="L10" s="25">
        <v>124333.54416030322</v>
      </c>
      <c r="M10" s="25">
        <v>124454.65028031236</v>
      </c>
      <c r="N10" s="25">
        <v>124564.06174763304</v>
      </c>
      <c r="O10" s="25">
        <v>124730.72377940372</v>
      </c>
      <c r="P10" s="29"/>
      <c r="Q10" s="24"/>
      <c r="R10" s="24"/>
    </row>
    <row r="11" spans="1:21">
      <c r="A11" s="5">
        <f t="shared" ref="A11:A36" si="1">A10+1</f>
        <v>2</v>
      </c>
      <c r="B11" s="9" t="s">
        <v>21</v>
      </c>
      <c r="C11" s="23" t="s">
        <v>20</v>
      </c>
      <c r="D11" s="28">
        <v>164.47752864076347</v>
      </c>
      <c r="E11" s="28">
        <v>158.98100343034085</v>
      </c>
      <c r="F11" s="28">
        <v>162.19775478144282</v>
      </c>
      <c r="G11" s="28">
        <v>149.92621775228687</v>
      </c>
      <c r="H11" s="28">
        <v>142.72274443209253</v>
      </c>
      <c r="I11" s="28">
        <v>147.53212226027483</v>
      </c>
      <c r="J11" s="28">
        <v>148.15143320549527</v>
      </c>
      <c r="K11" s="28">
        <v>152.81990954891671</v>
      </c>
      <c r="L11" s="28">
        <v>154.42585796255031</v>
      </c>
      <c r="M11" s="28">
        <v>148.06403319104902</v>
      </c>
      <c r="N11" s="28">
        <v>155.87684231178534</v>
      </c>
      <c r="O11" s="28">
        <v>163.97455248300213</v>
      </c>
      <c r="P11" s="6"/>
      <c r="Q11" s="27"/>
      <c r="R11" s="27"/>
    </row>
    <row r="12" spans="1:21">
      <c r="A12" s="5">
        <f t="shared" si="1"/>
        <v>3</v>
      </c>
      <c r="B12" s="9" t="s">
        <v>19</v>
      </c>
      <c r="C12" s="7" t="str">
        <f>"("&amp;A10&amp;") x ("&amp;A11&amp;")"</f>
        <v>(1) x (2)</v>
      </c>
      <c r="D12" s="11">
        <f t="shared" ref="D12:O12" si="2">D10*D11</f>
        <v>20160475.906186085</v>
      </c>
      <c r="E12" s="11">
        <f t="shared" si="2"/>
        <v>19507996.312343817</v>
      </c>
      <c r="F12" s="11">
        <f t="shared" si="2"/>
        <v>19933302.255971659</v>
      </c>
      <c r="G12" s="11">
        <f t="shared" si="2"/>
        <v>18464457.202379547</v>
      </c>
      <c r="H12" s="11">
        <f t="shared" si="2"/>
        <v>17615765.399328686</v>
      </c>
      <c r="I12" s="11">
        <f t="shared" si="2"/>
        <v>18248951.704744637</v>
      </c>
      <c r="J12" s="11">
        <f t="shared" si="2"/>
        <v>18365500.795782968</v>
      </c>
      <c r="K12" s="11">
        <f t="shared" si="2"/>
        <v>18973562.323402993</v>
      </c>
      <c r="L12" s="11">
        <f t="shared" si="2"/>
        <v>19200314.230479464</v>
      </c>
      <c r="M12" s="11">
        <f t="shared" si="2"/>
        <v>18427257.469884567</v>
      </c>
      <c r="N12" s="11">
        <f t="shared" si="2"/>
        <v>19416652.610751286</v>
      </c>
      <c r="O12" s="11">
        <f t="shared" si="2"/>
        <v>20452664.612608679</v>
      </c>
      <c r="P12" s="8">
        <f>SUM(D12:O12)</f>
        <v>228766900.82386434</v>
      </c>
      <c r="Q12" s="18"/>
      <c r="R12" s="18"/>
    </row>
    <row r="13" spans="1:21">
      <c r="A13" s="5">
        <f t="shared" si="1"/>
        <v>4</v>
      </c>
      <c r="B13" s="9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26"/>
      <c r="R13" s="26"/>
    </row>
    <row r="14" spans="1:21">
      <c r="A14" s="5">
        <f t="shared" si="1"/>
        <v>5</v>
      </c>
      <c r="B14" s="4" t="s">
        <v>18</v>
      </c>
      <c r="C14" s="7" t="s">
        <v>17</v>
      </c>
      <c r="D14" s="25">
        <v>927194000</v>
      </c>
      <c r="E14" s="25">
        <v>919461000</v>
      </c>
      <c r="F14" s="25">
        <v>904958000</v>
      </c>
      <c r="G14" s="25">
        <v>836588000</v>
      </c>
      <c r="H14" s="25">
        <v>831657000</v>
      </c>
      <c r="I14" s="25">
        <v>844685000</v>
      </c>
      <c r="J14" s="25">
        <v>847618000</v>
      </c>
      <c r="K14" s="25">
        <v>873123000</v>
      </c>
      <c r="L14" s="25">
        <v>867779000</v>
      </c>
      <c r="M14" s="25">
        <v>837665000</v>
      </c>
      <c r="N14" s="25">
        <v>857286000</v>
      </c>
      <c r="O14" s="25">
        <v>924913000</v>
      </c>
      <c r="P14" s="9"/>
      <c r="Q14" s="24"/>
      <c r="R14" s="24"/>
    </row>
    <row r="15" spans="1:21">
      <c r="A15" s="5">
        <f t="shared" si="1"/>
        <v>6</v>
      </c>
      <c r="B15" s="9" t="s">
        <v>16</v>
      </c>
      <c r="C15" s="23" t="s">
        <v>94</v>
      </c>
      <c r="D15" s="21">
        <v>2.0965000000000001E-2</v>
      </c>
      <c r="E15" s="21">
        <f>$D$15</f>
        <v>2.0965000000000001E-2</v>
      </c>
      <c r="F15" s="21">
        <f>$D$15</f>
        <v>2.0965000000000001E-2</v>
      </c>
      <c r="G15" s="21">
        <f>$D$15</f>
        <v>2.0965000000000001E-2</v>
      </c>
      <c r="H15" s="21">
        <f>'JPE-12 Page 3'!E32</f>
        <v>2.1856E-2</v>
      </c>
      <c r="I15" s="21">
        <f t="shared" ref="I15:O15" si="3">$H$15</f>
        <v>2.1856E-2</v>
      </c>
      <c r="J15" s="21">
        <f t="shared" si="3"/>
        <v>2.1856E-2</v>
      </c>
      <c r="K15" s="21">
        <f t="shared" si="3"/>
        <v>2.1856E-2</v>
      </c>
      <c r="L15" s="21">
        <f t="shared" si="3"/>
        <v>2.1856E-2</v>
      </c>
      <c r="M15" s="21">
        <f t="shared" si="3"/>
        <v>2.1856E-2</v>
      </c>
      <c r="N15" s="21">
        <f t="shared" si="3"/>
        <v>2.1856E-2</v>
      </c>
      <c r="O15" s="21">
        <f t="shared" si="3"/>
        <v>2.1856E-2</v>
      </c>
      <c r="P15" s="20"/>
      <c r="Q15" s="19"/>
      <c r="R15" s="19"/>
    </row>
    <row r="16" spans="1:21">
      <c r="A16" s="5">
        <f t="shared" si="1"/>
        <v>7</v>
      </c>
      <c r="B16" s="9" t="s">
        <v>15</v>
      </c>
      <c r="C16" s="7" t="str">
        <f>"("&amp;A14&amp;") x ("&amp;A15&amp;")"</f>
        <v>(5) x (6)</v>
      </c>
      <c r="D16" s="11">
        <f t="shared" ref="D16:O16" si="4">D14*D15</f>
        <v>19438622.210000001</v>
      </c>
      <c r="E16" s="11">
        <f t="shared" si="4"/>
        <v>19276499.865000002</v>
      </c>
      <c r="F16" s="11">
        <f t="shared" si="4"/>
        <v>18972444.470000003</v>
      </c>
      <c r="G16" s="11">
        <f t="shared" si="4"/>
        <v>17539067.420000002</v>
      </c>
      <c r="H16" s="11">
        <f t="shared" si="4"/>
        <v>18176695.392000001</v>
      </c>
      <c r="I16" s="11">
        <f t="shared" si="4"/>
        <v>18461435.359999999</v>
      </c>
      <c r="J16" s="11">
        <f t="shared" si="4"/>
        <v>18525539.008000001</v>
      </c>
      <c r="K16" s="11">
        <f t="shared" si="4"/>
        <v>19082976.287999999</v>
      </c>
      <c r="L16" s="11">
        <f t="shared" si="4"/>
        <v>18966177.824000001</v>
      </c>
      <c r="M16" s="11">
        <f t="shared" si="4"/>
        <v>18308006.240000002</v>
      </c>
      <c r="N16" s="11">
        <f t="shared" si="4"/>
        <v>18736842.816</v>
      </c>
      <c r="O16" s="11">
        <f t="shared" si="4"/>
        <v>20214898.528000001</v>
      </c>
      <c r="P16" s="8">
        <f>SUM(D16:O16)</f>
        <v>225699205.421</v>
      </c>
      <c r="Q16" s="18"/>
      <c r="R16" s="18"/>
    </row>
    <row r="17" spans="1:18">
      <c r="A17" s="5">
        <f t="shared" si="1"/>
        <v>8</v>
      </c>
      <c r="B17" s="9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8">
      <c r="A18" s="5">
        <f t="shared" si="1"/>
        <v>9</v>
      </c>
      <c r="B18" s="9" t="s">
        <v>14</v>
      </c>
      <c r="C18" s="7" t="str">
        <f>"("&amp;A$12&amp;") - ("&amp;A16&amp;")"</f>
        <v>(3) - (7)</v>
      </c>
      <c r="D18" s="11">
        <f t="shared" ref="D18:O18" si="5">D12-D16</f>
        <v>721853.6961860843</v>
      </c>
      <c r="E18" s="11">
        <f t="shared" si="5"/>
        <v>231496.44734381512</v>
      </c>
      <c r="F18" s="11">
        <f t="shared" si="5"/>
        <v>960857.78597165644</v>
      </c>
      <c r="G18" s="11">
        <f t="shared" si="5"/>
        <v>925389.78237954527</v>
      </c>
      <c r="H18" s="11">
        <f t="shared" si="5"/>
        <v>-560929.99267131463</v>
      </c>
      <c r="I18" s="11">
        <f t="shared" si="5"/>
        <v>-212483.65525536239</v>
      </c>
      <c r="J18" s="11">
        <f t="shared" si="5"/>
        <v>-160038.21221703291</v>
      </c>
      <c r="K18" s="11">
        <f t="shared" si="5"/>
        <v>-109413.9645970054</v>
      </c>
      <c r="L18" s="11">
        <f t="shared" si="5"/>
        <v>234136.40647946298</v>
      </c>
      <c r="M18" s="11">
        <f t="shared" si="5"/>
        <v>119251.22988456488</v>
      </c>
      <c r="N18" s="11">
        <f t="shared" si="5"/>
        <v>679809.79475128651</v>
      </c>
      <c r="O18" s="11">
        <f t="shared" si="5"/>
        <v>237766.08460867777</v>
      </c>
      <c r="P18" s="8">
        <f>SUM(D18:O18)</f>
        <v>3067695.4028643779</v>
      </c>
      <c r="Q18" s="18"/>
      <c r="R18" s="18"/>
    </row>
    <row r="19" spans="1:18">
      <c r="A19" s="5">
        <f t="shared" si="1"/>
        <v>10</v>
      </c>
      <c r="B19" s="9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1:18">
      <c r="A20" s="5">
        <f t="shared" si="1"/>
        <v>11</v>
      </c>
      <c r="B20" s="9" t="s">
        <v>13</v>
      </c>
      <c r="C20" s="7" t="s">
        <v>3</v>
      </c>
      <c r="D20" s="17">
        <v>-172.35095596262451</v>
      </c>
      <c r="E20" s="17">
        <v>1118.6440300674478</v>
      </c>
      <c r="F20" s="17">
        <v>2733.2903876821488</v>
      </c>
      <c r="G20" s="17">
        <v>5287.5839698244008</v>
      </c>
      <c r="H20" s="17">
        <v>5828.3329004874431</v>
      </c>
      <c r="I20" s="17">
        <v>4876.1607272911451</v>
      </c>
      <c r="J20" s="17">
        <v>4467.7688782384876</v>
      </c>
      <c r="K20" s="17">
        <v>4200.5648729748482</v>
      </c>
      <c r="L20" s="17">
        <v>4468.2834514515444</v>
      </c>
      <c r="M20" s="17">
        <v>5043.6400142117409</v>
      </c>
      <c r="N20" s="17">
        <v>6221.9169805910269</v>
      </c>
      <c r="O20" s="17">
        <v>7565.6355107676291</v>
      </c>
      <c r="P20" s="8">
        <f>SUM(D20:O20)</f>
        <v>51639.470767625236</v>
      </c>
      <c r="Q20" s="16"/>
      <c r="R20" s="16"/>
    </row>
    <row r="21" spans="1:18">
      <c r="A21" s="5">
        <f t="shared" si="1"/>
        <v>12</v>
      </c>
      <c r="B21" s="9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1:18">
      <c r="A22" s="5">
        <f t="shared" si="1"/>
        <v>13</v>
      </c>
      <c r="B22" s="9" t="s">
        <v>12</v>
      </c>
      <c r="C22" s="7" t="str">
        <f>"Σ(("&amp;A$18&amp;") + ("&amp;A20&amp;"))"</f>
        <v>Σ((9) + (11))</v>
      </c>
      <c r="D22" s="11">
        <f>'JPE-12 Page 2'!O22+D18+D20</f>
        <v>281003.63464635692</v>
      </c>
      <c r="E22" s="11">
        <f t="shared" ref="E22:O22" si="6">D22+E18+E20</f>
        <v>513618.72602023947</v>
      </c>
      <c r="F22" s="11">
        <f t="shared" si="6"/>
        <v>1477209.8023795781</v>
      </c>
      <c r="G22" s="11">
        <f t="shared" si="6"/>
        <v>2407887.1687289481</v>
      </c>
      <c r="H22" s="11">
        <f t="shared" si="6"/>
        <v>1852785.5089581208</v>
      </c>
      <c r="I22" s="11">
        <f t="shared" si="6"/>
        <v>1645178.0144300496</v>
      </c>
      <c r="J22" s="11">
        <f t="shared" si="6"/>
        <v>1489607.5710912552</v>
      </c>
      <c r="K22" s="11">
        <f t="shared" si="6"/>
        <v>1384394.1713672245</v>
      </c>
      <c r="L22" s="11">
        <f t="shared" si="6"/>
        <v>1622998.861298139</v>
      </c>
      <c r="M22" s="11">
        <f t="shared" si="6"/>
        <v>1747293.7311969155</v>
      </c>
      <c r="N22" s="11">
        <f t="shared" si="6"/>
        <v>2433325.4429287934</v>
      </c>
      <c r="O22" s="11">
        <f t="shared" si="6"/>
        <v>2678657.163048239</v>
      </c>
      <c r="P22" s="8"/>
    </row>
    <row r="23" spans="1:18">
      <c r="A23" s="5">
        <f t="shared" si="1"/>
        <v>14</v>
      </c>
      <c r="B23" s="3"/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8"/>
    </row>
    <row r="24" spans="1:18">
      <c r="A24" s="5">
        <f t="shared" si="1"/>
        <v>15</v>
      </c>
      <c r="B24" s="9" t="s">
        <v>11</v>
      </c>
      <c r="C24" s="7" t="s">
        <v>10</v>
      </c>
      <c r="D24" s="69">
        <v>0</v>
      </c>
      <c r="E24" s="69">
        <v>0</v>
      </c>
      <c r="F24" s="69">
        <v>0</v>
      </c>
      <c r="G24" s="69">
        <v>0</v>
      </c>
      <c r="H24" s="69">
        <f>'JPE-12 Page 2'!O22/'JPE-12 Page 3'!E30</f>
        <v>-4.1919321968830005E-5</v>
      </c>
      <c r="I24" s="69">
        <f t="shared" ref="I24:O24" si="7">$H$24</f>
        <v>-4.1919321968830005E-5</v>
      </c>
      <c r="J24" s="69">
        <f t="shared" si="7"/>
        <v>-4.1919321968830005E-5</v>
      </c>
      <c r="K24" s="69">
        <f t="shared" si="7"/>
        <v>-4.1919321968830005E-5</v>
      </c>
      <c r="L24" s="69">
        <f t="shared" si="7"/>
        <v>-4.1919321968830005E-5</v>
      </c>
      <c r="M24" s="69">
        <f t="shared" si="7"/>
        <v>-4.1919321968830005E-5</v>
      </c>
      <c r="N24" s="69">
        <f t="shared" si="7"/>
        <v>-4.1919321968830005E-5</v>
      </c>
      <c r="O24" s="69">
        <f t="shared" si="7"/>
        <v>-4.1919321968830005E-5</v>
      </c>
      <c r="P24" s="8"/>
    </row>
    <row r="25" spans="1:18">
      <c r="A25" s="5">
        <f t="shared" si="1"/>
        <v>16</v>
      </c>
      <c r="B25" s="3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</row>
    <row r="26" spans="1:18">
      <c r="A26" s="5">
        <f t="shared" si="1"/>
        <v>17</v>
      </c>
      <c r="B26" s="9" t="s">
        <v>9</v>
      </c>
      <c r="C26" s="7" t="str">
        <f>"("&amp;A14&amp;") x ("&amp;A24&amp;")"</f>
        <v>(5) x (15)</v>
      </c>
      <c r="D26" s="11">
        <v>0</v>
      </c>
      <c r="E26" s="11">
        <v>0</v>
      </c>
      <c r="F26" s="11">
        <v>0</v>
      </c>
      <c r="G26" s="11">
        <v>0</v>
      </c>
      <c r="H26" s="11">
        <f t="shared" ref="H26:O26" si="8">H14*H24</f>
        <v>-34862.497550631255</v>
      </c>
      <c r="I26" s="11">
        <f t="shared" si="8"/>
        <v>-35408.622477241173</v>
      </c>
      <c r="J26" s="11">
        <f t="shared" si="8"/>
        <v>-35531.571848575753</v>
      </c>
      <c r="K26" s="11">
        <f t="shared" si="8"/>
        <v>-36600.724155390759</v>
      </c>
      <c r="L26" s="11">
        <f t="shared" si="8"/>
        <v>-36376.707298789333</v>
      </c>
      <c r="M26" s="11">
        <f t="shared" si="8"/>
        <v>-35114.348837019985</v>
      </c>
      <c r="N26" s="11">
        <f t="shared" si="8"/>
        <v>-35936.847853370396</v>
      </c>
      <c r="O26" s="11">
        <f t="shared" si="8"/>
        <v>-38771.725840156469</v>
      </c>
      <c r="P26" s="8"/>
    </row>
    <row r="27" spans="1:18">
      <c r="A27" s="5">
        <f t="shared" si="1"/>
        <v>18</v>
      </c>
      <c r="B27" s="9"/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"/>
    </row>
    <row r="28" spans="1:18">
      <c r="A28" s="5">
        <f t="shared" si="1"/>
        <v>19</v>
      </c>
      <c r="B28" s="9" t="s">
        <v>8</v>
      </c>
      <c r="C28" s="7" t="str">
        <f>"("&amp;A$28&amp;") + ("&amp;A18&amp;") + ("&amp;A20&amp;") - ("&amp;A26&amp;")"</f>
        <v>(19) + (9) + (11) - (17)</v>
      </c>
      <c r="D28" s="11">
        <v>0</v>
      </c>
      <c r="E28" s="11">
        <v>0</v>
      </c>
      <c r="F28" s="11">
        <v>0</v>
      </c>
      <c r="G28" s="11">
        <v>0</v>
      </c>
      <c r="H28" s="11">
        <f>G22+H18+H20-H26</f>
        <v>1887648.006508752</v>
      </c>
      <c r="I28" s="11">
        <f t="shared" ref="I28:O28" si="9">H28+I18+I20-I26</f>
        <v>1715449.1344579218</v>
      </c>
      <c r="J28" s="11">
        <f t="shared" si="9"/>
        <v>1595410.2629677032</v>
      </c>
      <c r="K28" s="11">
        <f t="shared" si="9"/>
        <v>1526797.5873990634</v>
      </c>
      <c r="L28" s="11">
        <f t="shared" si="9"/>
        <v>1801778.9846287672</v>
      </c>
      <c r="M28" s="11">
        <f t="shared" si="9"/>
        <v>1961188.2033645636</v>
      </c>
      <c r="N28" s="11">
        <f t="shared" si="9"/>
        <v>2683156.7629498118</v>
      </c>
      <c r="O28" s="11">
        <f t="shared" si="9"/>
        <v>2967260.2089094138</v>
      </c>
      <c r="P28" s="8"/>
    </row>
    <row r="29" spans="1:18">
      <c r="A29" s="5">
        <f t="shared" si="1"/>
        <v>20</v>
      </c>
      <c r="B29" s="9"/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/>
    </row>
    <row r="30" spans="1:18">
      <c r="A30" s="5">
        <f t="shared" si="1"/>
        <v>21</v>
      </c>
      <c r="B30" s="4" t="s">
        <v>7</v>
      </c>
      <c r="C30" s="23" t="s">
        <v>94</v>
      </c>
      <c r="D30" s="13">
        <v>3.3700000000000049E-4</v>
      </c>
      <c r="E30" s="13">
        <f>+D30</f>
        <v>3.3700000000000049E-4</v>
      </c>
      <c r="F30" s="13">
        <f>+E30</f>
        <v>3.3700000000000049E-4</v>
      </c>
      <c r="G30" s="13">
        <f>+F30</f>
        <v>3.3700000000000049E-4</v>
      </c>
      <c r="H30" s="13">
        <f>+'JPE-12 Page 3'!E34</f>
        <v>1.2279999999999999E-3</v>
      </c>
      <c r="I30" s="13">
        <f t="shared" ref="I30:O30" si="10">+H30</f>
        <v>1.2279999999999999E-3</v>
      </c>
      <c r="J30" s="13">
        <f t="shared" si="10"/>
        <v>1.2279999999999999E-3</v>
      </c>
      <c r="K30" s="13">
        <f t="shared" si="10"/>
        <v>1.2279999999999999E-3</v>
      </c>
      <c r="L30" s="13">
        <f t="shared" si="10"/>
        <v>1.2279999999999999E-3</v>
      </c>
      <c r="M30" s="13">
        <f t="shared" si="10"/>
        <v>1.2279999999999999E-3</v>
      </c>
      <c r="N30" s="13">
        <f t="shared" si="10"/>
        <v>1.2279999999999999E-3</v>
      </c>
      <c r="O30" s="13">
        <f t="shared" si="10"/>
        <v>1.2279999999999999E-3</v>
      </c>
      <c r="P30" s="8"/>
    </row>
    <row r="31" spans="1:18">
      <c r="A31" s="5">
        <f t="shared" si="1"/>
        <v>22</v>
      </c>
      <c r="B31" s="4"/>
      <c r="C31" s="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8">
      <c r="A32" s="5">
        <f t="shared" si="1"/>
        <v>23</v>
      </c>
      <c r="B32" s="4" t="s">
        <v>5</v>
      </c>
      <c r="C32" s="7" t="str">
        <f>"("&amp;A14&amp;") x ("&amp;A30&amp;")"</f>
        <v>(5) x (21)</v>
      </c>
      <c r="D32" s="12">
        <f t="shared" ref="D32:O32" si="11">+D30*D14</f>
        <v>312464.37800000043</v>
      </c>
      <c r="E32" s="12">
        <f t="shared" si="11"/>
        <v>309858.35700000043</v>
      </c>
      <c r="F32" s="12">
        <f t="shared" si="11"/>
        <v>304970.84600000043</v>
      </c>
      <c r="G32" s="12">
        <f t="shared" si="11"/>
        <v>281930.15600000042</v>
      </c>
      <c r="H32" s="12">
        <f t="shared" si="11"/>
        <v>1021274.796</v>
      </c>
      <c r="I32" s="12">
        <f t="shared" si="11"/>
        <v>1037273.1799999999</v>
      </c>
      <c r="J32" s="12">
        <f t="shared" si="11"/>
        <v>1040874.904</v>
      </c>
      <c r="K32" s="12">
        <f t="shared" si="11"/>
        <v>1072195.044</v>
      </c>
      <c r="L32" s="12">
        <f t="shared" si="11"/>
        <v>1065632.612</v>
      </c>
      <c r="M32" s="12">
        <f t="shared" si="11"/>
        <v>1028652.6199999999</v>
      </c>
      <c r="N32" s="12">
        <f t="shared" si="11"/>
        <v>1052747.2079999999</v>
      </c>
      <c r="O32" s="12">
        <f t="shared" si="11"/>
        <v>1135793.1639999999</v>
      </c>
      <c r="P32" s="8">
        <f>SUM(D32:O32)</f>
        <v>9663667.2650000006</v>
      </c>
    </row>
    <row r="33" spans="1:16">
      <c r="A33" s="5">
        <f t="shared" si="1"/>
        <v>24</v>
      </c>
      <c r="B33" s="9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8"/>
    </row>
    <row r="34" spans="1:16">
      <c r="A34" s="5">
        <f t="shared" si="1"/>
        <v>25</v>
      </c>
      <c r="B34" s="9" t="s">
        <v>4</v>
      </c>
      <c r="C34" s="7" t="s">
        <v>3</v>
      </c>
      <c r="D34" s="11">
        <v>80390682.829576552</v>
      </c>
      <c r="E34" s="11">
        <v>79758690.756789595</v>
      </c>
      <c r="F34" s="11">
        <v>78530199.160467878</v>
      </c>
      <c r="G34" s="11">
        <v>72774077.256125718</v>
      </c>
      <c r="H34" s="11">
        <v>73127003.763394862</v>
      </c>
      <c r="I34" s="11">
        <v>74248207.082087249</v>
      </c>
      <c r="J34" s="11">
        <v>74497417.383589298</v>
      </c>
      <c r="K34" s="11">
        <v>76603958.720861614</v>
      </c>
      <c r="L34" s="11">
        <v>76234611.276809096</v>
      </c>
      <c r="M34" s="11">
        <v>73644339.185590059</v>
      </c>
      <c r="N34" s="11">
        <v>75329919.919388816</v>
      </c>
      <c r="O34" s="11">
        <v>81049644.13313356</v>
      </c>
      <c r="P34" s="8">
        <f>SUM(D34:O34)</f>
        <v>916188751.46781421</v>
      </c>
    </row>
    <row r="35" spans="1:16">
      <c r="A35" s="5">
        <f t="shared" si="1"/>
        <v>26</v>
      </c>
      <c r="B35" s="9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8"/>
    </row>
    <row r="36" spans="1:16">
      <c r="A36" s="5">
        <f t="shared" si="1"/>
        <v>27</v>
      </c>
      <c r="B36" s="9" t="s">
        <v>46</v>
      </c>
      <c r="C36" s="7" t="str">
        <f>"("&amp;A$32&amp;") / ("&amp;A$34&amp;")"</f>
        <v>(23) / (25)</v>
      </c>
      <c r="D36" s="68">
        <f t="shared" ref="D36:P36" si="12">D32/D34</f>
        <v>3.88682328600699E-3</v>
      </c>
      <c r="E36" s="68">
        <f t="shared" si="12"/>
        <v>3.884947885426808E-3</v>
      </c>
      <c r="F36" s="68">
        <f t="shared" si="12"/>
        <v>3.8834849428667031E-3</v>
      </c>
      <c r="G36" s="68">
        <f t="shared" si="12"/>
        <v>3.874046454862732E-3</v>
      </c>
      <c r="H36" s="68">
        <f t="shared" si="12"/>
        <v>1.396576836792565E-2</v>
      </c>
      <c r="I36" s="68">
        <f t="shared" si="12"/>
        <v>1.3970346500801192E-2</v>
      </c>
      <c r="J36" s="68">
        <f t="shared" si="12"/>
        <v>1.397195957331656E-2</v>
      </c>
      <c r="K36" s="68">
        <f t="shared" si="12"/>
        <v>1.3996600983860229E-2</v>
      </c>
      <c r="L36" s="68">
        <f t="shared" si="12"/>
        <v>1.397833076279055E-2</v>
      </c>
      <c r="M36" s="68">
        <f t="shared" si="12"/>
        <v>1.3967843711757763E-2</v>
      </c>
      <c r="N36" s="68">
        <f t="shared" si="12"/>
        <v>1.397515368563452E-2</v>
      </c>
      <c r="O36" s="68">
        <f t="shared" si="12"/>
        <v>1.4013549055617396E-2</v>
      </c>
      <c r="P36" s="68">
        <f t="shared" si="12"/>
        <v>1.054768163167029E-2</v>
      </c>
    </row>
    <row r="37" spans="1:16">
      <c r="A37" s="5"/>
    </row>
  </sheetData>
  <mergeCells count="4">
    <mergeCell ref="A1:O1"/>
    <mergeCell ref="A2:O2"/>
    <mergeCell ref="A3:O3"/>
    <mergeCell ref="A4:O4"/>
  </mergeCells>
  <printOptions horizontalCentered="1" verticalCentered="1"/>
  <pageMargins left="0.2" right="0.2" top="0.75" bottom="0.75" header="0.3" footer="0.3"/>
  <pageSetup scale="44" orientation="landscape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0"/>
  <sheetViews>
    <sheetView zoomScaleNormal="100" workbookViewId="0">
      <selection sqref="A1:O1"/>
    </sheetView>
  </sheetViews>
  <sheetFormatPr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7" width="8.42578125" style="1" customWidth="1"/>
    <col min="8" max="8" width="14" style="1" bestFit="1" customWidth="1"/>
    <col min="9" max="16384" width="9.140625" style="1"/>
  </cols>
  <sheetData>
    <row r="1" spans="1:15">
      <c r="A1" s="83" t="s">
        <v>44</v>
      </c>
      <c r="B1" s="83"/>
      <c r="C1" s="83"/>
      <c r="D1" s="83"/>
      <c r="E1" s="83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83" t="s">
        <v>43</v>
      </c>
      <c r="B2" s="83"/>
      <c r="C2" s="83"/>
      <c r="D2" s="83"/>
      <c r="E2" s="83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3" t="s">
        <v>70</v>
      </c>
      <c r="B3" s="83"/>
      <c r="C3" s="83"/>
      <c r="D3" s="83"/>
      <c r="E3" s="83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>
      <c r="A4" s="83" t="s">
        <v>100</v>
      </c>
      <c r="B4" s="83"/>
      <c r="C4" s="83"/>
      <c r="D4" s="83"/>
      <c r="E4" s="83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>
      <c r="A5" s="3"/>
      <c r="B5" s="3"/>
      <c r="C5" s="3"/>
      <c r="D5" s="3"/>
      <c r="E5" s="3"/>
    </row>
    <row r="6" spans="1:15">
      <c r="A6" s="3"/>
      <c r="B6" s="3"/>
      <c r="C6" s="3"/>
      <c r="D6" s="3"/>
      <c r="E6" s="3"/>
    </row>
    <row r="7" spans="1:15" ht="25.5">
      <c r="A7" s="67" t="s">
        <v>40</v>
      </c>
      <c r="B7" s="57"/>
      <c r="C7" s="67" t="s">
        <v>39</v>
      </c>
      <c r="D7" s="67" t="s">
        <v>68</v>
      </c>
      <c r="E7" s="67" t="s">
        <v>67</v>
      </c>
    </row>
    <row r="8" spans="1:15">
      <c r="A8" s="9"/>
      <c r="B8" s="7" t="s">
        <v>37</v>
      </c>
      <c r="C8" s="7" t="s">
        <v>36</v>
      </c>
      <c r="D8" s="7" t="s">
        <v>35</v>
      </c>
      <c r="E8" s="7" t="s">
        <v>34</v>
      </c>
    </row>
    <row r="9" spans="1:15">
      <c r="A9" s="7">
        <v>1</v>
      </c>
      <c r="B9" s="55"/>
      <c r="C9" s="7"/>
      <c r="D9" s="7"/>
      <c r="E9" s="7"/>
    </row>
    <row r="10" spans="1:15">
      <c r="A10" s="7">
        <f t="shared" ref="A10:A40" si="0">A9+1</f>
        <v>2</v>
      </c>
      <c r="B10" s="9" t="s">
        <v>66</v>
      </c>
      <c r="C10" s="53" t="s">
        <v>62</v>
      </c>
      <c r="D10" s="8">
        <v>372335049.88542497</v>
      </c>
      <c r="E10" s="8">
        <v>244568476.7684623</v>
      </c>
    </row>
    <row r="11" spans="1:15">
      <c r="A11" s="7">
        <f t="shared" si="0"/>
        <v>3</v>
      </c>
      <c r="B11" s="9"/>
      <c r="C11" s="7"/>
      <c r="D11" s="9"/>
      <c r="E11" s="9"/>
    </row>
    <row r="12" spans="1:15">
      <c r="A12" s="7">
        <f t="shared" si="0"/>
        <v>4</v>
      </c>
      <c r="B12" s="4" t="s">
        <v>65</v>
      </c>
      <c r="C12" s="53" t="s">
        <v>62</v>
      </c>
      <c r="D12" s="54">
        <v>93020381.989999995</v>
      </c>
      <c r="E12" s="54">
        <v>31341486.830000002</v>
      </c>
    </row>
    <row r="13" spans="1:15">
      <c r="A13" s="7">
        <f t="shared" si="0"/>
        <v>5</v>
      </c>
      <c r="B13" s="4"/>
      <c r="C13" s="53"/>
      <c r="D13" s="12"/>
      <c r="E13" s="12"/>
    </row>
    <row r="14" spans="1:15">
      <c r="A14" s="7">
        <f t="shared" si="0"/>
        <v>6</v>
      </c>
      <c r="B14" s="9" t="s">
        <v>64</v>
      </c>
      <c r="C14" s="7" t="str">
        <f>"("&amp;A$10&amp;") - ("&amp;A12&amp;")"</f>
        <v>(2) - (4)</v>
      </c>
      <c r="D14" s="12">
        <f>+D10-D12</f>
        <v>279314667.89542496</v>
      </c>
      <c r="E14" s="12">
        <f>+E10-E12</f>
        <v>213226989.93846229</v>
      </c>
    </row>
    <row r="15" spans="1:15">
      <c r="A15" s="7">
        <f t="shared" si="0"/>
        <v>7</v>
      </c>
      <c r="B15" s="9"/>
      <c r="C15" s="53"/>
      <c r="D15" s="9"/>
      <c r="E15" s="9"/>
    </row>
    <row r="16" spans="1:15">
      <c r="A16" s="7">
        <f t="shared" si="0"/>
        <v>8</v>
      </c>
      <c r="B16" s="4" t="s">
        <v>63</v>
      </c>
      <c r="C16" s="53" t="s">
        <v>62</v>
      </c>
      <c r="D16" s="47">
        <v>10773318324.189205</v>
      </c>
      <c r="E16" s="47">
        <v>10336852082.775232</v>
      </c>
    </row>
    <row r="17" spans="1:5">
      <c r="A17" s="7">
        <f t="shared" si="0"/>
        <v>9</v>
      </c>
      <c r="B17" s="9"/>
      <c r="C17" s="7"/>
      <c r="D17" s="9"/>
      <c r="E17" s="9"/>
    </row>
    <row r="18" spans="1:5" ht="13.5" thickBot="1">
      <c r="A18" s="7">
        <f t="shared" si="0"/>
        <v>10</v>
      </c>
      <c r="B18" s="4" t="s">
        <v>61</v>
      </c>
      <c r="C18" s="7" t="str">
        <f>"("&amp;A14&amp;") / ("&amp;A16&amp;")"</f>
        <v>(6) / (8)</v>
      </c>
      <c r="D18" s="46">
        <f>ROUND(D14/D16,6)</f>
        <v>2.5926999999999999E-2</v>
      </c>
      <c r="E18" s="46">
        <f>ROUND(E14/E16,6)</f>
        <v>2.0628000000000001E-2</v>
      </c>
    </row>
    <row r="19" spans="1:5" ht="13.5" thickTop="1">
      <c r="A19" s="7">
        <f t="shared" si="0"/>
        <v>11</v>
      </c>
      <c r="B19" s="3"/>
      <c r="C19" s="3"/>
      <c r="D19" s="3"/>
      <c r="E19" s="3"/>
    </row>
    <row r="20" spans="1:5">
      <c r="A20" s="7">
        <f t="shared" si="0"/>
        <v>12</v>
      </c>
      <c r="B20" s="9" t="s">
        <v>99</v>
      </c>
      <c r="C20" s="7" t="s">
        <v>59</v>
      </c>
      <c r="D20" s="6">
        <v>327.08</v>
      </c>
      <c r="E20" s="6">
        <v>1912.25</v>
      </c>
    </row>
    <row r="21" spans="1:5">
      <c r="A21" s="7">
        <f t="shared" si="0"/>
        <v>13</v>
      </c>
      <c r="B21" s="9"/>
      <c r="C21" s="7"/>
      <c r="D21" s="9"/>
      <c r="E21" s="9"/>
    </row>
    <row r="22" spans="1:5">
      <c r="A22" s="7">
        <f t="shared" si="0"/>
        <v>14</v>
      </c>
      <c r="B22" s="45" t="s">
        <v>58</v>
      </c>
      <c r="C22" s="7" t="s">
        <v>17</v>
      </c>
      <c r="D22" s="52">
        <v>998126.24510358355</v>
      </c>
      <c r="E22" s="52">
        <v>126896.59151783654</v>
      </c>
    </row>
    <row r="23" spans="1:5">
      <c r="A23" s="7">
        <f t="shared" si="0"/>
        <v>15</v>
      </c>
      <c r="B23" s="9"/>
      <c r="C23" s="7"/>
      <c r="D23" s="9"/>
      <c r="E23" s="9"/>
    </row>
    <row r="24" spans="1:5">
      <c r="A24" s="7">
        <f t="shared" si="0"/>
        <v>16</v>
      </c>
      <c r="B24" s="45" t="s">
        <v>57</v>
      </c>
      <c r="C24" s="7" t="str">
        <f>"("&amp;A$20&amp;") x ("&amp;A22&amp;")"</f>
        <v>(12) x (14)</v>
      </c>
      <c r="D24" s="49">
        <f>D20*D22</f>
        <v>326467132.24848008</v>
      </c>
      <c r="E24" s="49">
        <f>E20*E22</f>
        <v>242658007.12998292</v>
      </c>
    </row>
    <row r="25" spans="1:5">
      <c r="A25" s="7">
        <f t="shared" si="0"/>
        <v>17</v>
      </c>
      <c r="B25" s="9"/>
      <c r="C25" s="7"/>
      <c r="D25" s="49"/>
      <c r="E25" s="49"/>
    </row>
    <row r="26" spans="1:5">
      <c r="A26" s="7">
        <f t="shared" si="0"/>
        <v>18</v>
      </c>
      <c r="B26" s="9" t="s">
        <v>98</v>
      </c>
      <c r="C26" s="7" t="s">
        <v>97</v>
      </c>
      <c r="D26" s="51">
        <f>'JPE-12 Page 5'!O28</f>
        <v>5276725.3622095846</v>
      </c>
      <c r="E26" s="51">
        <f>'JPE-12 Page 6'!O28</f>
        <v>2967260.2089094138</v>
      </c>
    </row>
    <row r="27" spans="1:5">
      <c r="A27" s="7">
        <f t="shared" si="0"/>
        <v>19</v>
      </c>
      <c r="B27" s="9"/>
      <c r="C27" s="7"/>
      <c r="D27" s="50"/>
      <c r="E27" s="50"/>
    </row>
    <row r="28" spans="1:5">
      <c r="A28" s="7">
        <f t="shared" si="0"/>
        <v>20</v>
      </c>
      <c r="B28" s="9" t="s">
        <v>54</v>
      </c>
      <c r="C28" s="7" t="str">
        <f>"("&amp;A24&amp;") + ("&amp;A26&amp;")"</f>
        <v>(16) + (18)</v>
      </c>
      <c r="D28" s="49">
        <f>D24+D26</f>
        <v>331743857.61068964</v>
      </c>
      <c r="E28" s="49">
        <f>E24+E26</f>
        <v>245625267.33889234</v>
      </c>
    </row>
    <row r="29" spans="1:5">
      <c r="A29" s="7">
        <f t="shared" si="0"/>
        <v>21</v>
      </c>
      <c r="B29" s="3"/>
      <c r="C29" s="3"/>
      <c r="D29" s="48"/>
      <c r="E29" s="48"/>
    </row>
    <row r="30" spans="1:5">
      <c r="A30" s="7">
        <f t="shared" si="0"/>
        <v>22</v>
      </c>
      <c r="B30" s="4" t="s">
        <v>53</v>
      </c>
      <c r="C30" s="7" t="s">
        <v>17</v>
      </c>
      <c r="D30" s="47">
        <v>10717013000</v>
      </c>
      <c r="E30" s="47">
        <v>10672070000</v>
      </c>
    </row>
    <row r="31" spans="1:5">
      <c r="A31" s="7">
        <f t="shared" si="0"/>
        <v>23</v>
      </c>
      <c r="B31" s="3"/>
      <c r="C31" s="3"/>
      <c r="D31" s="3"/>
      <c r="E31" s="3"/>
    </row>
    <row r="32" spans="1:5" ht="13.5" thickBot="1">
      <c r="A32" s="7">
        <f t="shared" si="0"/>
        <v>24</v>
      </c>
      <c r="B32" s="4" t="s">
        <v>52</v>
      </c>
      <c r="C32" s="7" t="str">
        <f>"("&amp;A28&amp;") / ("&amp;A30&amp;")"</f>
        <v>(20) / (22)</v>
      </c>
      <c r="D32" s="46">
        <f>ROUND(D28/D30,6)</f>
        <v>3.0955E-2</v>
      </c>
      <c r="E32" s="46">
        <f>ROUND(E28/E30,6)</f>
        <v>2.3016000000000002E-2</v>
      </c>
    </row>
    <row r="33" spans="1:5" ht="13.5" thickTop="1">
      <c r="A33" s="7">
        <f t="shared" si="0"/>
        <v>25</v>
      </c>
      <c r="B33" s="3"/>
      <c r="C33" s="3"/>
      <c r="D33" s="78"/>
      <c r="E33" s="78"/>
    </row>
    <row r="34" spans="1:5">
      <c r="A34" s="7">
        <f t="shared" si="0"/>
        <v>26</v>
      </c>
      <c r="B34" s="45" t="s">
        <v>51</v>
      </c>
      <c r="C34" s="7" t="str">
        <f>"("&amp;A32&amp;") - ("&amp;A18&amp;")"</f>
        <v>(24) - (10)</v>
      </c>
      <c r="D34" s="44">
        <f>D32-D18</f>
        <v>5.0280000000000012E-3</v>
      </c>
      <c r="E34" s="44">
        <f>E32-E18</f>
        <v>2.3880000000000012E-3</v>
      </c>
    </row>
    <row r="35" spans="1:5">
      <c r="A35" s="7">
        <f t="shared" si="0"/>
        <v>27</v>
      </c>
      <c r="B35" s="45"/>
      <c r="C35" s="7"/>
      <c r="D35" s="44"/>
      <c r="E35" s="44"/>
    </row>
    <row r="36" spans="1:5">
      <c r="A36" s="7">
        <f t="shared" si="0"/>
        <v>28</v>
      </c>
      <c r="B36" s="9" t="s">
        <v>50</v>
      </c>
      <c r="C36" s="7" t="s">
        <v>96</v>
      </c>
      <c r="D36" s="44">
        <f>'JPE-12 Page 8'!D34</f>
        <v>5.0280000000000012E-3</v>
      </c>
      <c r="E36" s="44">
        <f>'JPE-12 Page 8'!E34</f>
        <v>2.3880000000000012E-3</v>
      </c>
    </row>
    <row r="37" spans="1:5">
      <c r="A37" s="7">
        <f t="shared" si="0"/>
        <v>29</v>
      </c>
      <c r="B37" s="9"/>
      <c r="C37" s="7"/>
      <c r="D37" s="3"/>
      <c r="E37" s="3"/>
    </row>
    <row r="38" spans="1:5">
      <c r="A38" s="7">
        <f t="shared" si="0"/>
        <v>30</v>
      </c>
      <c r="B38" s="9" t="s">
        <v>48</v>
      </c>
      <c r="C38" s="7" t="s">
        <v>10</v>
      </c>
      <c r="D38" s="43">
        <f>IF(D34=D36,D26,(D26-((D34-D36)*D30)))</f>
        <v>5276725.3622095846</v>
      </c>
      <c r="E38" s="12">
        <f>IF(E34=E36,E26,(E26-((E34-E36)*E30)))</f>
        <v>2967260.2089094138</v>
      </c>
    </row>
    <row r="39" spans="1:5">
      <c r="A39" s="7">
        <f t="shared" si="0"/>
        <v>31</v>
      </c>
      <c r="B39" s="9"/>
      <c r="C39" s="7"/>
      <c r="D39" s="3"/>
      <c r="E39" s="3"/>
    </row>
    <row r="40" spans="1:5">
      <c r="A40" s="7">
        <f t="shared" si="0"/>
        <v>32</v>
      </c>
      <c r="B40" s="3" t="s">
        <v>106</v>
      </c>
      <c r="C40" s="3"/>
      <c r="D40" s="42"/>
      <c r="E40" s="42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orientation="landscape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sqref="A1:O1"/>
    </sheetView>
  </sheetViews>
  <sheetFormatPr defaultRowHeight="15"/>
  <cols>
    <col min="1" max="1" width="6.42578125" customWidth="1"/>
    <col min="2" max="2" width="57.5703125" customWidth="1"/>
    <col min="3" max="3" width="17" bestFit="1" customWidth="1"/>
    <col min="4" max="5" width="19.7109375" customWidth="1"/>
  </cols>
  <sheetData>
    <row r="1" spans="1:5">
      <c r="A1" s="83" t="s">
        <v>44</v>
      </c>
      <c r="B1" s="83"/>
      <c r="C1" s="83"/>
      <c r="D1" s="83"/>
      <c r="E1" s="83"/>
    </row>
    <row r="2" spans="1:5">
      <c r="A2" s="83" t="s">
        <v>43</v>
      </c>
      <c r="B2" s="83"/>
      <c r="C2" s="83"/>
      <c r="D2" s="83"/>
      <c r="E2" s="83"/>
    </row>
    <row r="3" spans="1:5">
      <c r="A3" s="83" t="s">
        <v>103</v>
      </c>
      <c r="B3" s="83"/>
      <c r="C3" s="83"/>
      <c r="D3" s="83"/>
      <c r="E3" s="83"/>
    </row>
    <row r="4" spans="1:5">
      <c r="A4" s="83" t="s">
        <v>100</v>
      </c>
      <c r="B4" s="83"/>
      <c r="C4" s="83"/>
      <c r="D4" s="83"/>
      <c r="E4" s="8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 ht="25.5">
      <c r="A7" s="67" t="s">
        <v>40</v>
      </c>
      <c r="B7" s="57"/>
      <c r="C7" s="67" t="s">
        <v>39</v>
      </c>
      <c r="D7" s="67" t="s">
        <v>68</v>
      </c>
      <c r="E7" s="67" t="s">
        <v>67</v>
      </c>
    </row>
    <row r="8" spans="1:5">
      <c r="A8" s="9"/>
      <c r="B8" s="7" t="s">
        <v>37</v>
      </c>
      <c r="C8" s="7" t="s">
        <v>36</v>
      </c>
      <c r="D8" s="7" t="s">
        <v>35</v>
      </c>
      <c r="E8" s="7" t="s">
        <v>34</v>
      </c>
    </row>
    <row r="9" spans="1:5">
      <c r="A9" s="7">
        <v>1</v>
      </c>
      <c r="B9" s="55"/>
      <c r="C9" s="7"/>
      <c r="D9" s="7"/>
      <c r="E9" s="7"/>
    </row>
    <row r="10" spans="1:5">
      <c r="A10" s="7">
        <f t="shared" ref="A10:A36" si="0">A9+1</f>
        <v>2</v>
      </c>
      <c r="B10" s="9" t="s">
        <v>92</v>
      </c>
      <c r="C10" s="7" t="s">
        <v>86</v>
      </c>
      <c r="D10" s="8">
        <v>1128046976.2085078</v>
      </c>
      <c r="E10" s="8">
        <v>916188751.46781421</v>
      </c>
    </row>
    <row r="11" spans="1:5">
      <c r="A11" s="7">
        <f t="shared" si="0"/>
        <v>3</v>
      </c>
      <c r="B11" s="9"/>
      <c r="C11" s="7"/>
      <c r="D11" s="9"/>
      <c r="E11" s="9"/>
    </row>
    <row r="12" spans="1:5">
      <c r="A12" s="7">
        <f t="shared" si="0"/>
        <v>4</v>
      </c>
      <c r="B12" s="9" t="s">
        <v>91</v>
      </c>
      <c r="C12" s="7" t="s">
        <v>102</v>
      </c>
      <c r="D12" s="66">
        <f>'JPE-12 Page 5'!P32</f>
        <v>25620427.795000006</v>
      </c>
      <c r="E12" s="66">
        <f>'JPE-12 Page 6'!P32</f>
        <v>9663667.2650000006</v>
      </c>
    </row>
    <row r="13" spans="1:5">
      <c r="A13" s="7">
        <f t="shared" si="0"/>
        <v>5</v>
      </c>
      <c r="B13" s="9"/>
      <c r="C13" s="7"/>
      <c r="D13" s="9"/>
      <c r="E13" s="9"/>
    </row>
    <row r="14" spans="1:5">
      <c r="A14" s="7">
        <f t="shared" si="0"/>
        <v>6</v>
      </c>
      <c r="B14" s="9" t="s">
        <v>89</v>
      </c>
      <c r="C14" s="7" t="s">
        <v>88</v>
      </c>
      <c r="D14" s="8">
        <f>D10-D12</f>
        <v>1102426548.4135077</v>
      </c>
      <c r="E14" s="8">
        <f>E10-E12</f>
        <v>906525084.20281422</v>
      </c>
    </row>
    <row r="15" spans="1:5">
      <c r="A15" s="7">
        <f t="shared" si="0"/>
        <v>7</v>
      </c>
      <c r="B15" s="9"/>
      <c r="C15" s="7"/>
      <c r="D15" s="9"/>
      <c r="E15" s="9"/>
    </row>
    <row r="16" spans="1:5">
      <c r="A16" s="7">
        <f t="shared" si="0"/>
        <v>8</v>
      </c>
      <c r="B16" s="9" t="s">
        <v>87</v>
      </c>
      <c r="C16" s="7" t="s">
        <v>86</v>
      </c>
      <c r="D16" s="51">
        <v>10617226000</v>
      </c>
      <c r="E16" s="51">
        <v>10672070000</v>
      </c>
    </row>
    <row r="17" spans="1:5">
      <c r="A17" s="7">
        <f t="shared" si="0"/>
        <v>9</v>
      </c>
      <c r="B17" s="9"/>
      <c r="C17" s="7"/>
      <c r="D17" s="9"/>
      <c r="E17" s="9"/>
    </row>
    <row r="18" spans="1:5">
      <c r="A18" s="7">
        <f t="shared" si="0"/>
        <v>10</v>
      </c>
      <c r="B18" s="9" t="s">
        <v>85</v>
      </c>
      <c r="C18" s="7" t="s">
        <v>84</v>
      </c>
      <c r="D18" s="13">
        <f>ROUND(D10/D16,6)</f>
        <v>0.10624699999999999</v>
      </c>
      <c r="E18" s="13">
        <f>ROUND(E10/E16,6)</f>
        <v>8.5848999999999995E-2</v>
      </c>
    </row>
    <row r="19" spans="1:5">
      <c r="A19" s="7">
        <f t="shared" si="0"/>
        <v>11</v>
      </c>
      <c r="B19" s="9"/>
      <c r="C19" s="7"/>
      <c r="D19" s="64"/>
      <c r="E19" s="64"/>
    </row>
    <row r="20" spans="1:5">
      <c r="A20" s="7">
        <f t="shared" si="0"/>
        <v>12</v>
      </c>
      <c r="B20" s="9" t="s">
        <v>83</v>
      </c>
      <c r="C20" s="7" t="s">
        <v>79</v>
      </c>
      <c r="D20" s="65">
        <f>'JPE-12 Page 3'!D36</f>
        <v>2.9870000000000001E-3</v>
      </c>
      <c r="E20" s="65">
        <f>'JPE-12 Page 3'!E36</f>
        <v>1.2279999999999999E-3</v>
      </c>
    </row>
    <row r="21" spans="1:5">
      <c r="A21" s="7">
        <f t="shared" si="0"/>
        <v>13</v>
      </c>
      <c r="B21" s="9"/>
      <c r="C21" s="7"/>
      <c r="D21" s="64"/>
      <c r="E21" s="64"/>
    </row>
    <row r="22" spans="1:5">
      <c r="A22" s="7">
        <f t="shared" si="0"/>
        <v>14</v>
      </c>
      <c r="B22" s="9" t="s">
        <v>82</v>
      </c>
      <c r="C22" s="7" t="s">
        <v>81</v>
      </c>
      <c r="D22" s="13">
        <f>D18+D20</f>
        <v>0.109234</v>
      </c>
      <c r="E22" s="13">
        <f>E18+E20</f>
        <v>8.7076999999999988E-2</v>
      </c>
    </row>
    <row r="23" spans="1:5">
      <c r="A23" s="7">
        <f t="shared" si="0"/>
        <v>15</v>
      </c>
      <c r="B23" s="9"/>
      <c r="C23" s="7"/>
      <c r="D23" s="64"/>
      <c r="E23" s="64"/>
    </row>
    <row r="24" spans="1:5">
      <c r="A24" s="7">
        <f t="shared" si="0"/>
        <v>16</v>
      </c>
      <c r="B24" s="9" t="s">
        <v>80</v>
      </c>
      <c r="C24" s="7" t="s">
        <v>101</v>
      </c>
      <c r="D24" s="13">
        <f>'JPE-12 Page 7'!D34</f>
        <v>5.0280000000000012E-3</v>
      </c>
      <c r="E24" s="13">
        <f>'JPE-12 Page 7'!E34</f>
        <v>2.3880000000000012E-3</v>
      </c>
    </row>
    <row r="25" spans="1:5">
      <c r="A25" s="7">
        <f t="shared" si="0"/>
        <v>17</v>
      </c>
      <c r="B25" s="9"/>
      <c r="C25" s="7"/>
      <c r="D25" s="9"/>
      <c r="E25" s="9"/>
    </row>
    <row r="26" spans="1:5">
      <c r="A26" s="7">
        <f t="shared" si="0"/>
        <v>18</v>
      </c>
      <c r="B26" s="9" t="s">
        <v>78</v>
      </c>
      <c r="C26" s="7" t="s">
        <v>77</v>
      </c>
      <c r="D26" s="44">
        <f>D24-D20</f>
        <v>2.0410000000000011E-3</v>
      </c>
      <c r="E26" s="44">
        <f>E24-E20</f>
        <v>1.1600000000000013E-3</v>
      </c>
    </row>
    <row r="27" spans="1:5">
      <c r="A27" s="7">
        <f t="shared" si="0"/>
        <v>19</v>
      </c>
      <c r="B27" s="9"/>
      <c r="C27" s="7"/>
      <c r="D27" s="9"/>
      <c r="E27" s="9"/>
    </row>
    <row r="28" spans="1:5">
      <c r="A28" s="7">
        <f t="shared" si="0"/>
        <v>20</v>
      </c>
      <c r="B28" s="9" t="s">
        <v>76</v>
      </c>
      <c r="C28" s="7" t="s">
        <v>75</v>
      </c>
      <c r="D28" s="10">
        <f>D26/D22</f>
        <v>1.8684658622773138E-2</v>
      </c>
      <c r="E28" s="10">
        <f>E26/E22</f>
        <v>1.332154300217051E-2</v>
      </c>
    </row>
    <row r="29" spans="1:5">
      <c r="A29" s="7">
        <f t="shared" si="0"/>
        <v>21</v>
      </c>
      <c r="B29" s="9"/>
      <c r="C29" s="7"/>
      <c r="D29" s="9"/>
      <c r="E29" s="9"/>
    </row>
    <row r="30" spans="1:5">
      <c r="A30" s="7">
        <f t="shared" si="0"/>
        <v>22</v>
      </c>
      <c r="B30" s="9" t="s">
        <v>74</v>
      </c>
      <c r="C30" s="7" t="s">
        <v>10</v>
      </c>
      <c r="D30" s="63">
        <f>IF(D28&gt;3%,D28-3%,0)</f>
        <v>0</v>
      </c>
      <c r="E30" s="63">
        <f>IF(E28&gt;3%,E28-3%,0)</f>
        <v>0</v>
      </c>
    </row>
    <row r="31" spans="1:5">
      <c r="A31" s="7">
        <f t="shared" si="0"/>
        <v>23</v>
      </c>
      <c r="B31" s="9"/>
      <c r="C31" s="7"/>
      <c r="D31" s="9"/>
      <c r="E31" s="9"/>
    </row>
    <row r="32" spans="1:5">
      <c r="A32" s="7">
        <f t="shared" si="0"/>
        <v>24</v>
      </c>
      <c r="B32" s="9" t="s">
        <v>73</v>
      </c>
      <c r="C32" s="7" t="s">
        <v>72</v>
      </c>
      <c r="D32" s="62">
        <f>D30*D22</f>
        <v>0</v>
      </c>
      <c r="E32" s="62">
        <f>E30*E22</f>
        <v>0</v>
      </c>
    </row>
    <row r="33" spans="1:5">
      <c r="A33" s="7">
        <f t="shared" si="0"/>
        <v>25</v>
      </c>
      <c r="B33" s="3"/>
      <c r="C33" s="3"/>
      <c r="D33" s="61"/>
      <c r="E33" s="61"/>
    </row>
    <row r="34" spans="1:5">
      <c r="A34" s="7">
        <f t="shared" si="0"/>
        <v>26</v>
      </c>
      <c r="B34" s="9" t="s">
        <v>50</v>
      </c>
      <c r="C34" s="7" t="s">
        <v>71</v>
      </c>
      <c r="D34" s="13">
        <f>D24-D32</f>
        <v>5.0280000000000012E-3</v>
      </c>
      <c r="E34" s="13">
        <f>E24-E32</f>
        <v>2.3880000000000012E-3</v>
      </c>
    </row>
    <row r="35" spans="1:5">
      <c r="A35" s="7">
        <f t="shared" si="0"/>
        <v>27</v>
      </c>
      <c r="B35" s="60"/>
      <c r="C35" s="60"/>
      <c r="D35" s="60"/>
      <c r="E35" s="60"/>
    </row>
    <row r="36" spans="1:5">
      <c r="A36" s="7">
        <f t="shared" si="0"/>
        <v>28</v>
      </c>
      <c r="B36" s="3" t="s">
        <v>106</v>
      </c>
      <c r="C36" s="60"/>
      <c r="D36" s="60"/>
      <c r="E36" s="60"/>
    </row>
    <row r="37" spans="1:5">
      <c r="A37" s="7"/>
      <c r="B37" s="3"/>
    </row>
    <row r="39" spans="1:5">
      <c r="D39" s="59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93" orientation="landscape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3"/>
  <sheetViews>
    <sheetView zoomScaleNormal="100" workbookViewId="0">
      <pane xSplit="3" ySplit="8" topLeftCell="D9" activePane="bottomRight" state="frozen"/>
      <selection sqref="A1:O1"/>
      <selection pane="topRight" sqref="A1:O1"/>
      <selection pane="bottomLeft" sqref="A1:O1"/>
      <selection pane="bottomRight" sqref="A1:O1"/>
    </sheetView>
  </sheetViews>
  <sheetFormatPr defaultRowHeight="12.75"/>
  <cols>
    <col min="1" max="1" width="5" style="1" customWidth="1"/>
    <col min="2" max="2" width="41.85546875" style="1" bestFit="1" customWidth="1"/>
    <col min="3" max="3" width="20.140625" style="1" bestFit="1" customWidth="1"/>
    <col min="4" max="15" width="14.7109375" style="1" customWidth="1"/>
    <col min="16" max="16" width="15" style="1" bestFit="1" customWidth="1"/>
    <col min="17" max="18" width="12.28515625" style="1" customWidth="1"/>
    <col min="19" max="16384" width="9.140625" style="1"/>
  </cols>
  <sheetData>
    <row r="1" spans="1:21">
      <c r="A1" s="80" t="s">
        <v>44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3"/>
    </row>
    <row r="2" spans="1:21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"/>
    </row>
    <row r="3" spans="1:21">
      <c r="A3" s="81" t="s">
        <v>42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"/>
    </row>
    <row r="4" spans="1:21" ht="15">
      <c r="A4" s="80" t="s">
        <v>105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3"/>
    </row>
    <row r="5" spans="1:21" ht="15">
      <c r="A5" s="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"/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25.5" customHeight="1">
      <c r="A7" s="35" t="s">
        <v>40</v>
      </c>
      <c r="B7" s="34"/>
      <c r="C7" s="33" t="s">
        <v>39</v>
      </c>
      <c r="D7" s="32">
        <v>42005</v>
      </c>
      <c r="E7" s="32">
        <f t="shared" ref="E7:O7" si="0">EDATE(D7,1)</f>
        <v>42036</v>
      </c>
      <c r="F7" s="32">
        <f t="shared" si="0"/>
        <v>42064</v>
      </c>
      <c r="G7" s="32">
        <f t="shared" si="0"/>
        <v>42095</v>
      </c>
      <c r="H7" s="32">
        <f t="shared" si="0"/>
        <v>42125</v>
      </c>
      <c r="I7" s="32">
        <f t="shared" si="0"/>
        <v>42156</v>
      </c>
      <c r="J7" s="32">
        <f t="shared" si="0"/>
        <v>42186</v>
      </c>
      <c r="K7" s="32">
        <f t="shared" si="0"/>
        <v>42217</v>
      </c>
      <c r="L7" s="32">
        <f t="shared" si="0"/>
        <v>42248</v>
      </c>
      <c r="M7" s="32">
        <f t="shared" si="0"/>
        <v>42278</v>
      </c>
      <c r="N7" s="32">
        <f t="shared" si="0"/>
        <v>42309</v>
      </c>
      <c r="O7" s="32">
        <f t="shared" si="0"/>
        <v>42339</v>
      </c>
      <c r="P7" s="32" t="s">
        <v>38</v>
      </c>
      <c r="Q7" s="31"/>
      <c r="R7" s="31"/>
      <c r="S7" s="30"/>
      <c r="T7" s="30"/>
      <c r="U7" s="30"/>
    </row>
    <row r="8" spans="1:21">
      <c r="A8" s="5"/>
      <c r="B8" s="7" t="s">
        <v>37</v>
      </c>
      <c r="C8" s="7" t="s">
        <v>36</v>
      </c>
      <c r="D8" s="7" t="s">
        <v>35</v>
      </c>
      <c r="E8" s="7" t="s">
        <v>34</v>
      </c>
      <c r="F8" s="7" t="s">
        <v>33</v>
      </c>
      <c r="G8" s="7" t="s">
        <v>32</v>
      </c>
      <c r="H8" s="7" t="s">
        <v>31</v>
      </c>
      <c r="I8" s="7" t="s">
        <v>30</v>
      </c>
      <c r="J8" s="7" t="s">
        <v>29</v>
      </c>
      <c r="K8" s="7" t="s">
        <v>28</v>
      </c>
      <c r="L8" s="7" t="s">
        <v>27</v>
      </c>
      <c r="M8" s="7" t="s">
        <v>26</v>
      </c>
      <c r="N8" s="7" t="s">
        <v>25</v>
      </c>
      <c r="O8" s="7" t="s">
        <v>24</v>
      </c>
      <c r="P8" s="7" t="s">
        <v>23</v>
      </c>
    </row>
    <row r="9" spans="1:21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21">
      <c r="A10" s="5">
        <v>1</v>
      </c>
      <c r="B10" s="9" t="s">
        <v>22</v>
      </c>
      <c r="C10" s="7" t="s">
        <v>17</v>
      </c>
      <c r="D10" s="25">
        <v>980994.78741100663</v>
      </c>
      <c r="E10" s="25">
        <v>982896.18007294356</v>
      </c>
      <c r="F10" s="25">
        <v>984642.85746928293</v>
      </c>
      <c r="G10" s="25">
        <v>986334.97769462212</v>
      </c>
      <c r="H10" s="25">
        <v>987896.26861077326</v>
      </c>
      <c r="I10" s="25">
        <v>989512.14281938132</v>
      </c>
      <c r="J10" s="25">
        <v>990916.55556283006</v>
      </c>
      <c r="K10" s="25">
        <v>992669.69353492046</v>
      </c>
      <c r="L10" s="25">
        <v>994604.73437333084</v>
      </c>
      <c r="M10" s="25">
        <v>996929.16506535443</v>
      </c>
      <c r="N10" s="25">
        <v>999187.19540073304</v>
      </c>
      <c r="O10" s="25">
        <v>1001235.5022971462</v>
      </c>
      <c r="P10" s="29"/>
      <c r="Q10" s="24"/>
      <c r="R10" s="24"/>
    </row>
    <row r="11" spans="1:21">
      <c r="A11" s="5">
        <f t="shared" ref="A11:A38" si="1">A10+1</f>
        <v>2</v>
      </c>
      <c r="B11" s="9" t="s">
        <v>21</v>
      </c>
      <c r="C11" s="23" t="s">
        <v>20</v>
      </c>
      <c r="D11" s="28">
        <v>37.232364451918066</v>
      </c>
      <c r="E11" s="28">
        <v>35.63873436433871</v>
      </c>
      <c r="F11" s="28">
        <v>32.822467046711871</v>
      </c>
      <c r="G11" s="28">
        <v>29.282088468757095</v>
      </c>
      <c r="H11" s="28">
        <v>23.666444639525775</v>
      </c>
      <c r="I11" s="28">
        <v>21.964719961708717</v>
      </c>
      <c r="J11" s="28">
        <v>20.498322484689865</v>
      </c>
      <c r="K11" s="28">
        <v>20.165846372559677</v>
      </c>
      <c r="L11" s="28">
        <v>20.367061079744825</v>
      </c>
      <c r="M11" s="28">
        <v>21.281123595949872</v>
      </c>
      <c r="N11" s="28">
        <v>28.387854345792427</v>
      </c>
      <c r="O11" s="28">
        <v>35.772973188303119</v>
      </c>
      <c r="P11" s="6"/>
      <c r="Q11" s="27"/>
      <c r="R11" s="27"/>
    </row>
    <row r="12" spans="1:21">
      <c r="A12" s="5">
        <f t="shared" si="1"/>
        <v>3</v>
      </c>
      <c r="B12" s="9" t="s">
        <v>19</v>
      </c>
      <c r="C12" s="7" t="str">
        <f>"("&amp;A10&amp;") x ("&amp;A11&amp;")"</f>
        <v>(1) x (2)</v>
      </c>
      <c r="D12" s="11">
        <f t="shared" ref="D12:O12" si="2">D10*D11</f>
        <v>36524755.450318485</v>
      </c>
      <c r="E12" s="11">
        <f t="shared" si="2"/>
        <v>35029175.869342864</v>
      </c>
      <c r="F12" s="11">
        <f t="shared" si="2"/>
        <v>32318407.742065754</v>
      </c>
      <c r="G12" s="11">
        <f t="shared" si="2"/>
        <v>28881948.07668348</v>
      </c>
      <c r="H12" s="11">
        <f t="shared" si="2"/>
        <v>23379992.350670949</v>
      </c>
      <c r="I12" s="11">
        <f t="shared" si="2"/>
        <v>21734357.115738031</v>
      </c>
      <c r="J12" s="11">
        <f t="shared" si="2"/>
        <v>20312127.111344993</v>
      </c>
      <c r="K12" s="11">
        <f t="shared" si="2"/>
        <v>20018024.538521104</v>
      </c>
      <c r="L12" s="11">
        <f t="shared" si="2"/>
        <v>20257175.375185005</v>
      </c>
      <c r="M12" s="11">
        <f t="shared" si="2"/>
        <v>21215772.778162919</v>
      </c>
      <c r="N12" s="11">
        <f t="shared" si="2"/>
        <v>28364780.567216847</v>
      </c>
      <c r="O12" s="11">
        <f t="shared" si="2"/>
        <v>35817170.778853022</v>
      </c>
      <c r="P12" s="8">
        <f>SUM(D12:O12)</f>
        <v>323853687.75410348</v>
      </c>
      <c r="Q12" s="18"/>
      <c r="R12" s="18"/>
    </row>
    <row r="13" spans="1:21">
      <c r="A13" s="5">
        <f t="shared" si="1"/>
        <v>4</v>
      </c>
      <c r="B13" s="9"/>
      <c r="C13" s="7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9"/>
      <c r="Q13" s="26"/>
      <c r="R13" s="26"/>
    </row>
    <row r="14" spans="1:21">
      <c r="A14" s="5">
        <f t="shared" si="1"/>
        <v>5</v>
      </c>
      <c r="B14" s="4" t="s">
        <v>18</v>
      </c>
      <c r="C14" s="7" t="s">
        <v>17</v>
      </c>
      <c r="D14" s="25">
        <v>1262653000</v>
      </c>
      <c r="E14" s="25">
        <v>1155300000</v>
      </c>
      <c r="F14" s="25">
        <v>1057660000</v>
      </c>
      <c r="G14" s="25">
        <v>914701000</v>
      </c>
      <c r="H14" s="25">
        <v>797637000</v>
      </c>
      <c r="I14" s="25">
        <v>704964000</v>
      </c>
      <c r="J14" s="25">
        <v>660677000</v>
      </c>
      <c r="K14" s="25">
        <v>662880000</v>
      </c>
      <c r="L14" s="25">
        <v>672509000</v>
      </c>
      <c r="M14" s="25">
        <v>705193000</v>
      </c>
      <c r="N14" s="25">
        <v>900647000</v>
      </c>
      <c r="O14" s="25">
        <v>1140644000</v>
      </c>
      <c r="P14" s="9"/>
      <c r="Q14" s="24"/>
      <c r="R14" s="24"/>
    </row>
    <row r="15" spans="1:21">
      <c r="A15" s="5">
        <f t="shared" si="1"/>
        <v>6</v>
      </c>
      <c r="B15" s="9" t="s">
        <v>16</v>
      </c>
      <c r="C15" s="23" t="s">
        <v>104</v>
      </c>
      <c r="D15" s="21">
        <f>'JPE-12 Page 3'!D32</f>
        <v>2.8913999999999999E-2</v>
      </c>
      <c r="E15" s="21">
        <f>$D$15</f>
        <v>2.8913999999999999E-2</v>
      </c>
      <c r="F15" s="21">
        <f>$D$15</f>
        <v>2.8913999999999999E-2</v>
      </c>
      <c r="G15" s="21">
        <f>$D$15</f>
        <v>2.8913999999999999E-2</v>
      </c>
      <c r="H15" s="21">
        <f>'JPE-12 Page 7'!D32</f>
        <v>3.0955E-2</v>
      </c>
      <c r="I15" s="21">
        <f t="shared" ref="I15:O15" si="3">$H$15</f>
        <v>3.0955E-2</v>
      </c>
      <c r="J15" s="21">
        <f t="shared" si="3"/>
        <v>3.0955E-2</v>
      </c>
      <c r="K15" s="21">
        <f t="shared" si="3"/>
        <v>3.0955E-2</v>
      </c>
      <c r="L15" s="21">
        <f t="shared" si="3"/>
        <v>3.0955E-2</v>
      </c>
      <c r="M15" s="21">
        <f t="shared" si="3"/>
        <v>3.0955E-2</v>
      </c>
      <c r="N15" s="21">
        <f t="shared" si="3"/>
        <v>3.0955E-2</v>
      </c>
      <c r="O15" s="21">
        <f t="shared" si="3"/>
        <v>3.0955E-2</v>
      </c>
      <c r="P15" s="20"/>
      <c r="Q15" s="19"/>
      <c r="R15" s="19"/>
    </row>
    <row r="16" spans="1:21">
      <c r="A16" s="5">
        <f t="shared" si="1"/>
        <v>7</v>
      </c>
      <c r="B16" s="9" t="s">
        <v>15</v>
      </c>
      <c r="C16" s="7" t="str">
        <f>"("&amp;A14&amp;") x ("&amp;A15&amp;")"</f>
        <v>(5) x (6)</v>
      </c>
      <c r="D16" s="11">
        <f t="shared" ref="D16:O16" si="4">D14*D15</f>
        <v>36508348.842</v>
      </c>
      <c r="E16" s="11">
        <f t="shared" si="4"/>
        <v>33404344.199999999</v>
      </c>
      <c r="F16" s="11">
        <f t="shared" si="4"/>
        <v>30581181.239999998</v>
      </c>
      <c r="G16" s="11">
        <f t="shared" si="4"/>
        <v>26447664.713999998</v>
      </c>
      <c r="H16" s="11">
        <f t="shared" si="4"/>
        <v>24690853.335000001</v>
      </c>
      <c r="I16" s="11">
        <f t="shared" si="4"/>
        <v>21822160.620000001</v>
      </c>
      <c r="J16" s="11">
        <f t="shared" si="4"/>
        <v>20451256.535</v>
      </c>
      <c r="K16" s="11">
        <f t="shared" si="4"/>
        <v>20519450.399999999</v>
      </c>
      <c r="L16" s="11">
        <f t="shared" si="4"/>
        <v>20817516.094999999</v>
      </c>
      <c r="M16" s="11">
        <f t="shared" si="4"/>
        <v>21829249.315000001</v>
      </c>
      <c r="N16" s="11">
        <f t="shared" si="4"/>
        <v>27879527.885000002</v>
      </c>
      <c r="O16" s="11">
        <f t="shared" si="4"/>
        <v>35308635.020000003</v>
      </c>
      <c r="P16" s="8">
        <f>SUM(D16:O16)</f>
        <v>320260188.20099998</v>
      </c>
      <c r="Q16" s="18"/>
      <c r="R16" s="18"/>
    </row>
    <row r="17" spans="1:18">
      <c r="A17" s="5">
        <f t="shared" si="1"/>
        <v>8</v>
      </c>
      <c r="B17" s="9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</row>
    <row r="18" spans="1:18">
      <c r="A18" s="5">
        <f t="shared" si="1"/>
        <v>9</v>
      </c>
      <c r="B18" s="9" t="s">
        <v>14</v>
      </c>
      <c r="C18" s="7" t="str">
        <f>"("&amp;A$12&amp;") - ("&amp;A16&amp;")"</f>
        <v>(3) - (7)</v>
      </c>
      <c r="D18" s="11">
        <f t="shared" ref="D18:O18" si="5">D12-D16</f>
        <v>16406.60831848532</v>
      </c>
      <c r="E18" s="11">
        <f t="shared" si="5"/>
        <v>1624831.6693428643</v>
      </c>
      <c r="F18" s="11">
        <f t="shared" si="5"/>
        <v>1737226.5020657554</v>
      </c>
      <c r="G18" s="11">
        <f t="shared" si="5"/>
        <v>2434283.3626834825</v>
      </c>
      <c r="H18" s="11">
        <f t="shared" si="5"/>
        <v>-1310860.9843290523</v>
      </c>
      <c r="I18" s="11">
        <f t="shared" si="5"/>
        <v>-87803.50426197052</v>
      </c>
      <c r="J18" s="11">
        <f t="shared" si="5"/>
        <v>-139129.42365500703</v>
      </c>
      <c r="K18" s="11">
        <f t="shared" si="5"/>
        <v>-501425.86147889495</v>
      </c>
      <c r="L18" s="11">
        <f t="shared" si="5"/>
        <v>-560340.71981499344</v>
      </c>
      <c r="M18" s="11">
        <f t="shared" si="5"/>
        <v>-613476.53683708236</v>
      </c>
      <c r="N18" s="11">
        <f t="shared" si="5"/>
        <v>485252.68221684545</v>
      </c>
      <c r="O18" s="11">
        <f t="shared" si="5"/>
        <v>508535.75885301828</v>
      </c>
      <c r="P18" s="8">
        <f>SUM(D18:O18)</f>
        <v>3593499.5531034507</v>
      </c>
      <c r="Q18" s="18"/>
      <c r="R18" s="18"/>
    </row>
    <row r="19" spans="1:18">
      <c r="A19" s="5">
        <f t="shared" si="1"/>
        <v>10</v>
      </c>
      <c r="B19" s="9"/>
      <c r="C19" s="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1:18">
      <c r="A20" s="5">
        <f t="shared" si="1"/>
        <v>11</v>
      </c>
      <c r="B20" s="9" t="s">
        <v>13</v>
      </c>
      <c r="C20" s="7" t="s">
        <v>3</v>
      </c>
      <c r="D20" s="17">
        <v>14309.865809988549</v>
      </c>
      <c r="E20" s="17">
        <v>16851.670305787851</v>
      </c>
      <c r="F20" s="17">
        <v>21696.682107256715</v>
      </c>
      <c r="G20" s="17">
        <v>27606.054950524227</v>
      </c>
      <c r="H20" s="17">
        <v>28716.319470202801</v>
      </c>
      <c r="I20" s="17">
        <v>25820.435820969808</v>
      </c>
      <c r="J20" s="17">
        <v>24602.590037404705</v>
      </c>
      <c r="K20" s="17">
        <v>22852.690141022525</v>
      </c>
      <c r="L20" s="17">
        <v>20524.51096487384</v>
      </c>
      <c r="M20" s="17">
        <v>18016.384317573757</v>
      </c>
      <c r="N20" s="17">
        <v>16772.05445078823</v>
      </c>
      <c r="O20" s="17">
        <v>16756.779394873523</v>
      </c>
      <c r="P20" s="8">
        <f>SUM(D20:O20)</f>
        <v>254526.03777126654</v>
      </c>
      <c r="Q20" s="16"/>
      <c r="R20" s="16"/>
    </row>
    <row r="21" spans="1:18">
      <c r="A21" s="5">
        <f t="shared" si="1"/>
        <v>12</v>
      </c>
      <c r="B21" s="9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1:18">
      <c r="A22" s="5">
        <f t="shared" si="1"/>
        <v>13</v>
      </c>
      <c r="B22" s="9" t="s">
        <v>12</v>
      </c>
      <c r="C22" s="7" t="str">
        <f>"Σ(("&amp;A$18&amp;") + ("&amp;A20&amp;"))"</f>
        <v>Σ((9) + (11))</v>
      </c>
      <c r="D22" s="11">
        <f>'JPE-12 Page 5'!O22+D18+D20</f>
        <v>4702836.5287599983</v>
      </c>
      <c r="E22" s="11">
        <f t="shared" ref="E22:O22" si="6">D22+E18+E20</f>
        <v>6344519.8684086502</v>
      </c>
      <c r="F22" s="11">
        <f t="shared" si="6"/>
        <v>8103443.0525816623</v>
      </c>
      <c r="G22" s="11">
        <f t="shared" si="6"/>
        <v>10565332.470215669</v>
      </c>
      <c r="H22" s="11">
        <f t="shared" si="6"/>
        <v>9283187.8053568192</v>
      </c>
      <c r="I22" s="11">
        <f t="shared" si="6"/>
        <v>9221204.7369158193</v>
      </c>
      <c r="J22" s="11">
        <f t="shared" si="6"/>
        <v>9106677.9032982178</v>
      </c>
      <c r="K22" s="11">
        <f t="shared" si="6"/>
        <v>8628104.7319603451</v>
      </c>
      <c r="L22" s="11">
        <f t="shared" si="6"/>
        <v>8088288.5231102258</v>
      </c>
      <c r="M22" s="11">
        <f t="shared" si="6"/>
        <v>7492828.3705907175</v>
      </c>
      <c r="N22" s="11">
        <f t="shared" si="6"/>
        <v>7994853.1072583515</v>
      </c>
      <c r="O22" s="11">
        <f t="shared" si="6"/>
        <v>8520145.6455062442</v>
      </c>
      <c r="P22" s="8"/>
    </row>
    <row r="23" spans="1:18">
      <c r="A23" s="5">
        <f t="shared" si="1"/>
        <v>14</v>
      </c>
      <c r="B23" s="3"/>
      <c r="C23" s="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8"/>
    </row>
    <row r="24" spans="1:18">
      <c r="A24" s="5">
        <f t="shared" si="1"/>
        <v>15</v>
      </c>
      <c r="B24" s="9" t="s">
        <v>11</v>
      </c>
      <c r="C24" s="7" t="s">
        <v>10</v>
      </c>
      <c r="D24" s="69">
        <f>'JPE-12 Page 5'!O24</f>
        <v>-9.7514956153018674E-5</v>
      </c>
      <c r="E24" s="69">
        <f>$D$24</f>
        <v>-9.7514956153018674E-5</v>
      </c>
      <c r="F24" s="69">
        <f>$D$24</f>
        <v>-9.7514956153018674E-5</v>
      </c>
      <c r="G24" s="69">
        <f>$D$24</f>
        <v>-9.7514956153018674E-5</v>
      </c>
      <c r="H24" s="69">
        <f>'JPE-12 Page 5'!O28/'JPE-12 Page 7'!D30</f>
        <v>4.9236903624261578E-4</v>
      </c>
      <c r="I24" s="69">
        <f t="shared" ref="I24:O24" si="7">$H$24</f>
        <v>4.9236903624261578E-4</v>
      </c>
      <c r="J24" s="69">
        <f t="shared" si="7"/>
        <v>4.9236903624261578E-4</v>
      </c>
      <c r="K24" s="69">
        <f t="shared" si="7"/>
        <v>4.9236903624261578E-4</v>
      </c>
      <c r="L24" s="69">
        <f t="shared" si="7"/>
        <v>4.9236903624261578E-4</v>
      </c>
      <c r="M24" s="69">
        <f t="shared" si="7"/>
        <v>4.9236903624261578E-4</v>
      </c>
      <c r="N24" s="69">
        <f t="shared" si="7"/>
        <v>4.9236903624261578E-4</v>
      </c>
      <c r="O24" s="69">
        <f t="shared" si="7"/>
        <v>4.9236903624261578E-4</v>
      </c>
      <c r="P24" s="8"/>
    </row>
    <row r="25" spans="1:18">
      <c r="A25" s="5">
        <f t="shared" si="1"/>
        <v>16</v>
      </c>
      <c r="B25" s="3"/>
      <c r="C25" s="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</row>
    <row r="26" spans="1:18">
      <c r="A26" s="5">
        <f t="shared" si="1"/>
        <v>17</v>
      </c>
      <c r="B26" s="9" t="s">
        <v>9</v>
      </c>
      <c r="C26" s="7" t="str">
        <f>"("&amp;A14&amp;") x ("&amp;A24&amp;")"</f>
        <v>(5) x (15)</v>
      </c>
      <c r="D26" s="11">
        <f t="shared" ref="D26:O26" si="8">D14*D24</f>
        <v>-123127.55193147749</v>
      </c>
      <c r="E26" s="11">
        <f t="shared" si="8"/>
        <v>-112659.02884358248</v>
      </c>
      <c r="F26" s="11">
        <f t="shared" si="8"/>
        <v>-103137.66852480173</v>
      </c>
      <c r="G26" s="11">
        <f t="shared" si="8"/>
        <v>-89197.027908122327</v>
      </c>
      <c r="H26" s="11">
        <f t="shared" si="8"/>
        <v>392731.76096145133</v>
      </c>
      <c r="I26" s="11">
        <f t="shared" si="8"/>
        <v>347102.4452657394</v>
      </c>
      <c r="J26" s="11">
        <f t="shared" si="8"/>
        <v>325296.89775766263</v>
      </c>
      <c r="K26" s="11">
        <f t="shared" si="8"/>
        <v>326381.58674450516</v>
      </c>
      <c r="L26" s="11">
        <f t="shared" si="8"/>
        <v>331122.60819448531</v>
      </c>
      <c r="M26" s="11">
        <f t="shared" si="8"/>
        <v>347215.19777503895</v>
      </c>
      <c r="N26" s="11">
        <f t="shared" si="8"/>
        <v>443450.69538480317</v>
      </c>
      <c r="O26" s="11">
        <f t="shared" si="8"/>
        <v>561617.78697592218</v>
      </c>
      <c r="P26" s="8"/>
    </row>
    <row r="27" spans="1:18">
      <c r="A27" s="5">
        <f t="shared" si="1"/>
        <v>18</v>
      </c>
      <c r="B27" s="9"/>
      <c r="C27" s="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8"/>
    </row>
    <row r="28" spans="1:18">
      <c r="A28" s="5">
        <f t="shared" si="1"/>
        <v>19</v>
      </c>
      <c r="B28" s="9" t="s">
        <v>8</v>
      </c>
      <c r="C28" s="7" t="str">
        <f>"("&amp;A$28&amp;") + ("&amp;A18&amp;") + ("&amp;A20&amp;") - ("&amp;A26&amp;")"</f>
        <v>(19) + (9) + (11) - (17)</v>
      </c>
      <c r="D28" s="11">
        <f>'JPE-12 Page 5'!O28+'JPE-12 Page 9'!D18+'JPE-12 Page 9'!D20-'JPE-12 Page 9'!D26</f>
        <v>5430569.3882695353</v>
      </c>
      <c r="E28" s="11">
        <f t="shared" ref="E28:O28" si="9">D28+E18+E20-E26</f>
        <v>7184911.7567617698</v>
      </c>
      <c r="F28" s="11">
        <f t="shared" si="9"/>
        <v>9046972.6094595846</v>
      </c>
      <c r="G28" s="11">
        <f t="shared" si="9"/>
        <v>11598059.055001713</v>
      </c>
      <c r="H28" s="11">
        <f t="shared" si="9"/>
        <v>9923182.629181413</v>
      </c>
      <c r="I28" s="11">
        <f t="shared" si="9"/>
        <v>9514097.115474673</v>
      </c>
      <c r="J28" s="11">
        <f t="shared" si="9"/>
        <v>9074273.384099409</v>
      </c>
      <c r="K28" s="11">
        <f t="shared" si="9"/>
        <v>8269318.6260170313</v>
      </c>
      <c r="L28" s="11">
        <f t="shared" si="9"/>
        <v>7398379.8089724267</v>
      </c>
      <c r="M28" s="11">
        <f t="shared" si="9"/>
        <v>6455704.4586778795</v>
      </c>
      <c r="N28" s="11">
        <f t="shared" si="9"/>
        <v>6514278.4999607103</v>
      </c>
      <c r="O28" s="11">
        <f t="shared" si="9"/>
        <v>6477953.2512326799</v>
      </c>
      <c r="P28" s="8"/>
    </row>
    <row r="29" spans="1:18">
      <c r="A29" s="5">
        <f t="shared" si="1"/>
        <v>20</v>
      </c>
      <c r="B29" s="9"/>
      <c r="C29" s="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"/>
    </row>
    <row r="30" spans="1:18">
      <c r="A30" s="5">
        <f t="shared" si="1"/>
        <v>21</v>
      </c>
      <c r="B30" s="4" t="s">
        <v>7</v>
      </c>
      <c r="C30" s="23" t="s">
        <v>104</v>
      </c>
      <c r="D30" s="13">
        <f>+'JPE-12 Page 3'!$D$34</f>
        <v>2.9870000000000001E-3</v>
      </c>
      <c r="E30" s="13">
        <f>+D30</f>
        <v>2.9870000000000001E-3</v>
      </c>
      <c r="F30" s="13">
        <f>+E30</f>
        <v>2.9870000000000001E-3</v>
      </c>
      <c r="G30" s="13">
        <f>+F30</f>
        <v>2.9870000000000001E-3</v>
      </c>
      <c r="H30" s="13">
        <f>+'JPE-12 Page 7'!D34</f>
        <v>5.0280000000000012E-3</v>
      </c>
      <c r="I30" s="13">
        <f t="shared" ref="I30:O30" si="10">+H30</f>
        <v>5.0280000000000012E-3</v>
      </c>
      <c r="J30" s="13">
        <f t="shared" si="10"/>
        <v>5.0280000000000012E-3</v>
      </c>
      <c r="K30" s="13">
        <f t="shared" si="10"/>
        <v>5.0280000000000012E-3</v>
      </c>
      <c r="L30" s="13">
        <f t="shared" si="10"/>
        <v>5.0280000000000012E-3</v>
      </c>
      <c r="M30" s="13">
        <f t="shared" si="10"/>
        <v>5.0280000000000012E-3</v>
      </c>
      <c r="N30" s="13">
        <f t="shared" si="10"/>
        <v>5.0280000000000012E-3</v>
      </c>
      <c r="O30" s="13">
        <f t="shared" si="10"/>
        <v>5.0280000000000012E-3</v>
      </c>
      <c r="P30" s="8"/>
    </row>
    <row r="31" spans="1:18">
      <c r="A31" s="5">
        <f t="shared" si="1"/>
        <v>22</v>
      </c>
      <c r="B31" s="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8"/>
    </row>
    <row r="32" spans="1:18">
      <c r="A32" s="5">
        <f t="shared" si="1"/>
        <v>23</v>
      </c>
      <c r="B32" s="4" t="s">
        <v>5</v>
      </c>
      <c r="C32" s="7" t="str">
        <f>"("&amp;A14&amp;") x ("&amp;A30&amp;")"</f>
        <v>(5) x (21)</v>
      </c>
      <c r="D32" s="12">
        <f t="shared" ref="D32:O32" si="11">+D30*D14</f>
        <v>3771544.5109999999</v>
      </c>
      <c r="E32" s="12">
        <f t="shared" si="11"/>
        <v>3450881.1</v>
      </c>
      <c r="F32" s="12">
        <f t="shared" si="11"/>
        <v>3159230.42</v>
      </c>
      <c r="G32" s="12">
        <f t="shared" si="11"/>
        <v>2732211.8870000001</v>
      </c>
      <c r="H32" s="12">
        <f t="shared" si="11"/>
        <v>4010518.8360000011</v>
      </c>
      <c r="I32" s="12">
        <f t="shared" si="11"/>
        <v>3544558.992000001</v>
      </c>
      <c r="J32" s="12">
        <f t="shared" si="11"/>
        <v>3321883.9560000007</v>
      </c>
      <c r="K32" s="12">
        <f t="shared" si="11"/>
        <v>3332960.6400000006</v>
      </c>
      <c r="L32" s="12">
        <f t="shared" si="11"/>
        <v>3381375.2520000008</v>
      </c>
      <c r="M32" s="12">
        <f t="shared" si="11"/>
        <v>3545710.404000001</v>
      </c>
      <c r="N32" s="12">
        <f t="shared" si="11"/>
        <v>4528453.1160000013</v>
      </c>
      <c r="O32" s="12">
        <f t="shared" si="11"/>
        <v>5735158.0320000015</v>
      </c>
      <c r="P32" s="8">
        <f>SUM(D32:O32)</f>
        <v>44514487.146000013</v>
      </c>
    </row>
    <row r="33" spans="1:16">
      <c r="A33" s="5">
        <f t="shared" si="1"/>
        <v>24</v>
      </c>
      <c r="B33" s="9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1:16">
      <c r="A34" s="5">
        <f t="shared" si="1"/>
        <v>25</v>
      </c>
      <c r="B34" s="9" t="s">
        <v>4</v>
      </c>
      <c r="C34" s="7" t="s">
        <v>3</v>
      </c>
      <c r="D34" s="11">
        <v>132277430.38240483</v>
      </c>
      <c r="E34" s="11">
        <v>121750299.40486085</v>
      </c>
      <c r="F34" s="11">
        <v>112122507.65571767</v>
      </c>
      <c r="G34" s="11">
        <v>98024615.188577905</v>
      </c>
      <c r="H34" s="11">
        <v>88137878.789241344</v>
      </c>
      <c r="I34" s="11">
        <v>78822784.169059575</v>
      </c>
      <c r="J34" s="11">
        <v>74368929.239810288</v>
      </c>
      <c r="K34" s="11">
        <v>74606869.904337868</v>
      </c>
      <c r="L34" s="11">
        <v>75624093.412745893</v>
      </c>
      <c r="M34" s="11">
        <v>78900976.79959558</v>
      </c>
      <c r="N34" s="11">
        <v>98556760.83063513</v>
      </c>
      <c r="O34" s="11">
        <v>122649744.69615957</v>
      </c>
      <c r="P34" s="8">
        <f>SUM(D34:O34)</f>
        <v>1155842890.4731464</v>
      </c>
    </row>
    <row r="35" spans="1:16">
      <c r="A35" s="5">
        <f t="shared" si="1"/>
        <v>26</v>
      </c>
      <c r="B35" s="9"/>
      <c r="C35" s="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8"/>
    </row>
    <row r="36" spans="1:16">
      <c r="A36" s="5">
        <f t="shared" si="1"/>
        <v>27</v>
      </c>
      <c r="B36" s="9" t="s">
        <v>46</v>
      </c>
      <c r="C36" s="7" t="str">
        <f>"("&amp;A32&amp;") / ("&amp;A34&amp;")"</f>
        <v>(23) / (25)</v>
      </c>
      <c r="D36" s="68">
        <f t="shared" ref="D36:P36" si="12">D32/D34</f>
        <v>2.851238113786099E-2</v>
      </c>
      <c r="E36" s="68">
        <f t="shared" si="12"/>
        <v>2.8343922905065353E-2</v>
      </c>
      <c r="F36" s="68">
        <f t="shared" si="12"/>
        <v>2.8176594388173187E-2</v>
      </c>
      <c r="G36" s="68">
        <f t="shared" si="12"/>
        <v>2.7872712193195783E-2</v>
      </c>
      <c r="H36" s="68">
        <f t="shared" si="12"/>
        <v>4.5502783719019453E-2</v>
      </c>
      <c r="I36" s="68">
        <f t="shared" si="12"/>
        <v>4.4968710879301217E-2</v>
      </c>
      <c r="J36" s="68">
        <f t="shared" si="12"/>
        <v>4.4667631898910945E-2</v>
      </c>
      <c r="K36" s="68">
        <f t="shared" si="12"/>
        <v>4.467364257840567E-2</v>
      </c>
      <c r="L36" s="68">
        <f t="shared" si="12"/>
        <v>4.471293604202195E-2</v>
      </c>
      <c r="M36" s="68">
        <f t="shared" si="12"/>
        <v>4.4938739009605967E-2</v>
      </c>
      <c r="N36" s="68">
        <f t="shared" si="12"/>
        <v>4.5947665871262977E-2</v>
      </c>
      <c r="O36" s="68">
        <f t="shared" si="12"/>
        <v>4.6760456340188224E-2</v>
      </c>
      <c r="P36" s="68">
        <f t="shared" si="12"/>
        <v>3.8512575984940241E-2</v>
      </c>
    </row>
    <row r="37" spans="1:16">
      <c r="A37" s="5">
        <f t="shared" si="1"/>
        <v>28</v>
      </c>
      <c r="B37" s="9"/>
      <c r="C37" s="7"/>
      <c r="D37" s="8"/>
      <c r="E37" s="8"/>
      <c r="F37" s="8"/>
      <c r="G37" s="8"/>
      <c r="H37" s="6"/>
      <c r="I37" s="8"/>
      <c r="J37" s="8"/>
      <c r="K37" s="8"/>
      <c r="L37" s="8"/>
      <c r="M37" s="8"/>
      <c r="N37" s="8"/>
      <c r="O37" s="8"/>
      <c r="P37" s="3"/>
    </row>
    <row r="38" spans="1:16">
      <c r="A38" s="5">
        <f t="shared" si="1"/>
        <v>29</v>
      </c>
      <c r="B38" s="4" t="s">
        <v>1</v>
      </c>
      <c r="C38" s="7" t="str">
        <f>"("&amp;A30&amp;") * 1000"</f>
        <v>(21) * 1000</v>
      </c>
      <c r="D38" s="6">
        <f t="shared" ref="D38:O38" si="13">D30*1000</f>
        <v>2.9870000000000001</v>
      </c>
      <c r="E38" s="6">
        <f t="shared" si="13"/>
        <v>2.9870000000000001</v>
      </c>
      <c r="F38" s="6">
        <f t="shared" si="13"/>
        <v>2.9870000000000001</v>
      </c>
      <c r="G38" s="6">
        <f t="shared" si="13"/>
        <v>2.9870000000000001</v>
      </c>
      <c r="H38" s="6">
        <f t="shared" si="13"/>
        <v>5.0280000000000014</v>
      </c>
      <c r="I38" s="6">
        <f t="shared" si="13"/>
        <v>5.0280000000000014</v>
      </c>
      <c r="J38" s="6">
        <f t="shared" si="13"/>
        <v>5.0280000000000014</v>
      </c>
      <c r="K38" s="6">
        <f t="shared" si="13"/>
        <v>5.0280000000000014</v>
      </c>
      <c r="L38" s="6">
        <f t="shared" si="13"/>
        <v>5.0280000000000014</v>
      </c>
      <c r="M38" s="6">
        <f t="shared" si="13"/>
        <v>5.0280000000000014</v>
      </c>
      <c r="N38" s="6">
        <f t="shared" si="13"/>
        <v>5.0280000000000014</v>
      </c>
      <c r="O38" s="6">
        <f t="shared" si="13"/>
        <v>5.0280000000000014</v>
      </c>
      <c r="P38" s="3"/>
    </row>
    <row r="39" spans="1:16" s="2" customFormat="1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s="2" customFormat="1"/>
    <row r="41" spans="1:16" s="2" customFormat="1"/>
    <row r="42" spans="1:16" s="2" customFormat="1">
      <c r="H42" s="79">
        <f>H36-G36</f>
        <v>1.763007152582367E-2</v>
      </c>
    </row>
    <row r="43" spans="1:16" s="2" customFormat="1"/>
  </sheetData>
  <mergeCells count="4">
    <mergeCell ref="A1:O1"/>
    <mergeCell ref="A2:O2"/>
    <mergeCell ref="A3:O3"/>
    <mergeCell ref="A4:O4"/>
  </mergeCells>
  <printOptions horizontalCentered="1" verticalCentered="1"/>
  <pageMargins left="0.2" right="0.2" top="0.75" bottom="0.75" header="0.3" footer="0.3"/>
  <pageSetup scale="44" orientation="landscape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09B959E-DE4C-45EB-B456-50E1AFF66961}"/>
</file>

<file path=customXml/itemProps2.xml><?xml version="1.0" encoding="utf-8"?>
<ds:datastoreItem xmlns:ds="http://schemas.openxmlformats.org/officeDocument/2006/customXml" ds:itemID="{87122DE9-6B44-4938-BE55-F88D61F18A59}"/>
</file>

<file path=customXml/itemProps3.xml><?xml version="1.0" encoding="utf-8"?>
<ds:datastoreItem xmlns:ds="http://schemas.openxmlformats.org/officeDocument/2006/customXml" ds:itemID="{8B169706-3587-4AB6-A82E-5D2BC36C7099}"/>
</file>

<file path=customXml/itemProps4.xml><?xml version="1.0" encoding="utf-8"?>
<ds:datastoreItem xmlns:ds="http://schemas.openxmlformats.org/officeDocument/2006/customXml" ds:itemID="{582A1370-E321-4683-AB6B-6C1B80406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JPE-12 Page 1</vt:lpstr>
      <vt:lpstr>JPE-12 Page 2</vt:lpstr>
      <vt:lpstr>JPE-12 Page 3</vt:lpstr>
      <vt:lpstr>JPE-12 Page 4</vt:lpstr>
      <vt:lpstr>JPE-12 Page 5</vt:lpstr>
      <vt:lpstr>JPE-12 Page 6</vt:lpstr>
      <vt:lpstr>JPE-12 Page 7</vt:lpstr>
      <vt:lpstr>JPE-12 Page 8</vt:lpstr>
      <vt:lpstr>JPE-12 Page 9</vt:lpstr>
      <vt:lpstr>JPE-12 Page 10</vt:lpstr>
      <vt:lpstr>'JPE-12 Page 1'!Print_Area</vt:lpstr>
      <vt:lpstr>'JPE-12 Page 10'!Print_Area</vt:lpstr>
      <vt:lpstr>'JPE-12 Page 2'!Print_Area</vt:lpstr>
      <vt:lpstr>'JPE-12 Page 3'!Print_Area</vt:lpstr>
      <vt:lpstr>'JPE-12 Page 5'!Print_Area</vt:lpstr>
      <vt:lpstr>'JPE-12 Page 6'!Print_Area</vt:lpstr>
      <vt:lpstr>'JPE-12 Page 9'!Print_Area</vt:lpstr>
      <vt:lpstr>'JPE-12 Page 1'!Print_Titles</vt:lpstr>
      <vt:lpstr>'JPE-12 Page 10'!Print_Titles</vt:lpstr>
      <vt:lpstr>'JPE-12 Page 2'!Print_Titles</vt:lpstr>
      <vt:lpstr>'JPE-12 Page 5'!Print_Titles</vt:lpstr>
      <vt:lpstr>'JPE-12 Page 6'!Print_Titles</vt:lpstr>
      <vt:lpstr>'JPE-12 Page 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