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Wdocs\clntfls\1058\0089\"/>
    </mc:Choice>
  </mc:AlternateContent>
  <bookViews>
    <workbookView xWindow="0" yWindow="0" windowWidth="20268" windowHeight="6828" tabRatio="876" firstSheet="1" activeTab="6"/>
  </bookViews>
  <sheets>
    <sheet name="Revenue Deficiency - Per Cust" sheetId="9" r:id="rId1"/>
    <sheet name="Revenue Deficiency - Rate Class" sheetId="8" r:id="rId2"/>
    <sheet name="Cost Exceeding Revenue" sheetId="1" r:id="rId3"/>
    <sheet name="A&amp;G Costs" sheetId="7" r:id="rId4"/>
    <sheet name="Cost of Service" sheetId="2" r:id="rId5"/>
    <sheet name="Consumption Scenarios" sheetId="3" r:id="rId6"/>
    <sheet name="Customer Impact" sheetId="5" r:id="rId7"/>
  </sheets>
  <definedNames>
    <definedName name="_xlnm._FilterDatabase" localSheetId="3" hidden="1">'A&amp;G Costs'!$A$7:$P$484</definedName>
  </definedNames>
  <calcPr calcId="15251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5" l="1"/>
  <c r="D34" i="5" s="1"/>
  <c r="E32" i="5"/>
  <c r="E34" i="5" s="1"/>
  <c r="F32" i="5"/>
  <c r="F34" i="5" s="1"/>
  <c r="G32" i="5"/>
  <c r="H32" i="5"/>
  <c r="G34" i="5"/>
  <c r="H34" i="5"/>
  <c r="C34" i="5"/>
  <c r="C32" i="5"/>
  <c r="D30" i="5"/>
  <c r="E30" i="5"/>
  <c r="F30" i="5"/>
  <c r="G30" i="5"/>
  <c r="H30" i="5"/>
  <c r="C30" i="5"/>
  <c r="D28" i="5" l="1"/>
  <c r="E28" i="5"/>
  <c r="F28" i="5"/>
  <c r="G28" i="5"/>
  <c r="H28" i="5"/>
  <c r="C28" i="5"/>
  <c r="H25" i="5"/>
  <c r="H24" i="5"/>
  <c r="G24" i="5"/>
  <c r="G23" i="5"/>
  <c r="H23" i="5"/>
  <c r="F23" i="5"/>
  <c r="F22" i="5"/>
  <c r="G22" i="5"/>
  <c r="H22" i="5"/>
  <c r="E22" i="5"/>
  <c r="E21" i="5"/>
  <c r="F21" i="5"/>
  <c r="G21" i="5"/>
  <c r="H21" i="5"/>
  <c r="F20" i="5"/>
  <c r="G20" i="5"/>
  <c r="H20" i="5"/>
  <c r="E20" i="5"/>
  <c r="D21" i="5"/>
  <c r="D20" i="5"/>
  <c r="C20" i="5"/>
  <c r="H16" i="5"/>
  <c r="H15" i="5"/>
  <c r="G15" i="5"/>
  <c r="G14" i="5"/>
  <c r="H14" i="5"/>
  <c r="F14" i="5"/>
  <c r="F13" i="5"/>
  <c r="G13" i="5"/>
  <c r="H13" i="5"/>
  <c r="E13" i="5"/>
  <c r="B20" i="8"/>
  <c r="B31" i="8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G47" i="2"/>
  <c r="H47" i="2"/>
  <c r="I47" i="2"/>
  <c r="J47" i="2"/>
  <c r="K47" i="2"/>
  <c r="L47" i="2"/>
  <c r="M47" i="2"/>
  <c r="N47" i="2"/>
  <c r="O47" i="2"/>
  <c r="P47" i="2"/>
  <c r="F47" i="2"/>
  <c r="E47" i="2"/>
  <c r="I25" i="9"/>
  <c r="I38" i="8" l="1"/>
  <c r="H26" i="8"/>
  <c r="B20" i="9"/>
  <c r="I26" i="9" s="1"/>
  <c r="B27" i="9"/>
  <c r="A27" i="9"/>
  <c r="B26" i="9"/>
  <c r="A26" i="9"/>
  <c r="B25" i="9"/>
  <c r="A25" i="9"/>
  <c r="B24" i="9"/>
  <c r="A24" i="9"/>
  <c r="B23" i="9"/>
  <c r="A23" i="9"/>
  <c r="B22" i="9"/>
  <c r="A22" i="9"/>
  <c r="I14" i="9"/>
  <c r="H14" i="9"/>
  <c r="I13" i="9"/>
  <c r="H13" i="9"/>
  <c r="G13" i="9"/>
  <c r="I12" i="9"/>
  <c r="H12" i="9"/>
  <c r="G12" i="9"/>
  <c r="F12" i="9"/>
  <c r="I11" i="9"/>
  <c r="H11" i="9"/>
  <c r="G11" i="9"/>
  <c r="F11" i="9"/>
  <c r="E11" i="9"/>
  <c r="I10" i="9"/>
  <c r="H10" i="9"/>
  <c r="G10" i="9"/>
  <c r="F10" i="9"/>
  <c r="E10" i="9"/>
  <c r="D10" i="9"/>
  <c r="I9" i="9"/>
  <c r="H9" i="9"/>
  <c r="G9" i="9"/>
  <c r="F9" i="9"/>
  <c r="E9" i="9"/>
  <c r="D9" i="9"/>
  <c r="C9" i="9"/>
  <c r="C16" i="9" s="1"/>
  <c r="A39" i="8"/>
  <c r="B38" i="8"/>
  <c r="A38" i="8"/>
  <c r="B37" i="8"/>
  <c r="B36" i="8"/>
  <c r="A36" i="8"/>
  <c r="B35" i="8"/>
  <c r="A35" i="8"/>
  <c r="B34" i="8"/>
  <c r="I27" i="8"/>
  <c r="H27" i="8"/>
  <c r="B27" i="8"/>
  <c r="B39" i="8" s="1"/>
  <c r="A27" i="8"/>
  <c r="I26" i="8"/>
  <c r="G26" i="8"/>
  <c r="B26" i="8"/>
  <c r="A26" i="8"/>
  <c r="I25" i="8"/>
  <c r="B25" i="8"/>
  <c r="H25" i="8" s="1"/>
  <c r="A25" i="8"/>
  <c r="A37" i="8" s="1"/>
  <c r="H24" i="8"/>
  <c r="G24" i="8"/>
  <c r="B24" i="8"/>
  <c r="I24" i="8" s="1"/>
  <c r="A24" i="8"/>
  <c r="I23" i="8"/>
  <c r="G23" i="8"/>
  <c r="F23" i="8"/>
  <c r="B23" i="8"/>
  <c r="A23" i="8"/>
  <c r="I22" i="8"/>
  <c r="F22" i="8"/>
  <c r="B22" i="8"/>
  <c r="H22" i="8" s="1"/>
  <c r="A22" i="8"/>
  <c r="A34" i="8" s="1"/>
  <c r="I14" i="8"/>
  <c r="H14" i="8"/>
  <c r="I13" i="8"/>
  <c r="H13" i="8"/>
  <c r="G13" i="8"/>
  <c r="I12" i="8"/>
  <c r="H12" i="8"/>
  <c r="G12" i="8"/>
  <c r="F12" i="8"/>
  <c r="I11" i="8"/>
  <c r="H11" i="8"/>
  <c r="G11" i="8"/>
  <c r="F11" i="8"/>
  <c r="E11" i="8"/>
  <c r="I10" i="8"/>
  <c r="H10" i="8"/>
  <c r="G10" i="8"/>
  <c r="F10" i="8"/>
  <c r="E10" i="8"/>
  <c r="D10" i="8"/>
  <c r="I9" i="8"/>
  <c r="H9" i="8"/>
  <c r="G9" i="8"/>
  <c r="F9" i="8"/>
  <c r="E9" i="8"/>
  <c r="D9" i="8"/>
  <c r="C9" i="8"/>
  <c r="C16" i="8" s="1"/>
  <c r="I34" i="8" l="1"/>
  <c r="I36" i="8"/>
  <c r="H36" i="8"/>
  <c r="I37" i="8"/>
  <c r="G38" i="8"/>
  <c r="I35" i="8"/>
  <c r="H38" i="8"/>
  <c r="G35" i="8"/>
  <c r="H23" i="8"/>
  <c r="I27" i="9"/>
  <c r="G26" i="9"/>
  <c r="I24" i="9"/>
  <c r="F25" i="9"/>
  <c r="I22" i="9"/>
  <c r="H26" i="9"/>
  <c r="I23" i="9"/>
  <c r="D22" i="9"/>
  <c r="G25" i="9"/>
  <c r="E24" i="9"/>
  <c r="E23" i="9"/>
  <c r="H25" i="9"/>
  <c r="F22" i="9"/>
  <c r="F23" i="9"/>
  <c r="G24" i="9"/>
  <c r="H27" i="9"/>
  <c r="D23" i="9"/>
  <c r="E22" i="9"/>
  <c r="F24" i="9"/>
  <c r="G22" i="9"/>
  <c r="G23" i="9"/>
  <c r="H24" i="9"/>
  <c r="H22" i="9"/>
  <c r="H23" i="9"/>
  <c r="C22" i="9"/>
  <c r="I39" i="8"/>
  <c r="H39" i="8"/>
  <c r="C34" i="8"/>
  <c r="F37" i="8"/>
  <c r="D35" i="8"/>
  <c r="D22" i="8"/>
  <c r="D23" i="8"/>
  <c r="E24" i="8"/>
  <c r="G25" i="8"/>
  <c r="E34" i="8"/>
  <c r="E35" i="8"/>
  <c r="F36" i="8"/>
  <c r="H37" i="8"/>
  <c r="C22" i="8"/>
  <c r="F25" i="8"/>
  <c r="D34" i="8"/>
  <c r="E36" i="8"/>
  <c r="G37" i="8"/>
  <c r="E22" i="8"/>
  <c r="E23" i="8"/>
  <c r="F24" i="8"/>
  <c r="F34" i="8"/>
  <c r="F35" i="8"/>
  <c r="G36" i="8"/>
  <c r="G34" i="8"/>
  <c r="G22" i="8"/>
  <c r="H34" i="8"/>
  <c r="H35" i="8"/>
  <c r="D26" i="5"/>
  <c r="E26" i="5"/>
  <c r="F26" i="5"/>
  <c r="G26" i="5"/>
  <c r="H26" i="5"/>
  <c r="C26" i="5"/>
  <c r="B26" i="5"/>
  <c r="E12" i="5"/>
  <c r="F12" i="5"/>
  <c r="G12" i="5"/>
  <c r="H12" i="5"/>
  <c r="D12" i="5"/>
  <c r="D11" i="5"/>
  <c r="E11" i="5"/>
  <c r="F11" i="5"/>
  <c r="G11" i="5"/>
  <c r="H11" i="5"/>
  <c r="C11" i="5"/>
  <c r="C30" i="9" l="1"/>
  <c r="C32" i="9" s="1"/>
  <c r="C42" i="8"/>
  <c r="C43" i="8"/>
  <c r="C44" i="8" l="1"/>
  <c r="C46" i="8" s="1"/>
  <c r="C10" i="3"/>
  <c r="C9" i="3"/>
  <c r="C8" i="3"/>
  <c r="C7" i="3"/>
  <c r="C6" i="3"/>
  <c r="C5" i="3"/>
  <c r="C4" i="3"/>
  <c r="E25" i="1"/>
  <c r="E27" i="1"/>
  <c r="E24" i="1" l="1"/>
  <c r="S148" i="7" l="1"/>
  <c r="S7" i="7"/>
  <c r="B18" i="5" l="1"/>
  <c r="B20" i="5" s="1"/>
  <c r="E9" i="5"/>
  <c r="F9" i="5"/>
  <c r="G9" i="5"/>
  <c r="H9" i="5"/>
  <c r="D9" i="5"/>
  <c r="C9" i="5"/>
  <c r="D5" i="3"/>
  <c r="D6" i="3"/>
  <c r="D7" i="3"/>
  <c r="D8" i="3"/>
  <c r="D9" i="3"/>
  <c r="D10" i="3"/>
  <c r="D4" i="3"/>
  <c r="E79" i="2"/>
  <c r="E80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AO69" i="2"/>
  <c r="AN69" i="2"/>
  <c r="AM69" i="2"/>
  <c r="AL69" i="2"/>
  <c r="AK69" i="2"/>
  <c r="AJ69" i="2"/>
  <c r="AI69" i="2"/>
  <c r="AI64" i="2"/>
  <c r="AI65" i="2"/>
  <c r="AI66" i="2"/>
  <c r="AH69" i="2"/>
  <c r="AG69" i="2"/>
  <c r="AF69" i="2"/>
  <c r="AE69" i="2"/>
  <c r="AD69" i="2"/>
  <c r="AC69" i="2"/>
  <c r="AB69" i="2"/>
  <c r="AA69" i="2"/>
  <c r="AA64" i="2"/>
  <c r="AA65" i="2"/>
  <c r="AA66" i="2"/>
  <c r="Z69" i="2"/>
  <c r="Y69" i="2"/>
  <c r="X69" i="2"/>
  <c r="W69" i="2"/>
  <c r="V69" i="2"/>
  <c r="U69" i="2"/>
  <c r="T69" i="2"/>
  <c r="T64" i="2"/>
  <c r="S69" i="2"/>
  <c r="S64" i="2"/>
  <c r="S65" i="2"/>
  <c r="S66" i="2"/>
  <c r="R69" i="2"/>
  <c r="Q69" i="2"/>
  <c r="P69" i="2"/>
  <c r="O69" i="2"/>
  <c r="N69" i="2"/>
  <c r="M69" i="2"/>
  <c r="L69" i="2"/>
  <c r="L64" i="2"/>
  <c r="K69" i="2"/>
  <c r="K64" i="2"/>
  <c r="K65" i="2"/>
  <c r="K66" i="2"/>
  <c r="J69" i="2"/>
  <c r="I69" i="2"/>
  <c r="H69" i="2"/>
  <c r="G69" i="2"/>
  <c r="F69" i="2"/>
  <c r="E69" i="2"/>
  <c r="B69" i="2"/>
  <c r="AO64" i="2"/>
  <c r="AN64" i="2"/>
  <c r="AM64" i="2"/>
  <c r="AL64" i="2"/>
  <c r="AK64" i="2"/>
  <c r="AJ64" i="2"/>
  <c r="AH64" i="2"/>
  <c r="AG64" i="2"/>
  <c r="AF64" i="2"/>
  <c r="AE64" i="2"/>
  <c r="AD64" i="2"/>
  <c r="AC64" i="2"/>
  <c r="AB64" i="2"/>
  <c r="Z64" i="2"/>
  <c r="Z65" i="2"/>
  <c r="Z66" i="2"/>
  <c r="Y64" i="2"/>
  <c r="X64" i="2"/>
  <c r="W64" i="2"/>
  <c r="V64" i="2"/>
  <c r="U64" i="2"/>
  <c r="R64" i="2"/>
  <c r="Q64" i="2"/>
  <c r="P64" i="2"/>
  <c r="O64" i="2"/>
  <c r="N64" i="2"/>
  <c r="M64" i="2"/>
  <c r="J64" i="2"/>
  <c r="I64" i="2"/>
  <c r="H64" i="2"/>
  <c r="G64" i="2"/>
  <c r="F64" i="2"/>
  <c r="E64" i="2"/>
  <c r="Z63" i="2"/>
  <c r="A38" i="2"/>
  <c r="A39" i="2"/>
  <c r="A40" i="2"/>
  <c r="A41" i="2"/>
  <c r="A43" i="2"/>
  <c r="A44" i="2"/>
  <c r="A46" i="2"/>
  <c r="A49" i="2"/>
  <c r="A30" i="2"/>
  <c r="A33" i="2"/>
  <c r="A34" i="2"/>
  <c r="A35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29" i="2"/>
  <c r="AO28" i="2"/>
  <c r="AN28" i="2"/>
  <c r="AM28" i="2"/>
  <c r="AL28" i="2"/>
  <c r="AK28" i="2"/>
  <c r="AJ28" i="2"/>
  <c r="AI28" i="2"/>
  <c r="AI63" i="2"/>
  <c r="AH28" i="2"/>
  <c r="AH63" i="2"/>
  <c r="AG28" i="2"/>
  <c r="AF28" i="2"/>
  <c r="AE28" i="2"/>
  <c r="AD28" i="2"/>
  <c r="AC28" i="2"/>
  <c r="AB28" i="2"/>
  <c r="AA28" i="2"/>
  <c r="AA63" i="2"/>
  <c r="Z28" i="2"/>
  <c r="Y28" i="2"/>
  <c r="X28" i="2"/>
  <c r="W28" i="2"/>
  <c r="V28" i="2"/>
  <c r="U28" i="2"/>
  <c r="T28" i="2"/>
  <c r="S28" i="2"/>
  <c r="S63" i="2"/>
  <c r="R28" i="2"/>
  <c r="R63" i="2"/>
  <c r="Q28" i="2"/>
  <c r="P28" i="2"/>
  <c r="O28" i="2"/>
  <c r="N28" i="2"/>
  <c r="M28" i="2"/>
  <c r="L28" i="2"/>
  <c r="K28" i="2"/>
  <c r="K63" i="2"/>
  <c r="J28" i="2"/>
  <c r="J63" i="2"/>
  <c r="I28" i="2"/>
  <c r="H28" i="2"/>
  <c r="G28" i="2"/>
  <c r="F28" i="2"/>
  <c r="E28" i="2"/>
  <c r="D12" i="2"/>
  <c r="F11" i="2"/>
  <c r="F10" i="2"/>
  <c r="F9" i="2"/>
  <c r="F12" i="2"/>
  <c r="D9" i="2"/>
  <c r="AG63" i="2"/>
  <c r="AG65" i="2"/>
  <c r="AG66" i="2"/>
  <c r="I63" i="2"/>
  <c r="I65" i="2"/>
  <c r="I66" i="2"/>
  <c r="Y63" i="2"/>
  <c r="Y65" i="2"/>
  <c r="Y66" i="2"/>
  <c r="AO63" i="2"/>
  <c r="AO65" i="2"/>
  <c r="AO66" i="2"/>
  <c r="Q63" i="2"/>
  <c r="Q65" i="2"/>
  <c r="Q66" i="2"/>
  <c r="H63" i="2"/>
  <c r="H65" i="2"/>
  <c r="H66" i="2"/>
  <c r="AP28" i="2"/>
  <c r="P63" i="2"/>
  <c r="P65" i="2"/>
  <c r="P66" i="2"/>
  <c r="X63" i="2"/>
  <c r="X65" i="2"/>
  <c r="X66" i="2"/>
  <c r="AF63" i="2"/>
  <c r="AF65" i="2"/>
  <c r="AF66" i="2"/>
  <c r="AN63" i="2"/>
  <c r="AN65" i="2"/>
  <c r="AN66" i="2"/>
  <c r="AB65" i="2"/>
  <c r="AB66" i="2"/>
  <c r="R65" i="2"/>
  <c r="R66" i="2"/>
  <c r="V65" i="2"/>
  <c r="V66" i="2"/>
  <c r="AC65" i="2"/>
  <c r="AC66" i="2"/>
  <c r="L63" i="2"/>
  <c r="L65" i="2"/>
  <c r="L66" i="2"/>
  <c r="AB63" i="2"/>
  <c r="M63" i="2"/>
  <c r="M65" i="2"/>
  <c r="M66" i="2"/>
  <c r="U63" i="2"/>
  <c r="U65" i="2"/>
  <c r="U66" i="2"/>
  <c r="AC63" i="2"/>
  <c r="AK63" i="2"/>
  <c r="N65" i="2"/>
  <c r="N66" i="2"/>
  <c r="J65" i="2"/>
  <c r="J66" i="2"/>
  <c r="T63" i="2"/>
  <c r="T65" i="2"/>
  <c r="T66" i="2"/>
  <c r="AJ63" i="2"/>
  <c r="AJ65" i="2"/>
  <c r="AJ66" i="2"/>
  <c r="E63" i="2"/>
  <c r="E65" i="2"/>
  <c r="E66" i="2"/>
  <c r="F63" i="2"/>
  <c r="N63" i="2"/>
  <c r="V63" i="2"/>
  <c r="AD63" i="2"/>
  <c r="AD65" i="2"/>
  <c r="AD66" i="2"/>
  <c r="AL63" i="2"/>
  <c r="AL65" i="2"/>
  <c r="AL66" i="2"/>
  <c r="F65" i="2"/>
  <c r="F66" i="2"/>
  <c r="AK65" i="2"/>
  <c r="AK66" i="2"/>
  <c r="G63" i="2"/>
  <c r="G65" i="2"/>
  <c r="G66" i="2"/>
  <c r="O63" i="2"/>
  <c r="O65" i="2"/>
  <c r="O66" i="2"/>
  <c r="W63" i="2"/>
  <c r="W65" i="2"/>
  <c r="W66" i="2"/>
  <c r="AE63" i="2"/>
  <c r="AE65" i="2"/>
  <c r="AE66" i="2"/>
  <c r="AM63" i="2"/>
  <c r="AM65" i="2"/>
  <c r="AM66" i="2"/>
  <c r="AH65" i="2"/>
  <c r="AH66" i="2"/>
  <c r="AP66" i="2"/>
  <c r="E53" i="2"/>
  <c r="I27" i="1"/>
  <c r="H27" i="1"/>
  <c r="I26" i="1"/>
  <c r="I28" i="1" s="1"/>
  <c r="H26" i="1"/>
  <c r="H28" i="1" s="1"/>
  <c r="E72" i="2"/>
  <c r="F53" i="2"/>
  <c r="E38" i="2"/>
  <c r="E40" i="2"/>
  <c r="E56" i="2"/>
  <c r="E39" i="2"/>
  <c r="K13" i="1"/>
  <c r="F72" i="2"/>
  <c r="E30" i="2"/>
  <c r="E57" i="2"/>
  <c r="E33" i="2"/>
  <c r="E41" i="2"/>
  <c r="F40" i="2"/>
  <c r="F56" i="2"/>
  <c r="G53" i="2"/>
  <c r="F38" i="2"/>
  <c r="F39" i="2"/>
  <c r="H17" i="1"/>
  <c r="H13" i="1"/>
  <c r="H18" i="1"/>
  <c r="G39" i="2"/>
  <c r="H53" i="2"/>
  <c r="G38" i="2"/>
  <c r="G41" i="2"/>
  <c r="G40" i="2"/>
  <c r="G56" i="2"/>
  <c r="F30" i="2"/>
  <c r="G72" i="2"/>
  <c r="E60" i="2"/>
  <c r="E74" i="2"/>
  <c r="F57" i="2"/>
  <c r="F33" i="2"/>
  <c r="E58" i="2"/>
  <c r="E59" i="2"/>
  <c r="E34" i="2"/>
  <c r="E35" i="2"/>
  <c r="E43" i="2"/>
  <c r="F41" i="2"/>
  <c r="H19" i="1"/>
  <c r="H21" i="1" s="1"/>
  <c r="E46" i="2"/>
  <c r="E44" i="2"/>
  <c r="H72" i="2"/>
  <c r="G30" i="2"/>
  <c r="I53" i="2"/>
  <c r="H38" i="2"/>
  <c r="H41" i="2"/>
  <c r="H40" i="2"/>
  <c r="H56" i="2"/>
  <c r="H39" i="2"/>
  <c r="G57" i="2"/>
  <c r="G33" i="2"/>
  <c r="F58" i="2"/>
  <c r="F59" i="2"/>
  <c r="F34" i="2"/>
  <c r="F35" i="2"/>
  <c r="F43" i="2"/>
  <c r="F44" i="2"/>
  <c r="F46" i="2"/>
  <c r="F49" i="2"/>
  <c r="J53" i="2"/>
  <c r="I38" i="2"/>
  <c r="I39" i="2"/>
  <c r="I40" i="2"/>
  <c r="I56" i="2"/>
  <c r="F60" i="2"/>
  <c r="F74" i="2"/>
  <c r="G58" i="2"/>
  <c r="G59" i="2"/>
  <c r="I72" i="2"/>
  <c r="H30" i="2"/>
  <c r="H57" i="2"/>
  <c r="H33" i="2"/>
  <c r="H58" i="2"/>
  <c r="H59" i="2"/>
  <c r="H34" i="2"/>
  <c r="E49" i="2"/>
  <c r="H60" i="2"/>
  <c r="H74" i="2"/>
  <c r="H35" i="2"/>
  <c r="H43" i="2"/>
  <c r="I41" i="2"/>
  <c r="I57" i="2"/>
  <c r="I33" i="2"/>
  <c r="I58" i="2"/>
  <c r="I59" i="2"/>
  <c r="I34" i="2"/>
  <c r="J72" i="2"/>
  <c r="I30" i="2"/>
  <c r="K53" i="2"/>
  <c r="J38" i="2"/>
  <c r="J39" i="2"/>
  <c r="J40" i="2"/>
  <c r="J56" i="2"/>
  <c r="G34" i="2"/>
  <c r="G35" i="2"/>
  <c r="G43" i="2"/>
  <c r="G60" i="2"/>
  <c r="G74" i="2"/>
  <c r="G44" i="2"/>
  <c r="G46" i="2"/>
  <c r="G49" i="2"/>
  <c r="J57" i="2"/>
  <c r="J33" i="2"/>
  <c r="J58" i="2"/>
  <c r="J59" i="2"/>
  <c r="J34" i="2"/>
  <c r="H44" i="2"/>
  <c r="H46" i="2"/>
  <c r="H49" i="2"/>
  <c r="K72" i="2"/>
  <c r="J30" i="2"/>
  <c r="I35" i="2"/>
  <c r="L53" i="2"/>
  <c r="K39" i="2"/>
  <c r="K40" i="2"/>
  <c r="K56" i="2"/>
  <c r="K38" i="2"/>
  <c r="K41" i="2"/>
  <c r="I60" i="2"/>
  <c r="I74" i="2"/>
  <c r="J41" i="2"/>
  <c r="I43" i="2"/>
  <c r="L72" i="2"/>
  <c r="K30" i="2"/>
  <c r="J60" i="2"/>
  <c r="J74" i="2"/>
  <c r="J35" i="2"/>
  <c r="M53" i="2"/>
  <c r="L39" i="2"/>
  <c r="L40" i="2"/>
  <c r="L56" i="2"/>
  <c r="L38" i="2"/>
  <c r="I44" i="2"/>
  <c r="I46" i="2"/>
  <c r="I49" i="2"/>
  <c r="K57" i="2"/>
  <c r="K33" i="2"/>
  <c r="K58" i="2"/>
  <c r="K59" i="2"/>
  <c r="K34" i="2"/>
  <c r="J43" i="2"/>
  <c r="L57" i="2"/>
  <c r="L33" i="2"/>
  <c r="J44" i="2"/>
  <c r="J46" i="2"/>
  <c r="J49" i="2"/>
  <c r="N53" i="2"/>
  <c r="M40" i="2"/>
  <c r="M56" i="2"/>
  <c r="M38" i="2"/>
  <c r="M41" i="2"/>
  <c r="M39" i="2"/>
  <c r="K60" i="2"/>
  <c r="K74" i="2"/>
  <c r="K35" i="2"/>
  <c r="K43" i="2"/>
  <c r="L41" i="2"/>
  <c r="M72" i="2"/>
  <c r="L30" i="2"/>
  <c r="M57" i="2"/>
  <c r="M33" i="2"/>
  <c r="M30" i="2"/>
  <c r="N72" i="2"/>
  <c r="N40" i="2"/>
  <c r="N56" i="2"/>
  <c r="O53" i="2"/>
  <c r="N38" i="2"/>
  <c r="N41" i="2"/>
  <c r="N39" i="2"/>
  <c r="L58" i="2"/>
  <c r="L59" i="2"/>
  <c r="L34" i="2"/>
  <c r="K44" i="2"/>
  <c r="K46" i="2"/>
  <c r="K49" i="2"/>
  <c r="L60" i="2"/>
  <c r="L74" i="2"/>
  <c r="L35" i="2"/>
  <c r="L43" i="2"/>
  <c r="L46" i="2"/>
  <c r="L49" i="2"/>
  <c r="L44" i="2"/>
  <c r="P53" i="2"/>
  <c r="O38" i="2"/>
  <c r="O39" i="2"/>
  <c r="O40" i="2"/>
  <c r="N57" i="2"/>
  <c r="N33" i="2"/>
  <c r="O72" i="2"/>
  <c r="N30" i="2"/>
  <c r="M58" i="2"/>
  <c r="M59" i="2"/>
  <c r="N58" i="2"/>
  <c r="N59" i="2"/>
  <c r="M34" i="2"/>
  <c r="M35" i="2"/>
  <c r="M43" i="2"/>
  <c r="M60" i="2"/>
  <c r="M74" i="2"/>
  <c r="O56" i="2"/>
  <c r="O41" i="2"/>
  <c r="Q53" i="2"/>
  <c r="P38" i="2"/>
  <c r="P39" i="2"/>
  <c r="P40" i="2"/>
  <c r="P56" i="2"/>
  <c r="P72" i="2"/>
  <c r="O30" i="2"/>
  <c r="R53" i="2"/>
  <c r="Q40" i="2"/>
  <c r="Q38" i="2"/>
  <c r="Q41" i="2"/>
  <c r="Q39" i="2"/>
  <c r="O58" i="2"/>
  <c r="O59" i="2"/>
  <c r="O34" i="2"/>
  <c r="O57" i="2"/>
  <c r="O33" i="2"/>
  <c r="O60" i="2"/>
  <c r="O74" i="2"/>
  <c r="P57" i="2"/>
  <c r="P33" i="2"/>
  <c r="Q72" i="2"/>
  <c r="P30" i="2"/>
  <c r="M44" i="2"/>
  <c r="M46" i="2"/>
  <c r="M49" i="2"/>
  <c r="P41" i="2"/>
  <c r="N34" i="2"/>
  <c r="N35" i="2"/>
  <c r="N43" i="2"/>
  <c r="N60" i="2"/>
  <c r="N74" i="2"/>
  <c r="O35" i="2"/>
  <c r="O43" i="2"/>
  <c r="R72" i="2"/>
  <c r="Q30" i="2"/>
  <c r="S53" i="2"/>
  <c r="R38" i="2"/>
  <c r="R40" i="2"/>
  <c r="R39" i="2"/>
  <c r="N44" i="2"/>
  <c r="N46" i="2"/>
  <c r="N49" i="2"/>
  <c r="P58" i="2"/>
  <c r="P59" i="2"/>
  <c r="Q56" i="2"/>
  <c r="R41" i="2"/>
  <c r="Q57" i="2"/>
  <c r="Q33" i="2"/>
  <c r="Q58" i="2"/>
  <c r="Q59" i="2"/>
  <c r="Q34" i="2"/>
  <c r="R56" i="2"/>
  <c r="T53" i="2"/>
  <c r="S40" i="2"/>
  <c r="S56" i="2"/>
  <c r="S39" i="2"/>
  <c r="S38" i="2"/>
  <c r="P34" i="2"/>
  <c r="P35" i="2"/>
  <c r="P43" i="2"/>
  <c r="P60" i="2"/>
  <c r="P74" i="2"/>
  <c r="S72" i="2"/>
  <c r="R30" i="2"/>
  <c r="O44" i="2"/>
  <c r="O46" i="2"/>
  <c r="O49" i="2"/>
  <c r="U53" i="2"/>
  <c r="T40" i="2"/>
  <c r="T39" i="2"/>
  <c r="T38" i="2"/>
  <c r="T41" i="2"/>
  <c r="R57" i="2"/>
  <c r="R33" i="2"/>
  <c r="R58" i="2"/>
  <c r="R59" i="2"/>
  <c r="R34" i="2"/>
  <c r="S57" i="2"/>
  <c r="S33" i="2"/>
  <c r="P44" i="2"/>
  <c r="P46" i="2"/>
  <c r="P49" i="2"/>
  <c r="Q60" i="2"/>
  <c r="Q74" i="2"/>
  <c r="S41" i="2"/>
  <c r="Q35" i="2"/>
  <c r="Q43" i="2"/>
  <c r="T72" i="2"/>
  <c r="S30" i="2"/>
  <c r="Q44" i="2"/>
  <c r="Q46" i="2"/>
  <c r="Q49" i="2"/>
  <c r="R60" i="2"/>
  <c r="R74" i="2"/>
  <c r="R35" i="2"/>
  <c r="R43" i="2"/>
  <c r="S58" i="2"/>
  <c r="S59" i="2"/>
  <c r="S34" i="2"/>
  <c r="S35" i="2"/>
  <c r="S43" i="2"/>
  <c r="T56" i="2"/>
  <c r="U72" i="2"/>
  <c r="T30" i="2"/>
  <c r="V53" i="2"/>
  <c r="U40" i="2"/>
  <c r="U38" i="2"/>
  <c r="U39" i="2"/>
  <c r="S44" i="2"/>
  <c r="S46" i="2"/>
  <c r="S49" i="2"/>
  <c r="V40" i="2"/>
  <c r="V38" i="2"/>
  <c r="V39" i="2"/>
  <c r="W53" i="2"/>
  <c r="R44" i="2"/>
  <c r="R46" i="2"/>
  <c r="R49" i="2"/>
  <c r="U41" i="2"/>
  <c r="U56" i="2"/>
  <c r="S60" i="2"/>
  <c r="S74" i="2"/>
  <c r="U30" i="2"/>
  <c r="V72" i="2"/>
  <c r="T57" i="2"/>
  <c r="T33" i="2"/>
  <c r="T58" i="2"/>
  <c r="T59" i="2"/>
  <c r="T34" i="2"/>
  <c r="T35" i="2"/>
  <c r="T43" i="2"/>
  <c r="W39" i="2"/>
  <c r="X53" i="2"/>
  <c r="W40" i="2"/>
  <c r="W56" i="2"/>
  <c r="W38" i="2"/>
  <c r="W72" i="2"/>
  <c r="V30" i="2"/>
  <c r="V41" i="2"/>
  <c r="T60" i="2"/>
  <c r="T74" i="2"/>
  <c r="U58" i="2"/>
  <c r="U59" i="2"/>
  <c r="U34" i="2"/>
  <c r="U57" i="2"/>
  <c r="U33" i="2"/>
  <c r="V56" i="2"/>
  <c r="V57" i="2"/>
  <c r="V33" i="2"/>
  <c r="X72" i="2"/>
  <c r="W30" i="2"/>
  <c r="U35" i="2"/>
  <c r="U43" i="2"/>
  <c r="W41" i="2"/>
  <c r="W57" i="2"/>
  <c r="W33" i="2"/>
  <c r="U60" i="2"/>
  <c r="U74" i="2"/>
  <c r="Y53" i="2"/>
  <c r="X40" i="2"/>
  <c r="X38" i="2"/>
  <c r="X39" i="2"/>
  <c r="T46" i="2"/>
  <c r="T49" i="2"/>
  <c r="T44" i="2"/>
  <c r="X41" i="2"/>
  <c r="U44" i="2"/>
  <c r="U46" i="2"/>
  <c r="U49" i="2"/>
  <c r="X56" i="2"/>
  <c r="Z53" i="2"/>
  <c r="Y40" i="2"/>
  <c r="Y56" i="2"/>
  <c r="Y38" i="2"/>
  <c r="Y41" i="2"/>
  <c r="Y39" i="2"/>
  <c r="Y72" i="2"/>
  <c r="X30" i="2"/>
  <c r="W60" i="2"/>
  <c r="W74" i="2"/>
  <c r="V60" i="2"/>
  <c r="V74" i="2"/>
  <c r="W35" i="2"/>
  <c r="W43" i="2"/>
  <c r="V58" i="2"/>
  <c r="V59" i="2"/>
  <c r="V34" i="2"/>
  <c r="V35" i="2"/>
  <c r="V43" i="2"/>
  <c r="W58" i="2"/>
  <c r="W59" i="2"/>
  <c r="W34" i="2"/>
  <c r="V44" i="2"/>
  <c r="V46" i="2"/>
  <c r="V49" i="2"/>
  <c r="W44" i="2"/>
  <c r="W46" i="2"/>
  <c r="W49" i="2"/>
  <c r="AA53" i="2"/>
  <c r="Z38" i="2"/>
  <c r="Z40" i="2"/>
  <c r="Z39" i="2"/>
  <c r="Y57" i="2"/>
  <c r="Y33" i="2"/>
  <c r="Y58" i="2"/>
  <c r="Y59" i="2"/>
  <c r="Y34" i="2"/>
  <c r="X57" i="2"/>
  <c r="X33" i="2"/>
  <c r="X58" i="2"/>
  <c r="X59" i="2"/>
  <c r="X34" i="2"/>
  <c r="Z72" i="2"/>
  <c r="Y30" i="2"/>
  <c r="AA72" i="2"/>
  <c r="Z30" i="2"/>
  <c r="Z56" i="2"/>
  <c r="Z41" i="2"/>
  <c r="X60" i="2"/>
  <c r="X74" i="2"/>
  <c r="AB53" i="2"/>
  <c r="AA40" i="2"/>
  <c r="AA56" i="2"/>
  <c r="AA39" i="2"/>
  <c r="AA38" i="2"/>
  <c r="X35" i="2"/>
  <c r="X43" i="2"/>
  <c r="Y60" i="2"/>
  <c r="Y74" i="2"/>
  <c r="Y35" i="2"/>
  <c r="Y43" i="2"/>
  <c r="Y44" i="2"/>
  <c r="Y46" i="2"/>
  <c r="Y49" i="2"/>
  <c r="AA57" i="2"/>
  <c r="AA33" i="2"/>
  <c r="AA58" i="2"/>
  <c r="AA59" i="2"/>
  <c r="AA34" i="2"/>
  <c r="AC53" i="2"/>
  <c r="AB40" i="2"/>
  <c r="AB39" i="2"/>
  <c r="AB38" i="2"/>
  <c r="Z57" i="2"/>
  <c r="Z33" i="2"/>
  <c r="Z58" i="2"/>
  <c r="Z59" i="2"/>
  <c r="Z34" i="2"/>
  <c r="X44" i="2"/>
  <c r="X46" i="2"/>
  <c r="X49" i="2"/>
  <c r="AA41" i="2"/>
  <c r="AB72" i="2"/>
  <c r="AA30" i="2"/>
  <c r="AB56" i="2"/>
  <c r="AA60" i="2"/>
  <c r="AA74" i="2"/>
  <c r="AA35" i="2"/>
  <c r="AA43" i="2"/>
  <c r="Z35" i="2"/>
  <c r="Z43" i="2"/>
  <c r="AD53" i="2"/>
  <c r="AC40" i="2"/>
  <c r="AC56" i="2"/>
  <c r="AC38" i="2"/>
  <c r="AC41" i="2"/>
  <c r="AC39" i="2"/>
  <c r="Z60" i="2"/>
  <c r="Z74" i="2"/>
  <c r="AC72" i="2"/>
  <c r="AB30" i="2"/>
  <c r="AB41" i="2"/>
  <c r="AA44" i="2"/>
  <c r="AA46" i="2"/>
  <c r="AA49" i="2"/>
  <c r="AC57" i="2"/>
  <c r="AC33" i="2"/>
  <c r="AD40" i="2"/>
  <c r="AD56" i="2"/>
  <c r="AD38" i="2"/>
  <c r="AD41" i="2"/>
  <c r="AE53" i="2"/>
  <c r="AD39" i="2"/>
  <c r="AC30" i="2"/>
  <c r="AD72" i="2"/>
  <c r="Z44" i="2"/>
  <c r="Z46" i="2"/>
  <c r="Z49" i="2"/>
  <c r="AB57" i="2"/>
  <c r="AB33" i="2"/>
  <c r="AC58" i="2"/>
  <c r="AC59" i="2"/>
  <c r="AC34" i="2"/>
  <c r="AE39" i="2"/>
  <c r="AE38" i="2"/>
  <c r="AF53" i="2"/>
  <c r="AE40" i="2"/>
  <c r="AE56" i="2"/>
  <c r="AC35" i="2"/>
  <c r="AE72" i="2"/>
  <c r="AD30" i="2"/>
  <c r="AC60" i="2"/>
  <c r="AC74" i="2"/>
  <c r="AB58" i="2"/>
  <c r="AB59" i="2"/>
  <c r="AB34" i="2"/>
  <c r="AB35" i="2"/>
  <c r="AB43" i="2"/>
  <c r="AD57" i="2"/>
  <c r="AD33" i="2"/>
  <c r="AC43" i="2"/>
  <c r="AB60" i="2"/>
  <c r="AB74" i="2"/>
  <c r="AB44" i="2"/>
  <c r="AB46" i="2"/>
  <c r="AB49" i="2"/>
  <c r="AF72" i="2"/>
  <c r="AE30" i="2"/>
  <c r="AG53" i="2"/>
  <c r="AF40" i="2"/>
  <c r="AF38" i="2"/>
  <c r="AF39" i="2"/>
  <c r="AE57" i="2"/>
  <c r="AE33" i="2"/>
  <c r="AE41" i="2"/>
  <c r="AC44" i="2"/>
  <c r="AC46" i="2"/>
  <c r="AC49" i="2"/>
  <c r="AD58" i="2"/>
  <c r="AD59" i="2"/>
  <c r="AF41" i="2"/>
  <c r="AG72" i="2"/>
  <c r="AF30" i="2"/>
  <c r="AF56" i="2"/>
  <c r="AH53" i="2"/>
  <c r="AG40" i="2"/>
  <c r="AG56" i="2"/>
  <c r="AG38" i="2"/>
  <c r="AG39" i="2"/>
  <c r="AD34" i="2"/>
  <c r="AD35" i="2"/>
  <c r="AD43" i="2"/>
  <c r="AD60" i="2"/>
  <c r="AD74" i="2"/>
  <c r="AE58" i="2"/>
  <c r="AE59" i="2"/>
  <c r="AI53" i="2"/>
  <c r="AH38" i="2"/>
  <c r="AH40" i="2"/>
  <c r="AH39" i="2"/>
  <c r="AF57" i="2"/>
  <c r="AF33" i="2"/>
  <c r="AF58" i="2"/>
  <c r="AF59" i="2"/>
  <c r="AF34" i="2"/>
  <c r="AE34" i="2"/>
  <c r="AE35" i="2"/>
  <c r="AE43" i="2"/>
  <c r="AE60" i="2"/>
  <c r="AE74" i="2"/>
  <c r="AD44" i="2"/>
  <c r="AD46" i="2"/>
  <c r="AD49" i="2"/>
  <c r="AH72" i="2"/>
  <c r="AG30" i="2"/>
  <c r="AG57" i="2"/>
  <c r="AG33" i="2"/>
  <c r="AG41" i="2"/>
  <c r="AF35" i="2"/>
  <c r="AF43" i="2"/>
  <c r="AI72" i="2"/>
  <c r="AH30" i="2"/>
  <c r="AH56" i="2"/>
  <c r="AE44" i="2"/>
  <c r="AE46" i="2"/>
  <c r="AE49" i="2"/>
  <c r="AF60" i="2"/>
  <c r="AF74" i="2"/>
  <c r="AH41" i="2"/>
  <c r="AG58" i="2"/>
  <c r="AG59" i="2"/>
  <c r="AJ53" i="2"/>
  <c r="AI40" i="2"/>
  <c r="AI39" i="2"/>
  <c r="AI38" i="2"/>
  <c r="AI41" i="2"/>
  <c r="AK53" i="2"/>
  <c r="AJ40" i="2"/>
  <c r="AJ56" i="2"/>
  <c r="AJ39" i="2"/>
  <c r="AJ38" i="2"/>
  <c r="AJ41" i="2"/>
  <c r="AJ72" i="2"/>
  <c r="AI30" i="2"/>
  <c r="AI56" i="2"/>
  <c r="AH57" i="2"/>
  <c r="AH33" i="2"/>
  <c r="AH58" i="2"/>
  <c r="AH59" i="2"/>
  <c r="AH34" i="2"/>
  <c r="AG34" i="2"/>
  <c r="AG35" i="2"/>
  <c r="AG43" i="2"/>
  <c r="AG60" i="2"/>
  <c r="AG74" i="2"/>
  <c r="AF44" i="2"/>
  <c r="AF46" i="2"/>
  <c r="AF49" i="2"/>
  <c r="AG44" i="2"/>
  <c r="AG46" i="2"/>
  <c r="AG49" i="2"/>
  <c r="AI57" i="2"/>
  <c r="AI33" i="2"/>
  <c r="AI58" i="2"/>
  <c r="AI59" i="2"/>
  <c r="AI34" i="2"/>
  <c r="AJ57" i="2"/>
  <c r="AJ33" i="2"/>
  <c r="AK72" i="2"/>
  <c r="AJ30" i="2"/>
  <c r="AH60" i="2"/>
  <c r="AH74" i="2"/>
  <c r="AH35" i="2"/>
  <c r="AH43" i="2"/>
  <c r="AL53" i="2"/>
  <c r="AK40" i="2"/>
  <c r="AK56" i="2"/>
  <c r="AK38" i="2"/>
  <c r="AK39" i="2"/>
  <c r="AK57" i="2"/>
  <c r="AK33" i="2"/>
  <c r="AI35" i="2"/>
  <c r="AI43" i="2"/>
  <c r="AH44" i="2"/>
  <c r="AH46" i="2"/>
  <c r="AH49" i="2"/>
  <c r="AL72" i="2"/>
  <c r="AK30" i="2"/>
  <c r="AL39" i="2"/>
  <c r="AM53" i="2"/>
  <c r="AL40" i="2"/>
  <c r="AL56" i="2"/>
  <c r="AL38" i="2"/>
  <c r="AL41" i="2"/>
  <c r="AI60" i="2"/>
  <c r="AI74" i="2"/>
  <c r="AK41" i="2"/>
  <c r="AJ58" i="2"/>
  <c r="AJ59" i="2"/>
  <c r="AN53" i="2"/>
  <c r="AM40" i="2"/>
  <c r="AM38" i="2"/>
  <c r="AM39" i="2"/>
  <c r="AL30" i="2"/>
  <c r="AM72" i="2"/>
  <c r="AL58" i="2"/>
  <c r="AL59" i="2"/>
  <c r="AL34" i="2"/>
  <c r="AL57" i="2"/>
  <c r="AL33" i="2"/>
  <c r="AI44" i="2"/>
  <c r="AI46" i="2"/>
  <c r="AI49" i="2"/>
  <c r="AJ34" i="2"/>
  <c r="AJ35" i="2"/>
  <c r="AJ43" i="2"/>
  <c r="AJ60" i="2"/>
  <c r="AJ74" i="2"/>
  <c r="AK58" i="2"/>
  <c r="AK59" i="2"/>
  <c r="AK34" i="2"/>
  <c r="AK35" i="2"/>
  <c r="AK43" i="2"/>
  <c r="AK44" i="2"/>
  <c r="AK46" i="2"/>
  <c r="AK49" i="2"/>
  <c r="AN72" i="2"/>
  <c r="AM30" i="2"/>
  <c r="AJ44" i="2"/>
  <c r="AJ46" i="2"/>
  <c r="AJ49" i="2"/>
  <c r="AM41" i="2"/>
  <c r="AK60" i="2"/>
  <c r="AK74" i="2"/>
  <c r="AM56" i="2"/>
  <c r="AL60" i="2"/>
  <c r="AL74" i="2"/>
  <c r="AL35" i="2"/>
  <c r="AL43" i="2"/>
  <c r="AO53" i="2"/>
  <c r="AN40" i="2"/>
  <c r="AN56" i="2"/>
  <c r="AN38" i="2"/>
  <c r="AN41" i="2"/>
  <c r="AN39" i="2"/>
  <c r="AL44" i="2"/>
  <c r="AL46" i="2"/>
  <c r="AL49" i="2"/>
  <c r="AO72" i="2"/>
  <c r="AO30" i="2"/>
  <c r="AN30" i="2"/>
  <c r="AO40" i="2"/>
  <c r="AO38" i="2"/>
  <c r="AO39" i="2"/>
  <c r="AN57" i="2"/>
  <c r="AN33" i="2"/>
  <c r="AN58" i="2"/>
  <c r="AN59" i="2"/>
  <c r="AN34" i="2"/>
  <c r="AM57" i="2"/>
  <c r="AM33" i="2"/>
  <c r="AO56" i="2"/>
  <c r="AO41" i="2"/>
  <c r="AN43" i="2"/>
  <c r="AM58" i="2"/>
  <c r="AM59" i="2"/>
  <c r="AN60" i="2"/>
  <c r="AN74" i="2"/>
  <c r="AN35" i="2"/>
  <c r="AO57" i="2"/>
  <c r="AO33" i="2"/>
  <c r="AO58" i="2"/>
  <c r="AO59" i="2"/>
  <c r="AO34" i="2"/>
  <c r="AM34" i="2"/>
  <c r="AM35" i="2"/>
  <c r="AM43" i="2"/>
  <c r="AM60" i="2"/>
  <c r="AM74" i="2"/>
  <c r="AN44" i="2"/>
  <c r="AN46" i="2"/>
  <c r="AN49" i="2"/>
  <c r="AO60" i="2"/>
  <c r="AO74" i="2"/>
  <c r="AM44" i="2"/>
  <c r="AM46" i="2"/>
  <c r="AM49" i="2"/>
  <c r="AO35" i="2"/>
  <c r="AO43" i="2"/>
  <c r="AO44" i="2"/>
  <c r="AO46" i="2"/>
  <c r="AO49" i="2"/>
  <c r="D18" i="5" l="1"/>
  <c r="D39" i="5" s="1"/>
  <c r="E18" i="5"/>
  <c r="F18" i="5"/>
  <c r="G18" i="5"/>
  <c r="H18" i="5"/>
  <c r="C18" i="5"/>
  <c r="C39" i="5" s="1"/>
  <c r="H31" i="1"/>
  <c r="C36" i="5" l="1"/>
  <c r="C41" i="5" s="1"/>
  <c r="D36" i="5"/>
  <c r="D41" i="5" s="1"/>
  <c r="E39" i="5" l="1"/>
  <c r="E36" i="5"/>
  <c r="E41" i="5" s="1"/>
  <c r="F36" i="5" l="1"/>
  <c r="F41" i="5" s="1"/>
  <c r="F39" i="5"/>
  <c r="G39" i="5" l="1"/>
  <c r="G36" i="5"/>
  <c r="G41" i="5" s="1"/>
  <c r="H36" i="5"/>
  <c r="H41" i="5" s="1"/>
  <c r="H39" i="5"/>
</calcChain>
</file>

<file path=xl/sharedStrings.xml><?xml version="1.0" encoding="utf-8"?>
<sst xmlns="http://schemas.openxmlformats.org/spreadsheetml/2006/main" count="1724" uniqueCount="568">
  <si>
    <t>NW Natural Gas Company</t>
  </si>
  <si>
    <t>UG-181053 KTW WP-3</t>
  </si>
  <si>
    <t>New Customer Costs Exceed New Revenue</t>
  </si>
  <si>
    <t>Cost of New Customer</t>
  </si>
  <si>
    <t>New Customer Revenue</t>
  </si>
  <si>
    <t>Year 1</t>
  </si>
  <si>
    <t>Schedule 2</t>
  </si>
  <si>
    <t>Monthly Charge (per settlement)</t>
  </si>
  <si>
    <t>Depreciation</t>
  </si>
  <si>
    <t>Base Rate (per settlement)</t>
  </si>
  <si>
    <t>O&amp;M</t>
  </si>
  <si>
    <t>Property Taxes</t>
  </si>
  <si>
    <t>Annual Use Per Customer</t>
  </si>
  <si>
    <t>taken from SJR-WP1-1</t>
  </si>
  <si>
    <t>Taxes on Equity Return</t>
  </si>
  <si>
    <t>Total Annual Margin</t>
  </si>
  <si>
    <t>State</t>
  </si>
  <si>
    <t>Federal</t>
  </si>
  <si>
    <t xml:space="preserve">      Total Taxes</t>
  </si>
  <si>
    <t>Total Cost</t>
  </si>
  <si>
    <t>Return on Rate Base</t>
  </si>
  <si>
    <t>Total Revenue</t>
  </si>
  <si>
    <t>Debt</t>
  </si>
  <si>
    <t>Cost Exceeding Revenue</t>
  </si>
  <si>
    <t>Short Term Debt</t>
  </si>
  <si>
    <t>Common Equity</t>
  </si>
  <si>
    <t>% of Cost Exceeding Revenue</t>
  </si>
  <si>
    <t xml:space="preserve">      Total Return</t>
  </si>
  <si>
    <t>Subtotal Cost of Service</t>
  </si>
  <si>
    <t>Revenue Sensitive Items</t>
  </si>
  <si>
    <t>Use Per Customer</t>
  </si>
  <si>
    <t>Cost Per Customer (annual)</t>
  </si>
  <si>
    <t>Total Cost of Service</t>
  </si>
  <si>
    <t>Per Customer Revenue Deficiency using PC proposal (522 usage)</t>
  </si>
  <si>
    <t>Current Temporary and Cost of Gas Rate</t>
  </si>
  <si>
    <t>Per Schedule 2 Tariff</t>
  </si>
  <si>
    <t>NW Natural</t>
  </si>
  <si>
    <t>Determination of Cost of Service</t>
  </si>
  <si>
    <t>Input Capital Costs and Rates</t>
  </si>
  <si>
    <t xml:space="preserve">Weighted </t>
  </si>
  <si>
    <t>Cost of Capital</t>
  </si>
  <si>
    <t>% of Capital</t>
  </si>
  <si>
    <t>Cost</t>
  </si>
  <si>
    <t>State Tax Rate</t>
  </si>
  <si>
    <t>Federal Tax Rate</t>
  </si>
  <si>
    <t xml:space="preserve">Revenue Sensitive Rate (held to franchise rate/reg com fee) </t>
  </si>
  <si>
    <t>Depreciation Rate</t>
  </si>
  <si>
    <t>Property Tax Rate</t>
  </si>
  <si>
    <t>Incremental O&amp;M</t>
  </si>
  <si>
    <t>Inflation Rate</t>
  </si>
  <si>
    <t>Bonus Tax Depreciation toggled  (1 = yes, 2 = no)</t>
  </si>
  <si>
    <t>Investment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</si>
  <si>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</si>
  <si>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</si>
  <si>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</si>
  <si>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</si>
  <si>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</si>
  <si>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</si>
  <si>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</si>
  <si>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</si>
  <si>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</si>
  <si>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</si>
  <si>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</si>
  <si>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</si>
  <si>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</si>
  <si>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</si>
  <si>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</si>
  <si>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</si>
  <si>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</si>
  <si>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</si>
  <si>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</si>
  <si>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</si>
  <si>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</si>
  <si>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</si>
  <si>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</si>
  <si>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</si>
  <si>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</si>
  <si>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</si>
  <si>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</si>
  <si>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</si>
  <si>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</si>
  <si>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Year 31</t>
  </si>
  <si>
    <t>Year 32</t>
  </si>
  <si>
    <t>Year 33</t>
  </si>
  <si>
    <t>Year 34</t>
  </si>
  <si>
    <t>Year 35</t>
  </si>
  <si>
    <t>Year 36</t>
  </si>
  <si>
    <t>Year 37</t>
  </si>
  <si>
    <t>Annual Cost of Service as % of Investment</t>
  </si>
  <si>
    <t>Rate Base - net of deprec. &amp; def. tax</t>
  </si>
  <si>
    <t>Income Taxes</t>
  </si>
  <si>
    <t>Gross up of Equity Return</t>
  </si>
  <si>
    <t>Less:  State tax</t>
  </si>
  <si>
    <t>Federal Taxable Income</t>
  </si>
  <si>
    <t>Less:  Federal Tax</t>
  </si>
  <si>
    <t>Return</t>
  </si>
  <si>
    <t>Deferred Taxes</t>
  </si>
  <si>
    <t>Book Depreciation</t>
  </si>
  <si>
    <t>Tax Depreciation</t>
  </si>
  <si>
    <t>Book-Tax Difference</t>
  </si>
  <si>
    <t>Tax Effect</t>
  </si>
  <si>
    <t>Property Tax Base</t>
  </si>
  <si>
    <t>Tax Calculation Check</t>
  </si>
  <si>
    <t>MACRS Depreciation - 20</t>
  </si>
  <si>
    <t>MACRS Depreciation - 20 - Bonus</t>
  </si>
  <si>
    <t>Tax Gross Up</t>
  </si>
  <si>
    <t>Usage</t>
  </si>
  <si>
    <t>Annual Revenue</t>
  </si>
  <si>
    <t>Year 1 Cost of Service</t>
  </si>
  <si>
    <t>Breakeven Year</t>
  </si>
  <si>
    <t>Forecasted New Customer Adds</t>
  </si>
  <si>
    <t>Year End 2018 Residential Customers</t>
  </si>
  <si>
    <t>Total Customer Count Forecast</t>
  </si>
  <si>
    <t>New Customer Usage (therms)</t>
  </si>
  <si>
    <t>Total Residential Usage (therms)</t>
  </si>
  <si>
    <t>Decoupling Balance</t>
  </si>
  <si>
    <t>Volumetric Impact (per therm)</t>
  </si>
  <si>
    <t>Total Customer Bill</t>
  </si>
  <si>
    <t>Monthly Decoupling Impact from Settlement Rates</t>
  </si>
  <si>
    <t>Impact as percentage of bill</t>
  </si>
  <si>
    <t>Monthly Decoupling Impact on Customer Bills</t>
  </si>
  <si>
    <t>Impact as percentage of total bill</t>
  </si>
  <si>
    <t>Northwest Natural Gas Company</t>
  </si>
  <si>
    <t>Amount</t>
  </si>
  <si>
    <t>Fiscal year/period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</si>
  <si>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</si>
  <si>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</si>
  <si>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</si>
  <si>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</si>
  <si>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</si>
  <si>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</si>
  <si>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</si>
  <si>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</si>
  <si>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</si>
  <si>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</si>
  <si>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</si>
  <si>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</si>
  <si>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Overall Result</t>
  </si>
  <si>
    <t>Activity</t>
  </si>
  <si>
    <t>Cost Center</t>
  </si>
  <si>
    <t>$</t>
  </si>
  <si>
    <t>85410</t>
  </si>
  <si>
    <t>UNCOLL ACCOUNTS</t>
  </si>
  <si>
    <t>820</t>
  </si>
  <si>
    <t>11100</t>
  </si>
  <si>
    <t>SYSTEM OPS</t>
  </si>
  <si>
    <t>13400</t>
  </si>
  <si>
    <t>CUST CONTACT CENTER</t>
  </si>
  <si>
    <t>847</t>
  </si>
  <si>
    <t>11320</t>
  </si>
  <si>
    <t>FIELD SERVICES</t>
  </si>
  <si>
    <t>856</t>
  </si>
  <si>
    <t>13600</t>
  </si>
  <si>
    <t>ACCOUNT SERVICES</t>
  </si>
  <si>
    <t>870</t>
  </si>
  <si>
    <t>13510</t>
  </si>
  <si>
    <t>CUST FIELD SERVICES</t>
  </si>
  <si>
    <t>874</t>
  </si>
  <si>
    <t>13520</t>
  </si>
  <si>
    <t>RESOURCE MGMT CTR</t>
  </si>
  <si>
    <t>875</t>
  </si>
  <si>
    <t>877</t>
  </si>
  <si>
    <t>878</t>
  </si>
  <si>
    <t>879</t>
  </si>
  <si>
    <t>880</t>
  </si>
  <si>
    <t>885</t>
  </si>
  <si>
    <t>889</t>
  </si>
  <si>
    <t>891</t>
  </si>
  <si>
    <t>892</t>
  </si>
  <si>
    <t>893</t>
  </si>
  <si>
    <t>902</t>
  </si>
  <si>
    <t>903</t>
  </si>
  <si>
    <t>912</t>
  </si>
  <si>
    <t>921</t>
  </si>
  <si>
    <t>935</t>
  </si>
  <si>
    <t>816</t>
  </si>
  <si>
    <t>11150</t>
  </si>
  <si>
    <t>GAS ACQ &amp; PIPE SVCE</t>
  </si>
  <si>
    <t>11200</t>
  </si>
  <si>
    <t>GAS STORAGE OPS</t>
  </si>
  <si>
    <t>819</t>
  </si>
  <si>
    <t>821</t>
  </si>
  <si>
    <t>832</t>
  </si>
  <si>
    <t>840</t>
  </si>
  <si>
    <t>844</t>
  </si>
  <si>
    <t>845</t>
  </si>
  <si>
    <t>11300</t>
  </si>
  <si>
    <t>GAS CONTROL</t>
  </si>
  <si>
    <t>908</t>
  </si>
  <si>
    <t>11325</t>
  </si>
  <si>
    <t>CUST SEG SRVC</t>
  </si>
  <si>
    <t>11330</t>
  </si>
  <si>
    <t>CUST ACQ MRKTG CONV</t>
  </si>
  <si>
    <t>11348</t>
  </si>
  <si>
    <t>MAJ ACCT SERV TEAM</t>
  </si>
  <si>
    <t>11370</t>
  </si>
  <si>
    <t>INTEG RESOURCE PLAN</t>
  </si>
  <si>
    <t>11400</t>
  </si>
  <si>
    <t>NEWPORT LNG</t>
  </si>
  <si>
    <t>910</t>
  </si>
  <si>
    <t>907</t>
  </si>
  <si>
    <t>11410</t>
  </si>
  <si>
    <t>RES CONSUMER SERVICE</t>
  </si>
  <si>
    <t>11420</t>
  </si>
  <si>
    <t>CUST EXPRNCE CONV</t>
  </si>
  <si>
    <t>11430</t>
  </si>
  <si>
    <t>CUST EXPRNCE NEW</t>
  </si>
  <si>
    <t>11500</t>
  </si>
  <si>
    <t>PORTLAND LNG</t>
  </si>
  <si>
    <t>11515</t>
  </si>
  <si>
    <t>CUST ACQ MRKTG NEW</t>
  </si>
  <si>
    <t>11528</t>
  </si>
  <si>
    <t>WA ENERGY EFFICIENCY</t>
  </si>
  <si>
    <t>11529</t>
  </si>
  <si>
    <t>WA LOW INCOME EE</t>
  </si>
  <si>
    <t>11540</t>
  </si>
  <si>
    <t>CONSR RELATIONS-EVT</t>
  </si>
  <si>
    <t>909</t>
  </si>
  <si>
    <t>911</t>
  </si>
  <si>
    <t>931</t>
  </si>
  <si>
    <t>11550</t>
  </si>
  <si>
    <t>CONSMR INFO-INTNT SR</t>
  </si>
  <si>
    <t>913</t>
  </si>
  <si>
    <t>11590</t>
  </si>
  <si>
    <t>OR LOW INCME WTHZN</t>
  </si>
  <si>
    <t>11595</t>
  </si>
  <si>
    <t>SMART ENERGY</t>
  </si>
  <si>
    <t>11600</t>
  </si>
  <si>
    <t>MIST UGS</t>
  </si>
  <si>
    <t>818</t>
  </si>
  <si>
    <t>834</t>
  </si>
  <si>
    <t>11700</t>
  </si>
  <si>
    <t>N MIST UGS</t>
  </si>
  <si>
    <t>894</t>
  </si>
  <si>
    <t>11800</t>
  </si>
  <si>
    <t>CNG MAINTENANCE</t>
  </si>
  <si>
    <t>12011</t>
  </si>
  <si>
    <t>METER SHOP</t>
  </si>
  <si>
    <t>12012</t>
  </si>
  <si>
    <t>GENERAL MAINT</t>
  </si>
  <si>
    <t>12013</t>
  </si>
  <si>
    <t>TRANSPORTATION</t>
  </si>
  <si>
    <t>887</t>
  </si>
  <si>
    <t>12339</t>
  </si>
  <si>
    <t>VANCOUVER CUST ACQ</t>
  </si>
  <si>
    <t>12359</t>
  </si>
  <si>
    <t>ENGINEERING SVCES WA</t>
  </si>
  <si>
    <t>930</t>
  </si>
  <si>
    <t>12997</t>
  </si>
  <si>
    <t>RESEARCH &amp; DEVELOP</t>
  </si>
  <si>
    <t>13100</t>
  </si>
  <si>
    <t>NETWORK CNTRL SYSTMS</t>
  </si>
  <si>
    <t>901</t>
  </si>
  <si>
    <t>925</t>
  </si>
  <si>
    <t>13525</t>
  </si>
  <si>
    <t>BUSINESS SYSTEMS</t>
  </si>
  <si>
    <t>14100</t>
  </si>
  <si>
    <t>TRANSMISSION</t>
  </si>
  <si>
    <t>926</t>
  </si>
  <si>
    <t>14109</t>
  </si>
  <si>
    <t>CORE DISTRIB - WA</t>
  </si>
  <si>
    <t>15100</t>
  </si>
  <si>
    <t>ENGINEERING SVCES OR</t>
  </si>
  <si>
    <t>15400</t>
  </si>
  <si>
    <t>CODE COMPLIANCE</t>
  </si>
  <si>
    <t>15410</t>
  </si>
  <si>
    <t>EE PROTECTION EQUIP</t>
  </si>
  <si>
    <t>15491</t>
  </si>
  <si>
    <t>DIR, ACQUIRE CUSTOME</t>
  </si>
  <si>
    <t>15492</t>
  </si>
  <si>
    <t>DIR, UTILITY SVCS</t>
  </si>
  <si>
    <t>15501</t>
  </si>
  <si>
    <t>DIR, UTILITY OPS</t>
  </si>
  <si>
    <t>15502</t>
  </si>
  <si>
    <t>LEGACY ENV. PROGRAM</t>
  </si>
  <si>
    <t>15505</t>
  </si>
  <si>
    <t>PIPELINE INTEGRITY</t>
  </si>
  <si>
    <t>863</t>
  </si>
  <si>
    <t>15506</t>
  </si>
  <si>
    <t>CORE DISTRIB - OR</t>
  </si>
  <si>
    <t>15507</t>
  </si>
  <si>
    <t>PERIMETER DISTRIBUT</t>
  </si>
  <si>
    <t>15508</t>
  </si>
  <si>
    <t>BUSINESS ANALYSIS</t>
  </si>
  <si>
    <t>15509</t>
  </si>
  <si>
    <t>CONTRACT SERVICES</t>
  </si>
  <si>
    <t>15510</t>
  </si>
  <si>
    <t>OPS TECHNICAL SVCES</t>
  </si>
  <si>
    <t>15520</t>
  </si>
  <si>
    <t>COMPLIANCE SERVICES</t>
  </si>
  <si>
    <t>16000</t>
  </si>
  <si>
    <t>250TAYLOR-FACILITIES</t>
  </si>
  <si>
    <t>16100</t>
  </si>
  <si>
    <t>FACILITIES MGMNT</t>
  </si>
  <si>
    <t>16105</t>
  </si>
  <si>
    <t>MTSCOTT - FACILITIES</t>
  </si>
  <si>
    <t>16110</t>
  </si>
  <si>
    <t>ASTORIA - FACILITIES</t>
  </si>
  <si>
    <t>16115</t>
  </si>
  <si>
    <t>PARKROSE- FACILITIES</t>
  </si>
  <si>
    <t>16120</t>
  </si>
  <si>
    <t>LINC CITY - FACILITI</t>
  </si>
  <si>
    <t>16130</t>
  </si>
  <si>
    <t>TUALATIN- FACILITIES</t>
  </si>
  <si>
    <t>16135</t>
  </si>
  <si>
    <t>SHERWOOD-FACILITIES</t>
  </si>
  <si>
    <t>16139</t>
  </si>
  <si>
    <t>VANCOUVER - FACILITI</t>
  </si>
  <si>
    <t>16140</t>
  </si>
  <si>
    <t>SALEM - FACILITIES</t>
  </si>
  <si>
    <t>16145</t>
  </si>
  <si>
    <t>SUNSET - FACILITIES</t>
  </si>
  <si>
    <t>16150</t>
  </si>
  <si>
    <t>ALBANY - FACILITIES</t>
  </si>
  <si>
    <t>16155</t>
  </si>
  <si>
    <t>CENTRAL - FACILITIES</t>
  </si>
  <si>
    <t>16160</t>
  </si>
  <si>
    <t>EUGENE - FACILITIES</t>
  </si>
  <si>
    <t>16165</t>
  </si>
  <si>
    <t>MIST - FACILITIES</t>
  </si>
  <si>
    <t>881</t>
  </si>
  <si>
    <t>16170</t>
  </si>
  <si>
    <t>THE DALLES - FACILIT</t>
  </si>
  <si>
    <t>16175</t>
  </si>
  <si>
    <t>NEWPORT - FACILITIES</t>
  </si>
  <si>
    <t>16180</t>
  </si>
  <si>
    <t>PDX LNG - FACILITIES</t>
  </si>
  <si>
    <t>16190</t>
  </si>
  <si>
    <t>COOS BAY - FACILITIE</t>
  </si>
  <si>
    <t>16200</t>
  </si>
  <si>
    <t>STORES</t>
  </si>
  <si>
    <t>16201</t>
  </si>
  <si>
    <t>STORES OBS INV</t>
  </si>
  <si>
    <t>16300</t>
  </si>
  <si>
    <t>PURCHASING</t>
  </si>
  <si>
    <t>16400</t>
  </si>
  <si>
    <t>OFFICE SERVICES</t>
  </si>
  <si>
    <t>31100</t>
  </si>
  <si>
    <t>EMPLOYMENT</t>
  </si>
  <si>
    <t>31200</t>
  </si>
  <si>
    <t>DRUG &amp; ALCOHOL</t>
  </si>
  <si>
    <t>31300</t>
  </si>
  <si>
    <t>EE&amp;LABOR RELATIONS</t>
  </si>
  <si>
    <t>32000</t>
  </si>
  <si>
    <t>BENEFITS</t>
  </si>
  <si>
    <t>32500</t>
  </si>
  <si>
    <t>TRIMET TICKET-TUIT R</t>
  </si>
  <si>
    <t>33000</t>
  </si>
  <si>
    <t>PAYROLL</t>
  </si>
  <si>
    <t>34000</t>
  </si>
  <si>
    <t>OD &amp; TRAINING</t>
  </si>
  <si>
    <t>34500</t>
  </si>
  <si>
    <t>CO SUPPORTED ACTIONS</t>
  </si>
  <si>
    <t>35000</t>
  </si>
  <si>
    <t>DATA &amp; PROJ MGMT</t>
  </si>
  <si>
    <t>41010</t>
  </si>
  <si>
    <t>INF SECUR COMP &amp; QA</t>
  </si>
  <si>
    <t>41020</t>
  </si>
  <si>
    <t>INFRASTRUCTURE</t>
  </si>
  <si>
    <t>41040</t>
  </si>
  <si>
    <t>ENT APPLICATIONS</t>
  </si>
  <si>
    <t>41050</t>
  </si>
  <si>
    <t>IT&amp;S LEADERSHIP TEAM</t>
  </si>
  <si>
    <t>41060</t>
  </si>
  <si>
    <t>IT CUSTOMER SERVICE</t>
  </si>
  <si>
    <t>41070</t>
  </si>
  <si>
    <t>ENT ARCHITECTURE</t>
  </si>
  <si>
    <t>42010</t>
  </si>
  <si>
    <t>ACCOUNTING</t>
  </si>
  <si>
    <t>42012</t>
  </si>
  <si>
    <t>SARBANES OXLEY</t>
  </si>
  <si>
    <t>42014</t>
  </si>
  <si>
    <t>SEC REPORTING</t>
  </si>
  <si>
    <t>42016</t>
  </si>
  <si>
    <t>GAS ACCOUNTING</t>
  </si>
  <si>
    <t>42018</t>
  </si>
  <si>
    <t>OPERATIONAL ACCTG</t>
  </si>
  <si>
    <t>42020</t>
  </si>
  <si>
    <t>TAX</t>
  </si>
  <si>
    <t>42030</t>
  </si>
  <si>
    <t>CASH MANAGEMENT</t>
  </si>
  <si>
    <t>42040</t>
  </si>
  <si>
    <t>MID OFFICE</t>
  </si>
  <si>
    <t>42050</t>
  </si>
  <si>
    <t>CAPITAL ACCOUNTING</t>
  </si>
  <si>
    <t>43010</t>
  </si>
  <si>
    <t>BUSINESS DEVELOPMENT</t>
  </si>
  <si>
    <t>44010</t>
  </si>
  <si>
    <t>FIN PLANNING &amp; BUDGE</t>
  </si>
  <si>
    <t>45010</t>
  </si>
  <si>
    <t>STRATEGIC PLANNING</t>
  </si>
  <si>
    <t>46010</t>
  </si>
  <si>
    <t>CORP SECRETARY</t>
  </si>
  <si>
    <t>46020</t>
  </si>
  <si>
    <t>SHAREHOLDER SVCS</t>
  </si>
  <si>
    <t>46030</t>
  </si>
  <si>
    <t>CORP ETHICS &amp; COMPL</t>
  </si>
  <si>
    <t>47010</t>
  </si>
  <si>
    <t>RETIREMENT BENEFITS</t>
  </si>
  <si>
    <t>48010</t>
  </si>
  <si>
    <t>INVESTOR RELATIONS</t>
  </si>
  <si>
    <t>49010</t>
  </si>
  <si>
    <t>INFORMATION MGMT</t>
  </si>
  <si>
    <t>51010</t>
  </si>
  <si>
    <t>OCCUPATIONAL SAFETY</t>
  </si>
  <si>
    <t>51020</t>
  </si>
  <si>
    <t>LAND OVERHEAD</t>
  </si>
  <si>
    <t>924</t>
  </si>
  <si>
    <t>51025</t>
  </si>
  <si>
    <t>INSURANCE</t>
  </si>
  <si>
    <t>51030</t>
  </si>
  <si>
    <t>CLAIMS ACCRUALS</t>
  </si>
  <si>
    <t>51040</t>
  </si>
  <si>
    <t>ENVIRON MGMT</t>
  </si>
  <si>
    <t>51045</t>
  </si>
  <si>
    <t>BUSINESS CONTINUITY</t>
  </si>
  <si>
    <t>51050</t>
  </si>
  <si>
    <t>CORPORATE SECURITY</t>
  </si>
  <si>
    <t>51060</t>
  </si>
  <si>
    <t>PROJECT OFFICE</t>
  </si>
  <si>
    <t>52010</t>
  </si>
  <si>
    <t>PUB POLICY &amp; GVRM AF</t>
  </si>
  <si>
    <t>52020</t>
  </si>
  <si>
    <t>COMM &amp; CIVIC AFFAIRS</t>
  </si>
  <si>
    <t>52040</t>
  </si>
  <si>
    <t>CORPORATE COMMUNICAT</t>
  </si>
  <si>
    <t>53010</t>
  </si>
  <si>
    <t>REGULATORY AFFAIRS</t>
  </si>
  <si>
    <t>54010</t>
  </si>
  <si>
    <t>LEGAL</t>
  </si>
  <si>
    <t>54020</t>
  </si>
  <si>
    <t>LEGAL FEES BIZ DEVEL</t>
  </si>
  <si>
    <t>54030</t>
  </si>
  <si>
    <t>CORP SEC LEGAL FEES</t>
  </si>
  <si>
    <t>54040</t>
  </si>
  <si>
    <t>LEGAL FEES - HR</t>
  </si>
  <si>
    <t>54050</t>
  </si>
  <si>
    <t>LEGAL FEES - RATES</t>
  </si>
  <si>
    <t>54060</t>
  </si>
  <si>
    <t>LEGAL FEES - RISK</t>
  </si>
  <si>
    <t>54070</t>
  </si>
  <si>
    <t>CORP SEC TAX</t>
  </si>
  <si>
    <t>54080</t>
  </si>
  <si>
    <t>LEGAL FEES GAS SPLY</t>
  </si>
  <si>
    <t>54090</t>
  </si>
  <si>
    <t>LEGAL FEES - HOLDCO</t>
  </si>
  <si>
    <t>54100</t>
  </si>
  <si>
    <t>LEGAL - SPECIAL PROJ</t>
  </si>
  <si>
    <t>55010</t>
  </si>
  <si>
    <t>ENV POLICY AND SUSTN</t>
  </si>
  <si>
    <t>60101</t>
  </si>
  <si>
    <t>SHARED SERVICES OFFS</t>
  </si>
  <si>
    <t>60110</t>
  </si>
  <si>
    <t>EXECUTIVES</t>
  </si>
  <si>
    <t>60113</t>
  </si>
  <si>
    <t>HR, PAYROLL</t>
  </si>
  <si>
    <t>71000</t>
  </si>
  <si>
    <t>PRESIDENT &amp; CEO</t>
  </si>
  <si>
    <t>72000</t>
  </si>
  <si>
    <t>FORMER CEO</t>
  </si>
  <si>
    <t>72500</t>
  </si>
  <si>
    <t>INTERNAL AUDITING</t>
  </si>
  <si>
    <t>72700</t>
  </si>
  <si>
    <t>VP, UTILITY OPERATIO</t>
  </si>
  <si>
    <t>73000</t>
  </si>
  <si>
    <t>SVP UTIL &amp; CHF MKTG</t>
  </si>
  <si>
    <t>73100</t>
  </si>
  <si>
    <t>VP, UTILITY SERVICES</t>
  </si>
  <si>
    <t>73600</t>
  </si>
  <si>
    <t>VP &amp; CORPORATE SECTY</t>
  </si>
  <si>
    <t>74000</t>
  </si>
  <si>
    <t>CHIEF FINANCIAL OFFI</t>
  </si>
  <si>
    <t>74500</t>
  </si>
  <si>
    <t>CONTROLLER</t>
  </si>
  <si>
    <t>74700</t>
  </si>
  <si>
    <t>ASST TO CEO &amp; STRAT</t>
  </si>
  <si>
    <t>74800</t>
  </si>
  <si>
    <t>PRES GAS STORAGE LLC</t>
  </si>
  <si>
    <t>74900</t>
  </si>
  <si>
    <t>VP, I.T. &amp; CIO</t>
  </si>
  <si>
    <t>75500</t>
  </si>
  <si>
    <t>VP, PUBLIC AFFAIRS</t>
  </si>
  <si>
    <t>76000</t>
  </si>
  <si>
    <t>SR VP &amp; GEN COUNSEL</t>
  </si>
  <si>
    <t>77000</t>
  </si>
  <si>
    <t>SR VP, CHF ADMIN OFF</t>
  </si>
  <si>
    <t>78000</t>
  </si>
  <si>
    <t>VP, BUSINESS DEVELOP</t>
  </si>
  <si>
    <t>79000</t>
  </si>
  <si>
    <t>GEN ADMIN STAFF</t>
  </si>
  <si>
    <t>79002</t>
  </si>
  <si>
    <t>OFFICERS PAYROLL</t>
  </si>
  <si>
    <t>79003</t>
  </si>
  <si>
    <t>SENIOR DIRECTORS</t>
  </si>
  <si>
    <t>83010</t>
  </si>
  <si>
    <t>INCOME STATMNT DETAI</t>
  </si>
  <si>
    <t>83030</t>
  </si>
  <si>
    <t>GENERAL CORPORATE</t>
  </si>
  <si>
    <t>84020</t>
  </si>
  <si>
    <t>COST OF GAS</t>
  </si>
  <si>
    <t>84089</t>
  </si>
  <si>
    <t>SHARED SERVICES OH</t>
  </si>
  <si>
    <t>922</t>
  </si>
  <si>
    <t>84099</t>
  </si>
  <si>
    <t>ADMIN TRANSFER</t>
  </si>
  <si>
    <t>85110</t>
  </si>
  <si>
    <t>KEY GOALS</t>
  </si>
  <si>
    <t>85120</t>
  </si>
  <si>
    <t>PERFORMANCE</t>
  </si>
  <si>
    <t>85210</t>
  </si>
  <si>
    <t>SEVERANCE</t>
  </si>
  <si>
    <t>85230</t>
  </si>
  <si>
    <t>MULTI FAMILY HOUSING</t>
  </si>
  <si>
    <t>85240</t>
  </si>
  <si>
    <t>PENSION BALANCING-OR</t>
  </si>
  <si>
    <t>85310</t>
  </si>
  <si>
    <t>CREDIT FOR PAYRL TAX</t>
  </si>
  <si>
    <t>85350</t>
  </si>
  <si>
    <t>FAS 87</t>
  </si>
  <si>
    <t>85360</t>
  </si>
  <si>
    <t>POH ADJUSTMENTS</t>
  </si>
  <si>
    <t>85370</t>
  </si>
  <si>
    <t>FAS 106 PST RET MEDC</t>
  </si>
  <si>
    <t>85380</t>
  </si>
  <si>
    <t>STOCK EXPENSE</t>
  </si>
  <si>
    <t>85390</t>
  </si>
  <si>
    <t>LTIP</t>
  </si>
  <si>
    <t>85395</t>
  </si>
  <si>
    <t>SERP AND ESRIP</t>
  </si>
  <si>
    <t>904</t>
  </si>
  <si>
    <t>85700</t>
  </si>
  <si>
    <t>BUDGET CONTINGENCY</t>
  </si>
  <si>
    <t>85710</t>
  </si>
  <si>
    <t>STRATEGIC PROJECTS</t>
  </si>
  <si>
    <t>A&amp;G accounts included in Per Customer O&amp;M Amounts</t>
  </si>
  <si>
    <t>2018 Customer Counts</t>
  </si>
  <si>
    <t>A&amp;G Dollars Per Customer</t>
  </si>
  <si>
    <t>A&amp;G Costs per Customer</t>
  </si>
  <si>
    <t>(per Settlement)</t>
  </si>
  <si>
    <t>Customer Impact</t>
  </si>
  <si>
    <t>2019 Customers</t>
  </si>
  <si>
    <t>2020 Customers</t>
  </si>
  <si>
    <t>2021 Customers</t>
  </si>
  <si>
    <t>2022 Customers</t>
  </si>
  <si>
    <t>2023 Customers</t>
  </si>
  <si>
    <t>Margin Per Customer (annual)</t>
  </si>
  <si>
    <t>Decoupled Actual Usage</t>
  </si>
  <si>
    <t>Total Costs for Serving New Customers</t>
  </si>
  <si>
    <t>Year 0</t>
  </si>
  <si>
    <t>Cost per Customer</t>
  </si>
  <si>
    <t>Year</t>
  </si>
  <si>
    <t>Number of New Customers</t>
  </si>
  <si>
    <t>Total Cost for Serving New Customers</t>
  </si>
  <si>
    <t>Total Revenue for Serving New Customers</t>
  </si>
  <si>
    <t>Revenue per Customer</t>
  </si>
  <si>
    <t>Less: Volumetric Revenue</t>
  </si>
  <si>
    <t>Annual Use per Cust</t>
  </si>
  <si>
    <t>Base Rate (Settlement)</t>
  </si>
  <si>
    <t>Total Revenue per Customer</t>
  </si>
  <si>
    <t>Revenue - Cost</t>
  </si>
  <si>
    <t>UG-181053 Exhibit KTW-10</t>
  </si>
  <si>
    <t>Rate Class Decoupling Impact</t>
  </si>
  <si>
    <t>Per Customer Decoupling Impact</t>
  </si>
  <si>
    <t>UG-181053 Exhibit KTW-5</t>
  </si>
  <si>
    <t>See Exhibit KTW-7 for investment</t>
  </si>
  <si>
    <t>UG-181053 Exhibit KTW-9</t>
  </si>
  <si>
    <t>Total Actual Usage</t>
  </si>
  <si>
    <t>UG-181053 Exhibit KTW-11r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</si>
</sst>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0_);[Red]\(&quot;$&quot;#,##0.00000\)"/>
    <numFmt numFmtId="165" formatCode="0.000%"/>
    <numFmt numFmtId="166" formatCode="#,##0.00000"/>
    <numFmt numFmtId="167" formatCode="_(&quot;$&quot;* #,##0_);_(&quot;$&quot;* \(#,##0\);_(&quot;$&quot;* &quot;-&quot;??_);_(@_)"/>
    <numFmt numFmtId="168" formatCode="#,##0.0"/>
    <numFmt numFmtId="169" formatCode="#,##0.0000"/>
    <numFmt numFmtId="170" formatCode="_(* #,##0_);_(* \(#,##0\);_(* &quot;-&quot;??_);_(@_)"/>
    <numFmt numFmtId="171" formatCode="0.0%"/>
    <numFmt numFmtId="172" formatCode="#,##0.00;&quot;(&quot;#,##0.00&quot;)&quot;;#,##0.00;@"/>
    <numFmt numFmtId="173" formatCode="#,##0.00;\-#,##0.00;#,##0.00;@"/>
    <numFmt numFmtId="174" formatCode="&quot;$&quot;#,##0.00"/>
    <numFmt numFmtId="175" formatCode="&quot;$&quot;#,##0.00000"/>
    <numFmt numFmtId="176" formatCode="_(* #,##0.0_);_(* \(#,##0.0\);_(* &quot;-&quot;??_);_(@_)"/>
    <numFmt numFmtId="177" formatCode="_(&quot;$&quot;* #,##0.00000_);_(&quot;$&quot;* \(#,##0.00000\);_(&quot;$&quot;* &quot;-&quot;??_);_(@_)"/>
    <numFmt numFmtId="178" formatCode="#,##0.0_);\(#,##0.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Tahoma"/>
      <family val="2"/>
    </font>
    <font>
      <b/>
      <sz val="10"/>
      <name val="Tahoma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C4C4"/>
        <bgColor indexed="64"/>
      </patternFill>
    </fill>
    <fill>
      <patternFill patternType="solid">
        <fgColor rgb="FFFFF843"/>
        <bgColor indexed="64"/>
      </patternFill>
    </fill>
    <fill>
      <patternFill patternType="solid">
        <fgColor rgb="FFE9EE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/>
      <bottom style="medium">
        <color rgb="FFAEAEAE"/>
      </bottom>
      <diagonal/>
    </border>
    <border>
      <left style="medium">
        <color rgb="FFAEAEAE"/>
      </left>
      <right/>
      <top/>
      <bottom/>
      <diagonal/>
    </border>
    <border>
      <left style="medium">
        <color auto="1"/>
      </left>
      <right style="medium">
        <color rgb="FFAEAEAE"/>
      </right>
      <top style="medium">
        <color auto="1"/>
      </top>
      <bottom style="medium">
        <color auto="1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3" fontId="1" fillId="0" borderId="0" applyFont="0" applyFill="0" applyBorder="0" applyAlignment="0" applyProtection="0">
      <alignment vertical="top"/>
    </xf>
    <xf numFmtId="5" fontId="1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204">
    <xf numFmtId="0" fontId="0" fillId="0" borderId="0" xfId="0"/>
    <xf numFmtId="0" fontId="2" fillId="0" borderId="0" xfId="0" applyFont="1"/>
    <xf numFmtId="8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8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3" fontId="3" fillId="0" borderId="2" xfId="2" applyFont="1" applyBorder="1" applyAlignment="1">
      <alignment horizontal="center" vertical="top"/>
    </xf>
    <xf numFmtId="0" fontId="0" fillId="0" borderId="0" xfId="0" applyFont="1" applyAlignment="1">
      <alignment vertical="top"/>
    </xf>
    <xf numFmtId="3" fontId="1" fillId="0" borderId="0" xfId="2" applyFont="1" applyProtection="1">
      <alignment vertical="top"/>
      <protection hidden="1"/>
    </xf>
    <xf numFmtId="0" fontId="0" fillId="0" borderId="2" xfId="0" applyBorder="1" applyAlignment="1">
      <alignment horizontal="center"/>
    </xf>
    <xf numFmtId="7" fontId="1" fillId="0" borderId="0" xfId="2" applyNumberFormat="1" applyFont="1">
      <alignment vertical="top"/>
    </xf>
    <xf numFmtId="7" fontId="1" fillId="0" borderId="2" xfId="2" applyNumberFormat="1" applyFont="1" applyBorder="1">
      <alignment vertical="top"/>
    </xf>
    <xf numFmtId="7" fontId="2" fillId="0" borderId="0" xfId="0" applyNumberFormat="1" applyFont="1"/>
    <xf numFmtId="8" fontId="2" fillId="0" borderId="0" xfId="0" applyNumberFormat="1" applyFont="1"/>
    <xf numFmtId="10" fontId="2" fillId="0" borderId="0" xfId="1" applyNumberFormat="1" applyFont="1"/>
    <xf numFmtId="0" fontId="2" fillId="0" borderId="1" xfId="0" applyFont="1" applyBorder="1"/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2" fillId="0" borderId="4" xfId="0" applyFont="1" applyBorder="1"/>
    <xf numFmtId="7" fontId="2" fillId="0" borderId="4" xfId="0" applyNumberFormat="1" applyFont="1" applyBorder="1"/>
    <xf numFmtId="8" fontId="0" fillId="0" borderId="0" xfId="0" applyNumberFormat="1"/>
    <xf numFmtId="8" fontId="0" fillId="0" borderId="2" xfId="0" applyNumberFormat="1" applyBorder="1" applyAlignment="1">
      <alignment horizontal="center"/>
    </xf>
    <xf numFmtId="0" fontId="2" fillId="0" borderId="6" xfId="0" applyFont="1" applyBorder="1"/>
    <xf numFmtId="1" fontId="2" fillId="0" borderId="7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0" fontId="0" fillId="0" borderId="9" xfId="0" applyBorder="1"/>
    <xf numFmtId="8" fontId="0" fillId="0" borderId="0" xfId="0" applyNumberFormat="1" applyBorder="1" applyAlignment="1">
      <alignment horizontal="center"/>
    </xf>
    <xf numFmtId="8" fontId="0" fillId="0" borderId="10" xfId="0" applyNumberFormat="1" applyBorder="1" applyAlignment="1">
      <alignment horizontal="center"/>
    </xf>
    <xf numFmtId="0" fontId="0" fillId="0" borderId="11" xfId="0" applyBorder="1"/>
    <xf numFmtId="8" fontId="0" fillId="0" borderId="12" xfId="0" applyNumberFormat="1" applyBorder="1" applyAlignment="1">
      <alignment horizontal="center"/>
    </xf>
    <xf numFmtId="0" fontId="0" fillId="0" borderId="13" xfId="0" applyBorder="1"/>
    <xf numFmtId="8" fontId="0" fillId="0" borderId="5" xfId="0" applyNumberFormat="1" applyBorder="1" applyAlignment="1">
      <alignment horizontal="center"/>
    </xf>
    <xf numFmtId="8" fontId="0" fillId="0" borderId="14" xfId="0" applyNumberFormat="1" applyBorder="1" applyAlignment="1">
      <alignment horizontal="center"/>
    </xf>
    <xf numFmtId="0" fontId="3" fillId="0" borderId="0" xfId="6" applyFont="1" applyFill="1" applyAlignment="1" applyProtection="1">
      <alignment horizontal="left"/>
    </xf>
    <xf numFmtId="3" fontId="1" fillId="0" borderId="0" xfId="2" applyFont="1">
      <alignment vertical="top"/>
    </xf>
    <xf numFmtId="0" fontId="3" fillId="0" borderId="15" xfId="0" quotePrefix="1" applyFont="1" applyBorder="1" applyAlignment="1">
      <alignment horizontal="left" vertical="top"/>
    </xf>
    <xf numFmtId="0" fontId="3" fillId="0" borderId="16" xfId="0" applyFont="1" applyBorder="1" applyAlignment="1">
      <alignment vertical="top"/>
    </xf>
    <xf numFmtId="0" fontId="0" fillId="0" borderId="16" xfId="0" applyFont="1" applyBorder="1" applyAlignment="1">
      <alignment vertical="top"/>
    </xf>
    <xf numFmtId="3" fontId="1" fillId="0" borderId="17" xfId="2" applyFont="1" applyBorder="1">
      <alignment vertical="top"/>
    </xf>
    <xf numFmtId="3" fontId="1" fillId="0" borderId="0" xfId="2" applyFont="1" applyBorder="1">
      <alignment vertical="top"/>
    </xf>
    <xf numFmtId="0" fontId="3" fillId="0" borderId="9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0" fillId="0" borderId="0" xfId="0" applyFont="1" applyBorder="1" applyAlignment="1">
      <alignment vertical="top"/>
    </xf>
    <xf numFmtId="3" fontId="1" fillId="0" borderId="10" xfId="2" applyFont="1" applyBorder="1">
      <alignment vertical="top"/>
    </xf>
    <xf numFmtId="0" fontId="3" fillId="0" borderId="0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10" xfId="0" applyBorder="1" applyAlignment="1">
      <alignment vertical="top"/>
    </xf>
    <xf numFmtId="10" fontId="0" fillId="0" borderId="0" xfId="0" applyNumberFormat="1" applyBorder="1" applyAlignment="1">
      <alignment vertical="top"/>
    </xf>
    <xf numFmtId="165" fontId="0" fillId="0" borderId="0" xfId="0" applyNumberFormat="1" applyBorder="1" applyAlignment="1">
      <alignment vertical="top"/>
    </xf>
    <xf numFmtId="165" fontId="0" fillId="0" borderId="10" xfId="0" applyNumberFormat="1" applyBorder="1" applyAlignment="1">
      <alignment vertical="top"/>
    </xf>
    <xf numFmtId="10" fontId="0" fillId="0" borderId="2" xfId="0" applyNumberFormat="1" applyBorder="1" applyAlignment="1">
      <alignment vertical="top"/>
    </xf>
    <xf numFmtId="165" fontId="0" fillId="0" borderId="12" xfId="0" applyNumberFormat="1" applyBorder="1" applyAlignment="1">
      <alignment vertical="top"/>
    </xf>
    <xf numFmtId="10" fontId="0" fillId="0" borderId="18" xfId="0" applyNumberFormat="1" applyBorder="1" applyAlignment="1">
      <alignment vertical="top"/>
    </xf>
    <xf numFmtId="165" fontId="0" fillId="0" borderId="19" xfId="0" applyNumberFormat="1" applyBorder="1" applyAlignment="1">
      <alignment vertical="top"/>
    </xf>
    <xf numFmtId="10" fontId="0" fillId="0" borderId="10" xfId="0" applyNumberFormat="1" applyBorder="1" applyAlignment="1">
      <alignment vertical="top"/>
    </xf>
    <xf numFmtId="9" fontId="1" fillId="0" borderId="0" xfId="1" applyFont="1" applyBorder="1" applyAlignment="1">
      <alignment vertical="top"/>
    </xf>
    <xf numFmtId="1" fontId="0" fillId="0" borderId="0" xfId="0" applyNumberFormat="1" applyAlignment="1">
      <alignment vertical="top"/>
    </xf>
    <xf numFmtId="166" fontId="0" fillId="0" borderId="0" xfId="4" applyNumberFormat="1" applyFont="1" applyAlignment="1">
      <alignment vertical="top"/>
    </xf>
    <xf numFmtId="3" fontId="1" fillId="0" borderId="0" xfId="4" applyNumberFormat="1" applyFont="1" applyAlignment="1">
      <alignment vertical="top"/>
    </xf>
    <xf numFmtId="3" fontId="0" fillId="0" borderId="0" xfId="4" applyNumberFormat="1" applyFont="1" applyAlignment="1">
      <alignment vertical="top"/>
    </xf>
    <xf numFmtId="4" fontId="0" fillId="0" borderId="0" xfId="4" applyNumberFormat="1" applyFont="1" applyAlignment="1">
      <alignment vertical="top"/>
    </xf>
    <xf numFmtId="44" fontId="1" fillId="0" borderId="10" xfId="5" applyFont="1" applyFill="1" applyBorder="1" applyAlignment="1">
      <alignment vertical="top"/>
    </xf>
    <xf numFmtId="43" fontId="0" fillId="0" borderId="0" xfId="4" applyFont="1" applyAlignment="1">
      <alignment vertical="top"/>
    </xf>
    <xf numFmtId="3" fontId="1" fillId="0" borderId="10" xfId="4" applyNumberFormat="1" applyFont="1" applyBorder="1" applyAlignment="1">
      <alignment vertical="top"/>
    </xf>
    <xf numFmtId="44" fontId="1" fillId="0" borderId="0" xfId="5" applyFont="1" applyAlignment="1">
      <alignment vertical="top"/>
    </xf>
    <xf numFmtId="0" fontId="3" fillId="0" borderId="13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0" fillId="0" borderId="5" xfId="0" applyBorder="1" applyAlignment="1">
      <alignment vertical="top"/>
    </xf>
    <xf numFmtId="167" fontId="1" fillId="2" borderId="14" xfId="5" applyNumberFormat="1" applyFont="1" applyFill="1" applyBorder="1" applyAlignment="1">
      <alignment vertical="top"/>
    </xf>
    <xf numFmtId="168" fontId="1" fillId="0" borderId="0" xfId="4" applyNumberFormat="1" applyFont="1" applyAlignment="1">
      <alignment horizontal="center" vertical="top"/>
    </xf>
    <xf numFmtId="9" fontId="1" fillId="0" borderId="0" xfId="1" applyFont="1" applyAlignment="1">
      <alignment vertical="top"/>
    </xf>
    <xf numFmtId="3" fontId="3" fillId="0" borderId="2" xfId="2" quotePrefix="1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37" fontId="1" fillId="0" borderId="0" xfId="2" applyNumberFormat="1" applyFont="1">
      <alignment vertical="top"/>
    </xf>
    <xf numFmtId="3" fontId="0" fillId="0" borderId="0" xfId="0" applyNumberFormat="1" applyAlignment="1">
      <alignment vertical="top"/>
    </xf>
    <xf numFmtId="37" fontId="1" fillId="0" borderId="2" xfId="2" applyNumberFormat="1" applyFont="1" applyBorder="1">
      <alignment vertical="top"/>
    </xf>
    <xf numFmtId="37" fontId="1" fillId="0" borderId="0" xfId="2" applyNumberFormat="1" applyFont="1" applyBorder="1">
      <alignment vertical="top"/>
    </xf>
    <xf numFmtId="8" fontId="0" fillId="0" borderId="0" xfId="0" applyNumberFormat="1" applyFont="1" applyAlignment="1">
      <alignment vertical="top"/>
    </xf>
    <xf numFmtId="5" fontId="1" fillId="0" borderId="18" xfId="3" applyFont="1" applyFill="1" applyBorder="1">
      <alignment vertical="top"/>
    </xf>
    <xf numFmtId="9" fontId="0" fillId="0" borderId="0" xfId="1" applyFont="1" applyAlignment="1">
      <alignment vertical="top"/>
    </xf>
    <xf numFmtId="5" fontId="1" fillId="0" borderId="0" xfId="3" applyFont="1" applyFill="1">
      <alignment vertical="top"/>
    </xf>
    <xf numFmtId="0" fontId="3" fillId="0" borderId="0" xfId="0" quotePrefix="1" applyFont="1" applyAlignment="1">
      <alignment horizontal="left" vertical="top"/>
    </xf>
    <xf numFmtId="5" fontId="1" fillId="0" borderId="0" xfId="3" applyFont="1">
      <alignment vertical="top"/>
    </xf>
    <xf numFmtId="169" fontId="1" fillId="0" borderId="0" xfId="4" applyNumberFormat="1" applyFont="1" applyAlignment="1">
      <alignment vertical="top"/>
    </xf>
    <xf numFmtId="37" fontId="0" fillId="0" borderId="0" xfId="0" applyNumberFormat="1" applyAlignment="1">
      <alignment vertical="top"/>
    </xf>
    <xf numFmtId="10" fontId="3" fillId="0" borderId="0" xfId="1" applyNumberFormat="1" applyFont="1" applyFill="1" applyAlignment="1" applyProtection="1">
      <alignment vertical="top"/>
    </xf>
    <xf numFmtId="37" fontId="1" fillId="0" borderId="0" xfId="4" applyNumberFormat="1" applyFont="1" applyAlignment="1">
      <alignment vertical="top"/>
    </xf>
    <xf numFmtId="7" fontId="0" fillId="0" borderId="0" xfId="0" applyNumberFormat="1" applyAlignment="1">
      <alignment vertical="top"/>
    </xf>
    <xf numFmtId="5" fontId="0" fillId="0" borderId="0" xfId="0" applyNumberForma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44" fontId="0" fillId="0" borderId="0" xfId="5" applyFont="1"/>
    <xf numFmtId="0" fontId="5" fillId="0" borderId="0" xfId="4" applyNumberFormat="1" applyFont="1" applyBorder="1" applyAlignment="1"/>
    <xf numFmtId="0" fontId="6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8" fillId="4" borderId="21" xfId="0" applyNumberFormat="1" applyFont="1" applyFill="1" applyBorder="1" applyAlignment="1">
      <alignment horizontal="right" vertical="center" wrapText="1"/>
    </xf>
    <xf numFmtId="49" fontId="8" fillId="4" borderId="21" xfId="0" applyNumberFormat="1" applyFont="1" applyFill="1" applyBorder="1" applyAlignment="1">
      <alignment horizontal="left" vertical="center" wrapText="1"/>
    </xf>
    <xf numFmtId="172" fontId="8" fillId="6" borderId="21" xfId="0" applyNumberFormat="1" applyFont="1" applyFill="1" applyBorder="1" applyAlignment="1">
      <alignment horizontal="right" vertical="center" wrapText="1"/>
    </xf>
    <xf numFmtId="0" fontId="8" fillId="6" borderId="21" xfId="0" applyFont="1" applyFill="1" applyBorder="1" applyAlignment="1">
      <alignment horizontal="right" vertical="center" wrapText="1"/>
    </xf>
    <xf numFmtId="172" fontId="8" fillId="5" borderId="21" xfId="0" applyNumberFormat="1" applyFont="1" applyFill="1" applyBorder="1" applyAlignment="1">
      <alignment horizontal="right" vertical="center" wrapText="1"/>
    </xf>
    <xf numFmtId="0" fontId="8" fillId="3" borderId="21" xfId="0" applyFont="1" applyFill="1" applyBorder="1" applyAlignment="1">
      <alignment horizontal="right" vertical="center" wrapText="1"/>
    </xf>
    <xf numFmtId="172" fontId="8" fillId="3" borderId="21" xfId="0" applyNumberFormat="1" applyFont="1" applyFill="1" applyBorder="1" applyAlignment="1">
      <alignment horizontal="right" vertical="center" wrapText="1"/>
    </xf>
    <xf numFmtId="173" fontId="8" fillId="5" borderId="21" xfId="0" applyNumberFormat="1" applyFont="1" applyFill="1" applyBorder="1" applyAlignment="1">
      <alignment horizontal="right" vertical="center" wrapText="1"/>
    </xf>
    <xf numFmtId="173" fontId="8" fillId="3" borderId="21" xfId="0" applyNumberFormat="1" applyFont="1" applyFill="1" applyBorder="1" applyAlignment="1">
      <alignment horizontal="right" vertical="center" wrapText="1"/>
    </xf>
    <xf numFmtId="173" fontId="8" fillId="6" borderId="21" xfId="0" applyNumberFormat="1" applyFont="1" applyFill="1" applyBorder="1" applyAlignment="1">
      <alignment horizontal="right" vertical="center" wrapText="1"/>
    </xf>
    <xf numFmtId="49" fontId="8" fillId="4" borderId="23" xfId="0" applyNumberFormat="1" applyFont="1" applyFill="1" applyBorder="1" applyAlignment="1">
      <alignment horizontal="right" vertical="center" wrapText="1"/>
    </xf>
    <xf numFmtId="0" fontId="0" fillId="7" borderId="0" xfId="0" applyFill="1"/>
    <xf numFmtId="172" fontId="0" fillId="7" borderId="0" xfId="0" applyNumberFormat="1" applyFill="1"/>
    <xf numFmtId="49" fontId="9" fillId="7" borderId="6" xfId="0" applyNumberFormat="1" applyFont="1" applyFill="1" applyBorder="1" applyAlignment="1">
      <alignment horizontal="right" vertical="center" wrapText="1"/>
    </xf>
    <xf numFmtId="44" fontId="0" fillId="7" borderId="8" xfId="5" applyFont="1" applyFill="1" applyBorder="1" applyAlignment="1">
      <alignment vertical="center"/>
    </xf>
    <xf numFmtId="170" fontId="0" fillId="7" borderId="8" xfId="4" applyNumberFormat="1" applyFont="1" applyFill="1" applyBorder="1"/>
    <xf numFmtId="44" fontId="0" fillId="7" borderId="8" xfId="5" applyFont="1" applyFill="1" applyBorder="1"/>
    <xf numFmtId="49" fontId="8" fillId="4" borderId="25" xfId="0" applyNumberFormat="1" applyFont="1" applyFill="1" applyBorder="1" applyAlignment="1">
      <alignment horizontal="left" vertical="center" wrapText="1"/>
    </xf>
    <xf numFmtId="49" fontId="8" fillId="4" borderId="25" xfId="0" applyNumberFormat="1" applyFont="1" applyFill="1" applyBorder="1" applyAlignment="1">
      <alignment horizontal="right" vertical="center" wrapText="1"/>
    </xf>
    <xf numFmtId="172" fontId="8" fillId="6" borderId="25" xfId="0" applyNumberFormat="1" applyFont="1" applyFill="1" applyBorder="1" applyAlignment="1">
      <alignment horizontal="right" vertical="center" wrapText="1"/>
    </xf>
    <xf numFmtId="0" fontId="8" fillId="3" borderId="25" xfId="0" applyFont="1" applyFill="1" applyBorder="1" applyAlignment="1">
      <alignment horizontal="right" vertical="center" wrapText="1"/>
    </xf>
    <xf numFmtId="49" fontId="8" fillId="4" borderId="26" xfId="0" applyNumberFormat="1" applyFont="1" applyFill="1" applyBorder="1" applyAlignment="1">
      <alignment horizontal="left" vertical="center" wrapText="1"/>
    </xf>
    <xf numFmtId="172" fontId="8" fillId="5" borderId="26" xfId="0" applyNumberFormat="1" applyFont="1" applyFill="1" applyBorder="1" applyAlignment="1">
      <alignment horizontal="right" vertical="center" wrapText="1"/>
    </xf>
    <xf numFmtId="49" fontId="8" fillId="4" borderId="22" xfId="0" applyNumberFormat="1" applyFont="1" applyFill="1" applyBorder="1" applyAlignment="1">
      <alignment horizontal="left" vertical="center" wrapText="1"/>
    </xf>
    <xf numFmtId="172" fontId="8" fillId="5" borderId="22" xfId="0" applyNumberFormat="1" applyFont="1" applyFill="1" applyBorder="1" applyAlignment="1">
      <alignment horizontal="right" vertical="center" wrapText="1"/>
    </xf>
    <xf numFmtId="49" fontId="8" fillId="7" borderId="24" xfId="0" applyNumberFormat="1" applyFont="1" applyFill="1" applyBorder="1" applyAlignment="1">
      <alignment horizontal="right" vertical="center" wrapText="1"/>
    </xf>
    <xf numFmtId="49" fontId="8" fillId="7" borderId="20" xfId="0" applyNumberFormat="1" applyFont="1" applyFill="1" applyBorder="1" applyAlignment="1">
      <alignment horizontal="left" vertical="center" wrapText="1"/>
    </xf>
    <xf numFmtId="49" fontId="0" fillId="7" borderId="24" xfId="0" applyNumberFormat="1" applyFill="1" applyBorder="1" applyAlignment="1">
      <alignment horizontal="right" vertical="center" wrapText="1"/>
    </xf>
    <xf numFmtId="49" fontId="8" fillId="7" borderId="24" xfId="0" applyNumberFormat="1" applyFont="1" applyFill="1" applyBorder="1" applyAlignment="1">
      <alignment horizontal="left" vertical="center" wrapText="1"/>
    </xf>
    <xf numFmtId="172" fontId="8" fillId="7" borderId="24" xfId="0" applyNumberFormat="1" applyFont="1" applyFill="1" applyBorder="1" applyAlignment="1">
      <alignment horizontal="right" vertical="center" wrapText="1"/>
    </xf>
    <xf numFmtId="37" fontId="11" fillId="0" borderId="0" xfId="4" applyNumberFormat="1" applyFont="1" applyAlignment="1">
      <alignment horizontal="center"/>
    </xf>
    <xf numFmtId="10" fontId="1" fillId="0" borderId="10" xfId="1" applyNumberFormat="1" applyFont="1" applyBorder="1" applyAlignment="1">
      <alignment vertical="top"/>
    </xf>
    <xf numFmtId="10" fontId="1" fillId="0" borderId="10" xfId="1" applyNumberFormat="1" applyFont="1" applyFill="1" applyBorder="1" applyAlignment="1">
      <alignment vertical="top"/>
    </xf>
    <xf numFmtId="7" fontId="0" fillId="0" borderId="0" xfId="0" applyNumberFormat="1"/>
    <xf numFmtId="37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10" fontId="1" fillId="0" borderId="0" xfId="0" applyNumberFormat="1" applyFont="1" applyAlignment="1">
      <alignment vertical="top"/>
    </xf>
    <xf numFmtId="10" fontId="11" fillId="0" borderId="0" xfId="1" applyNumberFormat="1" applyFont="1" applyFill="1" applyAlignment="1" applyProtection="1">
      <alignment vertical="top"/>
    </xf>
    <xf numFmtId="0" fontId="12" fillId="0" borderId="0" xfId="0" applyFont="1" applyBorder="1" applyAlignment="1">
      <alignment horizontal="center"/>
    </xf>
    <xf numFmtId="49" fontId="7" fillId="7" borderId="0" xfId="0" applyNumberFormat="1" applyFont="1" applyFill="1" applyBorder="1" applyAlignment="1">
      <alignment horizontal="left" wrapText="1"/>
    </xf>
    <xf numFmtId="8" fontId="0" fillId="0" borderId="0" xfId="0" applyNumberFormat="1" applyFill="1"/>
    <xf numFmtId="7" fontId="1" fillId="0" borderId="0" xfId="2" applyNumberFormat="1" applyFont="1" applyFill="1">
      <alignment vertical="top"/>
    </xf>
    <xf numFmtId="7" fontId="1" fillId="0" borderId="0" xfId="2" applyNumberFormat="1" applyFont="1" applyFill="1" applyBorder="1">
      <alignment vertical="top"/>
    </xf>
    <xf numFmtId="7" fontId="1" fillId="0" borderId="2" xfId="2" applyNumberFormat="1" applyFont="1" applyFill="1" applyBorder="1">
      <alignment vertical="top"/>
    </xf>
    <xf numFmtId="8" fontId="2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170" fontId="0" fillId="0" borderId="0" xfId="4" applyNumberFormat="1" applyFont="1" applyAlignment="1">
      <alignment horizontal="center"/>
    </xf>
    <xf numFmtId="174" fontId="0" fillId="0" borderId="0" xfId="0" applyNumberFormat="1" applyFont="1" applyAlignment="1">
      <alignment horizontal="center"/>
    </xf>
    <xf numFmtId="170" fontId="0" fillId="0" borderId="4" xfId="4" applyNumberFormat="1" applyFont="1" applyBorder="1" applyAlignment="1">
      <alignment horizontal="center"/>
    </xf>
    <xf numFmtId="0" fontId="0" fillId="0" borderId="3" xfId="0" applyBorder="1"/>
    <xf numFmtId="170" fontId="0" fillId="0" borderId="3" xfId="4" applyNumberFormat="1" applyFont="1" applyBorder="1" applyAlignment="1">
      <alignment horizontal="center"/>
    </xf>
    <xf numFmtId="170" fontId="0" fillId="0" borderId="0" xfId="0" applyNumberFormat="1" applyFont="1" applyAlignment="1">
      <alignment horizontal="center"/>
    </xf>
    <xf numFmtId="170" fontId="0" fillId="0" borderId="4" xfId="0" applyNumberFormat="1" applyFont="1" applyBorder="1" applyAlignment="1">
      <alignment horizontal="center"/>
    </xf>
    <xf numFmtId="170" fontId="0" fillId="0" borderId="3" xfId="0" applyNumberFormat="1" applyFont="1" applyBorder="1" applyAlignment="1">
      <alignment horizontal="center"/>
    </xf>
    <xf numFmtId="0" fontId="2" fillId="0" borderId="0" xfId="0" applyFont="1" applyFill="1"/>
    <xf numFmtId="0" fontId="0" fillId="0" borderId="0" xfId="0" applyFill="1" applyAlignment="1">
      <alignment horizontal="center"/>
    </xf>
    <xf numFmtId="44" fontId="0" fillId="0" borderId="0" xfId="5" applyNumberFormat="1" applyFont="1" applyFill="1"/>
    <xf numFmtId="167" fontId="0" fillId="0" borderId="0" xfId="5" applyNumberFormat="1" applyFont="1" applyFill="1"/>
    <xf numFmtId="3" fontId="0" fillId="0" borderId="0" xfId="4" applyNumberFormat="1" applyFont="1" applyFill="1" applyAlignment="1">
      <alignment horizontal="center"/>
    </xf>
    <xf numFmtId="0" fontId="0" fillId="0" borderId="18" xfId="0" applyFill="1" applyBorder="1"/>
    <xf numFmtId="167" fontId="0" fillId="0" borderId="18" xfId="0" applyNumberFormat="1" applyFill="1" applyBorder="1"/>
    <xf numFmtId="167" fontId="0" fillId="0" borderId="0" xfId="0" applyNumberFormat="1" applyFill="1"/>
    <xf numFmtId="177" fontId="0" fillId="0" borderId="0" xfId="5" applyNumberFormat="1" applyFont="1" applyFill="1"/>
    <xf numFmtId="0" fontId="0" fillId="0" borderId="2" xfId="0" applyFill="1" applyBorder="1"/>
    <xf numFmtId="167" fontId="0" fillId="0" borderId="2" xfId="0" applyNumberFormat="1" applyFill="1" applyBorder="1"/>
    <xf numFmtId="0" fontId="0" fillId="0" borderId="1" xfId="0" applyFill="1" applyBorder="1"/>
    <xf numFmtId="167" fontId="0" fillId="0" borderId="1" xfId="0" applyNumberFormat="1" applyFill="1" applyBorder="1"/>
    <xf numFmtId="0" fontId="0" fillId="0" borderId="27" xfId="0" applyFill="1" applyBorder="1"/>
    <xf numFmtId="0" fontId="0" fillId="0" borderId="3" xfId="0" applyFill="1" applyBorder="1"/>
    <xf numFmtId="167" fontId="0" fillId="0" borderId="28" xfId="0" applyNumberFormat="1" applyFill="1" applyBorder="1"/>
    <xf numFmtId="8" fontId="0" fillId="0" borderId="0" xfId="5" applyNumberFormat="1" applyFont="1" applyFill="1"/>
    <xf numFmtId="176" fontId="0" fillId="0" borderId="0" xfId="4" applyNumberFormat="1" applyFont="1" applyFill="1"/>
    <xf numFmtId="0" fontId="11" fillId="0" borderId="0" xfId="0" applyFont="1" applyFill="1" applyAlignment="1">
      <alignment vertical="top"/>
    </xf>
    <xf numFmtId="0" fontId="10" fillId="0" borderId="0" xfId="0" applyFont="1" applyFill="1" applyAlignment="1">
      <alignment vertical="top"/>
    </xf>
    <xf numFmtId="178" fontId="1" fillId="0" borderId="0" xfId="2" applyNumberFormat="1" applyFont="1">
      <alignment vertical="top"/>
    </xf>
    <xf numFmtId="0" fontId="0" fillId="0" borderId="0" xfId="0" applyFont="1" applyBorder="1" applyAlignment="1">
      <alignment horizontal="center"/>
    </xf>
    <xf numFmtId="174" fontId="0" fillId="0" borderId="0" xfId="0" applyNumberFormat="1" applyFont="1" applyBorder="1" applyAlignment="1">
      <alignment horizontal="center"/>
    </xf>
    <xf numFmtId="44" fontId="0" fillId="0" borderId="0" xfId="0" applyNumberFormat="1" applyFont="1" applyBorder="1" applyAlignment="1">
      <alignment horizontal="center"/>
    </xf>
    <xf numFmtId="170" fontId="0" fillId="8" borderId="0" xfId="4" applyNumberFormat="1" applyFont="1" applyFill="1" applyAlignment="1">
      <alignment horizontal="center"/>
    </xf>
    <xf numFmtId="170" fontId="0" fillId="8" borderId="4" xfId="4" applyNumberFormat="1" applyFont="1" applyFill="1" applyBorder="1" applyAlignment="1">
      <alignment horizontal="center"/>
    </xf>
    <xf numFmtId="170" fontId="0" fillId="8" borderId="3" xfId="4" applyNumberFormat="1" applyFont="1" applyFill="1" applyBorder="1" applyAlignment="1">
      <alignment horizontal="center"/>
    </xf>
    <xf numFmtId="170" fontId="0" fillId="8" borderId="4" xfId="0" applyNumberFormat="1" applyFont="1" applyFill="1" applyBorder="1" applyAlignment="1">
      <alignment horizontal="center"/>
    </xf>
    <xf numFmtId="6" fontId="0" fillId="8" borderId="0" xfId="0" applyNumberFormat="1" applyFont="1" applyFill="1" applyAlignment="1">
      <alignment horizontal="center"/>
    </xf>
    <xf numFmtId="175" fontId="0" fillId="8" borderId="0" xfId="5" applyNumberFormat="1" applyFont="1" applyFill="1" applyAlignment="1">
      <alignment horizontal="center"/>
    </xf>
    <xf numFmtId="174" fontId="0" fillId="8" borderId="0" xfId="5" applyNumberFormat="1" applyFont="1" applyFill="1" applyAlignment="1">
      <alignment horizontal="center"/>
    </xf>
    <xf numFmtId="174" fontId="0" fillId="8" borderId="0" xfId="0" applyNumberFormat="1" applyFont="1" applyFill="1" applyAlignment="1">
      <alignment horizontal="center"/>
    </xf>
    <xf numFmtId="171" fontId="0" fillId="8" borderId="0" xfId="1" applyNumberFormat="1" applyFont="1" applyFill="1" applyAlignment="1">
      <alignment horizontal="center"/>
    </xf>
    <xf numFmtId="0" fontId="0" fillId="0" borderId="4" xfId="0" applyFill="1" applyBorder="1"/>
    <xf numFmtId="0" fontId="0" fillId="0" borderId="0" xfId="0" applyBorder="1"/>
    <xf numFmtId="0" fontId="0" fillId="0" borderId="0" xfId="0" applyBorder="1" applyAlignment="1">
      <alignment horizontal="left"/>
    </xf>
    <xf numFmtId="171" fontId="0" fillId="0" borderId="0" xfId="1" applyNumberFormat="1" applyFont="1" applyBorder="1" applyAlignment="1">
      <alignment horizontal="center"/>
    </xf>
    <xf numFmtId="44" fontId="0" fillId="0" borderId="0" xfId="0" applyNumberFormat="1" applyFont="1" applyFill="1" applyAlignment="1">
      <alignment horizontal="center"/>
    </xf>
    <xf numFmtId="0" fontId="0" fillId="0" borderId="0" xfId="0" applyFill="1" applyBorder="1"/>
    <xf numFmtId="0" fontId="12" fillId="0" borderId="5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3" xfId="0" applyFont="1" applyBorder="1" applyAlignment="1">
      <alignment horizontal="center"/>
    </xf>
    <xf numFmtId="49" fontId="0" fillId="7" borderId="20" xfId="0" applyNumberFormat="1" applyFill="1" applyBorder="1" applyAlignment="1">
      <alignment horizontal="left" vertical="center" wrapText="1"/>
    </xf>
    <xf numFmtId="49" fontId="7" fillId="7" borderId="0" xfId="0" applyNumberFormat="1" applyFont="1" applyFill="1" applyAlignment="1">
      <alignment horizontal="left" wrapText="1"/>
    </xf>
    <xf numFmtId="49" fontId="7" fillId="7" borderId="0" xfId="0" applyNumberFormat="1" applyFont="1" applyFill="1" applyBorder="1" applyAlignment="1">
      <alignment horizontal="left" wrapText="1"/>
    </xf>
    <xf numFmtId="0" fontId="3" fillId="0" borderId="0" xfId="0" applyFont="1" applyAlignment="1">
      <alignment horizontal="center" vertical="top"/>
    </xf>
  </cellXfs>
  <cellStyles count="7">
    <cellStyle name="Comma" xfId="4" builtinId="3"/>
    <cellStyle name="Comma0" xfId="2"/>
    <cellStyle name="Currency" xfId="5" builtinId="4"/>
    <cellStyle name="Currency0" xfId="3"/>
    <cellStyle name="Normal" xfId="0" builtinId="0"/>
    <cellStyle name="Normal_Lane" xfId="6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workbookViewId="0">
      <selection activeCell="I9" sqref="I9"/>
    </sheetView>
  </sheetViews>
  <sheetFormatPr defaultColWidth="9.109375" defaultRowHeight="14.4" x14ac:dyDescent="0.3"/>
  <cols>
    <col min="1" max="1" width="19" style="147" customWidth="1"/>
    <col min="2" max="2" width="25.6640625" style="147" customWidth="1"/>
    <col min="3" max="3" width="12.5546875" style="147" customWidth="1"/>
    <col min="4" max="4" width="11.5546875" style="147" bestFit="1" customWidth="1"/>
    <col min="5" max="9" width="13.44140625" style="147" customWidth="1"/>
    <col min="10" max="16384" width="9.109375" style="147"/>
  </cols>
  <sheetData>
    <row r="1" spans="1:9" x14ac:dyDescent="0.3">
      <c r="A1" s="158" t="s">
        <v>122</v>
      </c>
    </row>
    <row r="2" spans="1:9" x14ac:dyDescent="0.3">
      <c r="A2" s="158" t="s">
        <v>563</v>
      </c>
    </row>
    <row r="3" spans="1:9" x14ac:dyDescent="0.3">
      <c r="A3" s="158" t="s">
        <v>562</v>
      </c>
    </row>
    <row r="6" spans="1:9" x14ac:dyDescent="0.3">
      <c r="A6" s="158" t="s">
        <v>547</v>
      </c>
      <c r="C6" s="159" t="s">
        <v>548</v>
      </c>
      <c r="D6" s="159" t="s">
        <v>5</v>
      </c>
      <c r="E6" s="159" t="s">
        <v>52</v>
      </c>
      <c r="F6" s="159" t="s">
        <v>53</v>
      </c>
      <c r="G6" s="159" t="s">
        <v>54</v>
      </c>
      <c r="H6" s="159" t="s">
        <v>55</v>
      </c>
      <c r="I6" s="159" t="s">
        <v>56</v>
      </c>
    </row>
    <row r="7" spans="1:9" x14ac:dyDescent="0.3">
      <c r="A7" s="147" t="s">
        <v>549</v>
      </c>
      <c r="C7" s="160">
        <v>507.82338430318896</v>
      </c>
      <c r="D7" s="160">
        <v>497.97413396764392</v>
      </c>
      <c r="E7" s="160">
        <v>487.21748983996633</v>
      </c>
      <c r="F7" s="160">
        <v>476.83249611047961</v>
      </c>
      <c r="G7" s="160">
        <v>466.79493611182102</v>
      </c>
      <c r="H7" s="160">
        <v>457.08254795237195</v>
      </c>
      <c r="I7" s="161"/>
    </row>
    <row r="8" spans="1:9" x14ac:dyDescent="0.3">
      <c r="A8" s="159" t="s">
        <v>550</v>
      </c>
      <c r="B8" s="159" t="s">
        <v>551</v>
      </c>
    </row>
    <row r="9" spans="1:9" x14ac:dyDescent="0.3">
      <c r="A9" s="159">
        <v>2019</v>
      </c>
      <c r="B9" s="162">
        <v>2969</v>
      </c>
      <c r="C9" s="161">
        <f>($B9*C7/2)</f>
        <v>753863.81399808405</v>
      </c>
      <c r="D9" s="161">
        <f>($B9*C7/2)+(D7*$B9/2)</f>
        <v>1493106.4158730516</v>
      </c>
      <c r="E9" s="161">
        <f t="shared" ref="E9:H9" si="0">($B9*D7/2)+(E7*$B9/2)</f>
        <v>1462516.9655423975</v>
      </c>
      <c r="F9" s="161">
        <f t="shared" si="0"/>
        <v>1431132.2041434371</v>
      </c>
      <c r="G9" s="161">
        <f t="shared" si="0"/>
        <v>1400814.9231340052</v>
      </c>
      <c r="H9" s="161">
        <f t="shared" si="0"/>
        <v>1371496.1250932943</v>
      </c>
      <c r="I9" s="161">
        <f>($B9*H7/2)</f>
        <v>678539.04243529611</v>
      </c>
    </row>
    <row r="10" spans="1:9" x14ac:dyDescent="0.3">
      <c r="A10" s="159">
        <v>2020</v>
      </c>
      <c r="B10" s="162">
        <v>3219</v>
      </c>
      <c r="C10" s="161"/>
      <c r="D10" s="161">
        <f>($B10*C7/2)</f>
        <v>817341.73703598266</v>
      </c>
      <c r="E10" s="161">
        <f>($B10*C7/2)+($B10*D$7/2)</f>
        <v>1618831.1056569056</v>
      </c>
      <c r="F10" s="161">
        <f t="shared" ref="F10:H10" si="1">($B10*D7/2)+($B10*E$7/2)</f>
        <v>1585665.9185183486</v>
      </c>
      <c r="G10" s="161">
        <f t="shared" si="1"/>
        <v>1551638.4523872426</v>
      </c>
      <c r="H10" s="161">
        <f t="shared" si="1"/>
        <v>1518768.3521617928</v>
      </c>
      <c r="I10" s="161">
        <f>($B10*G7/2)</f>
        <v>751306.44967197592</v>
      </c>
    </row>
    <row r="11" spans="1:9" x14ac:dyDescent="0.3">
      <c r="A11" s="159">
        <v>2021</v>
      </c>
      <c r="B11" s="162">
        <v>3524</v>
      </c>
      <c r="C11" s="161"/>
      <c r="D11" s="161"/>
      <c r="E11" s="161">
        <f>($B11*C7/2)</f>
        <v>894784.80314221897</v>
      </c>
      <c r="F11" s="161">
        <f>($B11*C7/2)+($B11*D$7/2)</f>
        <v>1772215.2271932075</v>
      </c>
      <c r="G11" s="161">
        <f t="shared" ref="G11:H11" si="2">($B11*D7/2)+($B11*E$7/2)</f>
        <v>1735907.6411490093</v>
      </c>
      <c r="H11" s="161">
        <f t="shared" si="2"/>
        <v>1698656.0752446856</v>
      </c>
      <c r="I11" s="161">
        <f>($B11*F7/2)</f>
        <v>840178.85814666504</v>
      </c>
    </row>
    <row r="12" spans="1:9" x14ac:dyDescent="0.3">
      <c r="A12" s="159">
        <v>2022</v>
      </c>
      <c r="B12" s="162">
        <v>3604</v>
      </c>
      <c r="C12" s="161"/>
      <c r="D12" s="161"/>
      <c r="E12" s="161"/>
      <c r="F12" s="161">
        <f>($B12*C7/2)</f>
        <v>915097.73851434654</v>
      </c>
      <c r="G12" s="161">
        <f>($B12*C7/2)+($B12*D$7/2)</f>
        <v>1812447.1279240409</v>
      </c>
      <c r="H12" s="161">
        <f>($B12*D7/2)+($B12*E$7/2)</f>
        <v>1775315.3061013138</v>
      </c>
      <c r="I12" s="161">
        <f>($B12*E7/2)</f>
        <v>877965.91669161932</v>
      </c>
    </row>
    <row r="13" spans="1:9" x14ac:dyDescent="0.3">
      <c r="A13" s="159">
        <v>2023</v>
      </c>
      <c r="B13" s="162">
        <v>3707</v>
      </c>
      <c r="C13" s="161"/>
      <c r="D13" s="161"/>
      <c r="E13" s="161"/>
      <c r="F13" s="161"/>
      <c r="G13" s="161">
        <f>($B13*C7/2)</f>
        <v>941250.64280596073</v>
      </c>
      <c r="H13" s="161">
        <f>($B13*C7/2)+($B13*D$7/2)</f>
        <v>1864245.7001149887</v>
      </c>
      <c r="I13" s="161">
        <f>($B13*D7/2)</f>
        <v>922995.05730902799</v>
      </c>
    </row>
    <row r="14" spans="1:9" x14ac:dyDescent="0.3">
      <c r="A14" s="159">
        <v>2024</v>
      </c>
      <c r="B14" s="162">
        <v>3801</v>
      </c>
      <c r="C14" s="161"/>
      <c r="D14" s="161"/>
      <c r="E14" s="161"/>
      <c r="F14" s="161"/>
      <c r="G14" s="161"/>
      <c r="H14" s="161">
        <f>($B14*C7/2)</f>
        <v>965118.34186821058</v>
      </c>
      <c r="I14" s="161">
        <f>($B14*C7/2)</f>
        <v>965118.34186821058</v>
      </c>
    </row>
    <row r="16" spans="1:9" ht="15" thickBot="1" x14ac:dyDescent="0.35">
      <c r="A16" s="163" t="s">
        <v>552</v>
      </c>
      <c r="B16" s="163"/>
      <c r="C16" s="164">
        <f>SUM(C9:I14)</f>
        <v>34416318.283725321</v>
      </c>
    </row>
    <row r="17" spans="1:9" ht="15" thickTop="1" x14ac:dyDescent="0.3">
      <c r="C17" s="165"/>
    </row>
    <row r="19" spans="1:9" x14ac:dyDescent="0.3">
      <c r="A19" s="158" t="s">
        <v>553</v>
      </c>
      <c r="C19" s="165"/>
    </row>
    <row r="20" spans="1:9" x14ac:dyDescent="0.3">
      <c r="A20" s="147" t="s">
        <v>554</v>
      </c>
      <c r="B20" s="174">
        <f>'Cost Exceeding Revenue'!H13</f>
        <v>411.61298999999997</v>
      </c>
      <c r="C20" s="161"/>
    </row>
    <row r="21" spans="1:9" x14ac:dyDescent="0.3">
      <c r="A21" s="159" t="s">
        <v>550</v>
      </c>
      <c r="B21" s="159" t="s">
        <v>551</v>
      </c>
      <c r="C21" s="159" t="s">
        <v>548</v>
      </c>
      <c r="D21" s="159" t="s">
        <v>5</v>
      </c>
      <c r="E21" s="159" t="s">
        <v>52</v>
      </c>
      <c r="F21" s="159" t="s">
        <v>53</v>
      </c>
      <c r="G21" s="159" t="s">
        <v>54</v>
      </c>
      <c r="H21" s="159" t="s">
        <v>55</v>
      </c>
      <c r="I21" s="159" t="s">
        <v>56</v>
      </c>
    </row>
    <row r="22" spans="1:9" x14ac:dyDescent="0.3">
      <c r="A22" s="159">
        <f t="shared" ref="A22:B27" si="3">A9</f>
        <v>2019</v>
      </c>
      <c r="B22" s="162">
        <f t="shared" si="3"/>
        <v>2969</v>
      </c>
      <c r="C22" s="161">
        <f>$B22*$B$20/2</f>
        <v>611039.48365499999</v>
      </c>
      <c r="D22" s="161">
        <f>$B22*$B$20</f>
        <v>1222078.96731</v>
      </c>
      <c r="E22" s="161">
        <f>$B22*$B$20</f>
        <v>1222078.96731</v>
      </c>
      <c r="F22" s="161">
        <f>$B22*$B$20</f>
        <v>1222078.96731</v>
      </c>
      <c r="G22" s="161">
        <f>$B22*$B$20</f>
        <v>1222078.96731</v>
      </c>
      <c r="H22" s="161">
        <f>$B22*$B$20</f>
        <v>1222078.96731</v>
      </c>
      <c r="I22" s="161">
        <f>$B22*$B$20/2</f>
        <v>611039.48365499999</v>
      </c>
    </row>
    <row r="23" spans="1:9" x14ac:dyDescent="0.3">
      <c r="A23" s="159">
        <f t="shared" si="3"/>
        <v>2020</v>
      </c>
      <c r="B23" s="162">
        <f t="shared" si="3"/>
        <v>3219</v>
      </c>
      <c r="C23" s="161"/>
      <c r="D23" s="161">
        <f>$B23*$B$20/2</f>
        <v>662491.1074049999</v>
      </c>
      <c r="E23" s="161">
        <f>$B23*$B$20</f>
        <v>1324982.2148099998</v>
      </c>
      <c r="F23" s="161">
        <f>$B23*$B$20</f>
        <v>1324982.2148099998</v>
      </c>
      <c r="G23" s="161">
        <f>$B23*$B$20</f>
        <v>1324982.2148099998</v>
      </c>
      <c r="H23" s="161">
        <f>$B23*$B$20</f>
        <v>1324982.2148099998</v>
      </c>
      <c r="I23" s="161">
        <f t="shared" ref="I23:I27" si="4">$B23*$B$20/2</f>
        <v>662491.1074049999</v>
      </c>
    </row>
    <row r="24" spans="1:9" x14ac:dyDescent="0.3">
      <c r="A24" s="159">
        <f t="shared" si="3"/>
        <v>2021</v>
      </c>
      <c r="B24" s="162">
        <f t="shared" si="3"/>
        <v>3524</v>
      </c>
      <c r="C24" s="161"/>
      <c r="D24" s="161"/>
      <c r="E24" s="161">
        <f>$B24*$B$20/2</f>
        <v>725262.08837999997</v>
      </c>
      <c r="F24" s="161">
        <f>$B24*$B$20</f>
        <v>1450524.1767599999</v>
      </c>
      <c r="G24" s="161">
        <f>$B24*$B$20</f>
        <v>1450524.1767599999</v>
      </c>
      <c r="H24" s="161">
        <f>$B24*$B$20</f>
        <v>1450524.1767599999</v>
      </c>
      <c r="I24" s="161">
        <f t="shared" si="4"/>
        <v>725262.08837999997</v>
      </c>
    </row>
    <row r="25" spans="1:9" x14ac:dyDescent="0.3">
      <c r="A25" s="159">
        <f t="shared" si="3"/>
        <v>2022</v>
      </c>
      <c r="B25" s="162">
        <f t="shared" si="3"/>
        <v>3604</v>
      </c>
      <c r="C25" s="161"/>
      <c r="D25" s="161"/>
      <c r="E25" s="161"/>
      <c r="F25" s="161">
        <f>$B25*$B$20/2</f>
        <v>741726.60797999997</v>
      </c>
      <c r="G25" s="161">
        <f>$B25*$B$20</f>
        <v>1483453.2159599999</v>
      </c>
      <c r="H25" s="161">
        <f>$B25*$B$20</f>
        <v>1483453.2159599999</v>
      </c>
      <c r="I25" s="161">
        <f>$B25*$B$20/2</f>
        <v>741726.60797999997</v>
      </c>
    </row>
    <row r="26" spans="1:9" x14ac:dyDescent="0.3">
      <c r="A26" s="159">
        <f t="shared" si="3"/>
        <v>2023</v>
      </c>
      <c r="B26" s="162">
        <f t="shared" si="3"/>
        <v>3707</v>
      </c>
      <c r="C26" s="161"/>
      <c r="D26" s="161"/>
      <c r="E26" s="161"/>
      <c r="F26" s="161"/>
      <c r="G26" s="161">
        <f>$B26*$B$20/2</f>
        <v>762924.67696499999</v>
      </c>
      <c r="H26" s="161">
        <f>$B26*$B$20</f>
        <v>1525849.35393</v>
      </c>
      <c r="I26" s="161">
        <f t="shared" si="4"/>
        <v>762924.67696499999</v>
      </c>
    </row>
    <row r="27" spans="1:9" x14ac:dyDescent="0.3">
      <c r="A27" s="159">
        <f t="shared" si="3"/>
        <v>2024</v>
      </c>
      <c r="B27" s="162">
        <f t="shared" si="3"/>
        <v>3801</v>
      </c>
      <c r="C27" s="161"/>
      <c r="D27" s="161"/>
      <c r="E27" s="161"/>
      <c r="F27" s="161"/>
      <c r="G27" s="161"/>
      <c r="H27" s="161">
        <f>$B27*$B$20/2</f>
        <v>782270.48749499989</v>
      </c>
      <c r="I27" s="161">
        <f t="shared" si="4"/>
        <v>782270.48749499989</v>
      </c>
    </row>
    <row r="30" spans="1:9" ht="15" thickBot="1" x14ac:dyDescent="0.35">
      <c r="A30" s="163" t="s">
        <v>553</v>
      </c>
      <c r="B30" s="163"/>
      <c r="C30" s="164">
        <f>SUM(C22:I27)</f>
        <v>28826080.915679999</v>
      </c>
    </row>
    <row r="31" spans="1:9" ht="15" thickTop="1" x14ac:dyDescent="0.3"/>
    <row r="32" spans="1:9" x14ac:dyDescent="0.3">
      <c r="A32" s="171" t="s">
        <v>559</v>
      </c>
      <c r="B32" s="172"/>
      <c r="C32" s="173">
        <f>C30-C16</f>
        <v>-5590237.3680453226</v>
      </c>
    </row>
  </sheetData>
  <pageMargins left="0.7" right="0.7" top="0.75" bottom="0.75" header="0.3" footer="0.3"/>
  <pageSetup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showGridLines="0" workbookViewId="0">
      <selection activeCell="C46" sqref="C46"/>
    </sheetView>
  </sheetViews>
  <sheetFormatPr defaultColWidth="9.109375" defaultRowHeight="14.4" x14ac:dyDescent="0.3"/>
  <cols>
    <col min="1" max="1" width="19" style="147" customWidth="1"/>
    <col min="2" max="2" width="25.6640625" style="147" customWidth="1"/>
    <col min="3" max="3" width="13.44140625" style="147" bestFit="1" customWidth="1"/>
    <col min="4" max="4" width="11.5546875" style="147" bestFit="1" customWidth="1"/>
    <col min="5" max="9" width="13.44140625" style="147" customWidth="1"/>
    <col min="10" max="16384" width="9.109375" style="147"/>
  </cols>
  <sheetData>
    <row r="1" spans="1:9" x14ac:dyDescent="0.3">
      <c r="A1" s="158" t="s">
        <v>122</v>
      </c>
    </row>
    <row r="2" spans="1:9" x14ac:dyDescent="0.3">
      <c r="A2" s="158" t="s">
        <v>560</v>
      </c>
    </row>
    <row r="3" spans="1:9" x14ac:dyDescent="0.3">
      <c r="A3" s="158" t="s">
        <v>561</v>
      </c>
    </row>
    <row r="6" spans="1:9" x14ac:dyDescent="0.3">
      <c r="A6" s="158" t="s">
        <v>547</v>
      </c>
      <c r="C6" s="159" t="s">
        <v>548</v>
      </c>
      <c r="D6" s="159" t="s">
        <v>5</v>
      </c>
      <c r="E6" s="159" t="s">
        <v>52</v>
      </c>
      <c r="F6" s="159" t="s">
        <v>53</v>
      </c>
      <c r="G6" s="159" t="s">
        <v>54</v>
      </c>
      <c r="H6" s="159" t="s">
        <v>55</v>
      </c>
      <c r="I6" s="159" t="s">
        <v>56</v>
      </c>
    </row>
    <row r="7" spans="1:9" x14ac:dyDescent="0.3">
      <c r="A7" s="147" t="s">
        <v>549</v>
      </c>
      <c r="C7" s="160">
        <v>507.82338430318896</v>
      </c>
      <c r="D7" s="160">
        <v>497.97413396764392</v>
      </c>
      <c r="E7" s="160">
        <v>487.21748983996633</v>
      </c>
      <c r="F7" s="160">
        <v>476.83249611047961</v>
      </c>
      <c r="G7" s="160">
        <v>466.79493611182102</v>
      </c>
      <c r="H7" s="160">
        <v>457.08254795237195</v>
      </c>
      <c r="I7" s="161"/>
    </row>
    <row r="8" spans="1:9" x14ac:dyDescent="0.3">
      <c r="A8" s="159" t="s">
        <v>550</v>
      </c>
      <c r="B8" s="159" t="s">
        <v>551</v>
      </c>
    </row>
    <row r="9" spans="1:9" x14ac:dyDescent="0.3">
      <c r="A9" s="159">
        <v>2019</v>
      </c>
      <c r="B9" s="162">
        <v>2969</v>
      </c>
      <c r="C9" s="161">
        <f>($B9*C7/2)</f>
        <v>753863.81399808405</v>
      </c>
      <c r="D9" s="161">
        <f>($B9*C7/2)+(D7*$B9/2)</f>
        <v>1493106.4158730516</v>
      </c>
      <c r="E9" s="161">
        <f t="shared" ref="E9:H9" si="0">($B9*D7/2)+(E7*$B9/2)</f>
        <v>1462516.9655423975</v>
      </c>
      <c r="F9" s="161">
        <f t="shared" si="0"/>
        <v>1431132.2041434371</v>
      </c>
      <c r="G9" s="161">
        <f t="shared" si="0"/>
        <v>1400814.9231340052</v>
      </c>
      <c r="H9" s="161">
        <f t="shared" si="0"/>
        <v>1371496.1250932943</v>
      </c>
      <c r="I9" s="161">
        <f>($B9*H7/2)</f>
        <v>678539.04243529611</v>
      </c>
    </row>
    <row r="10" spans="1:9" x14ac:dyDescent="0.3">
      <c r="A10" s="159">
        <v>2020</v>
      </c>
      <c r="B10" s="162">
        <v>3219</v>
      </c>
      <c r="C10" s="161"/>
      <c r="D10" s="161">
        <f>($B10*C7/2)</f>
        <v>817341.73703598266</v>
      </c>
      <c r="E10" s="161">
        <f>($B10*C7/2)+($B10*D$7/2)</f>
        <v>1618831.1056569056</v>
      </c>
      <c r="F10" s="161">
        <f t="shared" ref="F10:H10" si="1">($B10*D7/2)+($B10*E$7/2)</f>
        <v>1585665.9185183486</v>
      </c>
      <c r="G10" s="161">
        <f t="shared" si="1"/>
        <v>1551638.4523872426</v>
      </c>
      <c r="H10" s="161">
        <f t="shared" si="1"/>
        <v>1518768.3521617928</v>
      </c>
      <c r="I10" s="161">
        <f>($B10*G7/2)</f>
        <v>751306.44967197592</v>
      </c>
    </row>
    <row r="11" spans="1:9" x14ac:dyDescent="0.3">
      <c r="A11" s="159">
        <v>2021</v>
      </c>
      <c r="B11" s="162">
        <v>3524</v>
      </c>
      <c r="C11" s="161"/>
      <c r="D11" s="161"/>
      <c r="E11" s="161">
        <f>($B11*C7/2)</f>
        <v>894784.80314221897</v>
      </c>
      <c r="F11" s="161">
        <f>($B11*C7/2)+($B11*D$7/2)</f>
        <v>1772215.2271932075</v>
      </c>
      <c r="G11" s="161">
        <f t="shared" ref="G11:H11" si="2">($B11*D7/2)+($B11*E$7/2)</f>
        <v>1735907.6411490093</v>
      </c>
      <c r="H11" s="161">
        <f t="shared" si="2"/>
        <v>1698656.0752446856</v>
      </c>
      <c r="I11" s="161">
        <f>($B11*F7/2)</f>
        <v>840178.85814666504</v>
      </c>
    </row>
    <row r="12" spans="1:9" x14ac:dyDescent="0.3">
      <c r="A12" s="159">
        <v>2022</v>
      </c>
      <c r="B12" s="162">
        <v>3604</v>
      </c>
      <c r="C12" s="161"/>
      <c r="D12" s="161"/>
      <c r="E12" s="161"/>
      <c r="F12" s="161">
        <f>($B12*C7/2)</f>
        <v>915097.73851434654</v>
      </c>
      <c r="G12" s="161">
        <f>($B12*C7/2)+($B12*D$7/2)</f>
        <v>1812447.1279240409</v>
      </c>
      <c r="H12" s="161">
        <f>($B12*D7/2)+($B12*E$7/2)</f>
        <v>1775315.3061013138</v>
      </c>
      <c r="I12" s="161">
        <f>($B12*E7/2)</f>
        <v>877965.91669161932</v>
      </c>
    </row>
    <row r="13" spans="1:9" x14ac:dyDescent="0.3">
      <c r="A13" s="159">
        <v>2023</v>
      </c>
      <c r="B13" s="162">
        <v>3707</v>
      </c>
      <c r="C13" s="161"/>
      <c r="D13" s="161"/>
      <c r="E13" s="161"/>
      <c r="F13" s="161"/>
      <c r="G13" s="161">
        <f>($B13*C7/2)</f>
        <v>941250.64280596073</v>
      </c>
      <c r="H13" s="161">
        <f>($B13*C7/2)+($B13*D$7/2)</f>
        <v>1864245.7001149887</v>
      </c>
      <c r="I13" s="161">
        <f>($B13*D7/2)</f>
        <v>922995.05730902799</v>
      </c>
    </row>
    <row r="14" spans="1:9" x14ac:dyDescent="0.3">
      <c r="A14" s="159">
        <v>2024</v>
      </c>
      <c r="B14" s="162">
        <v>3801</v>
      </c>
      <c r="C14" s="161"/>
      <c r="D14" s="161"/>
      <c r="E14" s="161"/>
      <c r="F14" s="161"/>
      <c r="G14" s="161"/>
      <c r="H14" s="161">
        <f>($B14*C7/2)</f>
        <v>965118.34186821058</v>
      </c>
      <c r="I14" s="161">
        <f>($B14*C7/2)</f>
        <v>965118.34186821058</v>
      </c>
    </row>
    <row r="16" spans="1:9" ht="15" thickBot="1" x14ac:dyDescent="0.35">
      <c r="A16" s="163" t="s">
        <v>552</v>
      </c>
      <c r="B16" s="163"/>
      <c r="C16" s="164">
        <f>SUM(C9:I14)</f>
        <v>34416318.283725321</v>
      </c>
    </row>
    <row r="17" spans="1:9" ht="15" thickTop="1" x14ac:dyDescent="0.3">
      <c r="C17" s="165"/>
    </row>
    <row r="19" spans="1:9" x14ac:dyDescent="0.3">
      <c r="A19" s="158" t="s">
        <v>553</v>
      </c>
      <c r="C19" s="165"/>
    </row>
    <row r="20" spans="1:9" x14ac:dyDescent="0.3">
      <c r="A20" s="147" t="s">
        <v>554</v>
      </c>
      <c r="B20" s="174">
        <f>'Cost Exceeding Revenue'!K13</f>
        <v>338.943106</v>
      </c>
      <c r="C20" s="161"/>
    </row>
    <row r="21" spans="1:9" x14ac:dyDescent="0.3">
      <c r="A21" s="159" t="s">
        <v>550</v>
      </c>
      <c r="B21" s="159" t="s">
        <v>551</v>
      </c>
      <c r="C21" s="159" t="s">
        <v>548</v>
      </c>
      <c r="D21" s="159" t="s">
        <v>5</v>
      </c>
      <c r="E21" s="159" t="s">
        <v>52</v>
      </c>
      <c r="F21" s="159" t="s">
        <v>53</v>
      </c>
      <c r="G21" s="159" t="s">
        <v>54</v>
      </c>
      <c r="H21" s="159" t="s">
        <v>55</v>
      </c>
      <c r="I21" s="159" t="s">
        <v>56</v>
      </c>
    </row>
    <row r="22" spans="1:9" x14ac:dyDescent="0.3">
      <c r="A22" s="159">
        <f t="shared" ref="A22:B27" si="3">A9</f>
        <v>2019</v>
      </c>
      <c r="B22" s="162">
        <f t="shared" si="3"/>
        <v>2969</v>
      </c>
      <c r="C22" s="161">
        <f>$B22*$B$20/2</f>
        <v>503161.04085699999</v>
      </c>
      <c r="D22" s="161">
        <f>$B22*$B$20</f>
        <v>1006322.081714</v>
      </c>
      <c r="E22" s="161">
        <f>$B22*$B$20</f>
        <v>1006322.081714</v>
      </c>
      <c r="F22" s="161">
        <f>$B22*$B$20</f>
        <v>1006322.081714</v>
      </c>
      <c r="G22" s="161">
        <f>$B22*$B$20</f>
        <v>1006322.081714</v>
      </c>
      <c r="H22" s="161">
        <f>$B22*$B$20</f>
        <v>1006322.081714</v>
      </c>
      <c r="I22" s="161">
        <f>$B22*$B$20/2</f>
        <v>503161.04085699999</v>
      </c>
    </row>
    <row r="23" spans="1:9" x14ac:dyDescent="0.3">
      <c r="A23" s="159">
        <f t="shared" si="3"/>
        <v>2020</v>
      </c>
      <c r="B23" s="162">
        <f t="shared" si="3"/>
        <v>3219</v>
      </c>
      <c r="C23" s="161"/>
      <c r="D23" s="161">
        <f>$B23*$B$20/2</f>
        <v>545528.929107</v>
      </c>
      <c r="E23" s="161">
        <f>$B23*$B$20</f>
        <v>1091057.858214</v>
      </c>
      <c r="F23" s="161">
        <f>$B23*$B$20</f>
        <v>1091057.858214</v>
      </c>
      <c r="G23" s="161">
        <f>$B23*$B$20</f>
        <v>1091057.858214</v>
      </c>
      <c r="H23" s="161">
        <f>$B23*$B$20</f>
        <v>1091057.858214</v>
      </c>
      <c r="I23" s="161">
        <f t="shared" ref="I23:I27" si="4">$B23*$B$20/2</f>
        <v>545528.929107</v>
      </c>
    </row>
    <row r="24" spans="1:9" x14ac:dyDescent="0.3">
      <c r="A24" s="159">
        <f t="shared" si="3"/>
        <v>2021</v>
      </c>
      <c r="B24" s="162">
        <f t="shared" si="3"/>
        <v>3524</v>
      </c>
      <c r="C24" s="161"/>
      <c r="D24" s="161"/>
      <c r="E24" s="161">
        <f>$B24*$B$20/2</f>
        <v>597217.75277200004</v>
      </c>
      <c r="F24" s="161">
        <f>$B24*$B$20</f>
        <v>1194435.5055440001</v>
      </c>
      <c r="G24" s="161">
        <f>$B24*$B$20</f>
        <v>1194435.5055440001</v>
      </c>
      <c r="H24" s="161">
        <f>$B24*$B$20</f>
        <v>1194435.5055440001</v>
      </c>
      <c r="I24" s="161">
        <f t="shared" si="4"/>
        <v>597217.75277200004</v>
      </c>
    </row>
    <row r="25" spans="1:9" x14ac:dyDescent="0.3">
      <c r="A25" s="159">
        <f t="shared" si="3"/>
        <v>2022</v>
      </c>
      <c r="B25" s="162">
        <f t="shared" si="3"/>
        <v>3604</v>
      </c>
      <c r="C25" s="161"/>
      <c r="D25" s="161"/>
      <c r="E25" s="161"/>
      <c r="F25" s="161">
        <f>$B25*$B$20/2</f>
        <v>610775.47701200005</v>
      </c>
      <c r="G25" s="161">
        <f>$B25*$B$20</f>
        <v>1221550.9540240001</v>
      </c>
      <c r="H25" s="161">
        <f>$B25*$B$20</f>
        <v>1221550.9540240001</v>
      </c>
      <c r="I25" s="161">
        <f t="shared" si="4"/>
        <v>610775.47701200005</v>
      </c>
    </row>
    <row r="26" spans="1:9" x14ac:dyDescent="0.3">
      <c r="A26" s="159">
        <f t="shared" si="3"/>
        <v>2023</v>
      </c>
      <c r="B26" s="162">
        <f t="shared" si="3"/>
        <v>3707</v>
      </c>
      <c r="C26" s="161"/>
      <c r="D26" s="161"/>
      <c r="E26" s="161"/>
      <c r="F26" s="161"/>
      <c r="G26" s="161">
        <f>$B26*$B$20/2</f>
        <v>628231.04697100003</v>
      </c>
      <c r="H26" s="161">
        <f>$B26*$B$20</f>
        <v>1256462.0939420001</v>
      </c>
      <c r="I26" s="161">
        <f t="shared" si="4"/>
        <v>628231.04697100003</v>
      </c>
    </row>
    <row r="27" spans="1:9" x14ac:dyDescent="0.3">
      <c r="A27" s="159">
        <f t="shared" si="3"/>
        <v>2024</v>
      </c>
      <c r="B27" s="162">
        <f t="shared" si="3"/>
        <v>3801</v>
      </c>
      <c r="C27" s="161"/>
      <c r="D27" s="161"/>
      <c r="E27" s="161"/>
      <c r="F27" s="161"/>
      <c r="G27" s="161"/>
      <c r="H27" s="161">
        <f>$B27*$B$20/2</f>
        <v>644161.37295300001</v>
      </c>
      <c r="I27" s="161">
        <f t="shared" si="4"/>
        <v>644161.37295300001</v>
      </c>
    </row>
    <row r="28" spans="1:9" x14ac:dyDescent="0.3">
      <c r="A28" s="159"/>
      <c r="B28" s="162"/>
      <c r="C28" s="161"/>
      <c r="D28" s="161"/>
      <c r="E28" s="161"/>
      <c r="F28" s="161"/>
      <c r="G28" s="161"/>
      <c r="H28" s="161"/>
      <c r="I28" s="161"/>
    </row>
    <row r="30" spans="1:9" x14ac:dyDescent="0.3">
      <c r="A30" s="158" t="s">
        <v>555</v>
      </c>
    </row>
    <row r="31" spans="1:9" x14ac:dyDescent="0.3">
      <c r="A31" s="147" t="s">
        <v>556</v>
      </c>
      <c r="B31" s="175">
        <f>'Cost Exceeding Revenue'!K11</f>
        <v>522.20000000000005</v>
      </c>
    </row>
    <row r="32" spans="1:9" x14ac:dyDescent="0.3">
      <c r="A32" s="147" t="s">
        <v>557</v>
      </c>
      <c r="B32" s="166">
        <v>0.46529999999999999</v>
      </c>
      <c r="C32" s="161"/>
    </row>
    <row r="33" spans="1:9" x14ac:dyDescent="0.3">
      <c r="A33" s="159" t="s">
        <v>550</v>
      </c>
      <c r="B33" s="159" t="s">
        <v>551</v>
      </c>
      <c r="C33" s="159" t="s">
        <v>548</v>
      </c>
      <c r="D33" s="159" t="s">
        <v>5</v>
      </c>
      <c r="E33" s="159" t="s">
        <v>52</v>
      </c>
      <c r="F33" s="159" t="s">
        <v>53</v>
      </c>
      <c r="G33" s="159" t="s">
        <v>54</v>
      </c>
      <c r="H33" s="159" t="s">
        <v>55</v>
      </c>
      <c r="I33" s="159" t="s">
        <v>56</v>
      </c>
    </row>
    <row r="34" spans="1:9" x14ac:dyDescent="0.3">
      <c r="A34" s="159">
        <f>A22</f>
        <v>2019</v>
      </c>
      <c r="B34" s="162">
        <f>B22</f>
        <v>2969</v>
      </c>
      <c r="C34" s="161">
        <f>$B34*($B$32*$B$31)/2</f>
        <v>360703.30527000001</v>
      </c>
      <c r="D34" s="161">
        <f>$B34*($B$32*$B$31)</f>
        <v>721406.61054000002</v>
      </c>
      <c r="E34" s="161">
        <f>$B34*($B$32*$B$31)</f>
        <v>721406.61054000002</v>
      </c>
      <c r="F34" s="161">
        <f>$B34*($B$32*$B$31)</f>
        <v>721406.61054000002</v>
      </c>
      <c r="G34" s="161">
        <f>$B34*($B$32*$B$31)</f>
        <v>721406.61054000002</v>
      </c>
      <c r="H34" s="161">
        <f>$B34*($B$32*$B$31)</f>
        <v>721406.61054000002</v>
      </c>
      <c r="I34" s="161">
        <f t="shared" ref="I34:I39" si="5">$B34*($B$32*$B$31)/2</f>
        <v>360703.30527000001</v>
      </c>
    </row>
    <row r="35" spans="1:9" x14ac:dyDescent="0.3">
      <c r="A35" s="159">
        <f t="shared" ref="A35:B39" si="6">A23</f>
        <v>2020</v>
      </c>
      <c r="B35" s="162">
        <f t="shared" si="6"/>
        <v>3219</v>
      </c>
      <c r="C35" s="161"/>
      <c r="D35" s="161">
        <f>$B35*($B$32*$B$31)/2</f>
        <v>391075.76277000003</v>
      </c>
      <c r="E35" s="161">
        <f>$B35*($B$32*$B$31)</f>
        <v>782151.52554000006</v>
      </c>
      <c r="F35" s="161">
        <f>$B35*($B$32*$B$31)</f>
        <v>782151.52554000006</v>
      </c>
      <c r="G35" s="161">
        <f>$B35*($B$32*$B$31)</f>
        <v>782151.52554000006</v>
      </c>
      <c r="H35" s="161">
        <f>$B35*($B$32*$B$31)</f>
        <v>782151.52554000006</v>
      </c>
      <c r="I35" s="161">
        <f t="shared" si="5"/>
        <v>391075.76277000003</v>
      </c>
    </row>
    <row r="36" spans="1:9" x14ac:dyDescent="0.3">
      <c r="A36" s="159">
        <f t="shared" si="6"/>
        <v>2021</v>
      </c>
      <c r="B36" s="162">
        <f t="shared" si="6"/>
        <v>3524</v>
      </c>
      <c r="C36" s="161"/>
      <c r="D36" s="161"/>
      <c r="E36" s="161">
        <f>$B36*($B$32*$B$31)/2</f>
        <v>428130.16092000005</v>
      </c>
      <c r="F36" s="161">
        <f>$B36*($B$32*$B$31)</f>
        <v>856260.32184000011</v>
      </c>
      <c r="G36" s="161">
        <f>$B36*($B$32*$B$31)</f>
        <v>856260.32184000011</v>
      </c>
      <c r="H36" s="161">
        <f>$B36*($B$32*$B$31)</f>
        <v>856260.32184000011</v>
      </c>
      <c r="I36" s="161">
        <f t="shared" si="5"/>
        <v>428130.16092000005</v>
      </c>
    </row>
    <row r="37" spans="1:9" x14ac:dyDescent="0.3">
      <c r="A37" s="159">
        <f t="shared" si="6"/>
        <v>2022</v>
      </c>
      <c r="B37" s="162">
        <f t="shared" si="6"/>
        <v>3604</v>
      </c>
      <c r="C37" s="161"/>
      <c r="D37" s="161"/>
      <c r="E37" s="161"/>
      <c r="F37" s="161">
        <f>$B37*($B$32*$B$31)/2</f>
        <v>437849.34732000006</v>
      </c>
      <c r="G37" s="161">
        <f>$B37*($B$32*$B$31)</f>
        <v>875698.69464000012</v>
      </c>
      <c r="H37" s="161">
        <f>$B37*($B$32*$B$31)</f>
        <v>875698.69464000012</v>
      </c>
      <c r="I37" s="161">
        <f t="shared" si="5"/>
        <v>437849.34732000006</v>
      </c>
    </row>
    <row r="38" spans="1:9" x14ac:dyDescent="0.3">
      <c r="A38" s="159">
        <f t="shared" si="6"/>
        <v>2023</v>
      </c>
      <c r="B38" s="162">
        <f t="shared" si="6"/>
        <v>3707</v>
      </c>
      <c r="C38" s="161"/>
      <c r="D38" s="161"/>
      <c r="E38" s="161"/>
      <c r="F38" s="161"/>
      <c r="G38" s="161">
        <f>$B38*($B$32*$B$31)/2</f>
        <v>450362.79981000006</v>
      </c>
      <c r="H38" s="161">
        <f>$B38*($B$32*$B$31)</f>
        <v>900725.59962000011</v>
      </c>
      <c r="I38" s="161">
        <f t="shared" si="5"/>
        <v>450362.79981000006</v>
      </c>
    </row>
    <row r="39" spans="1:9" x14ac:dyDescent="0.3">
      <c r="A39" s="159">
        <f t="shared" si="6"/>
        <v>2024</v>
      </c>
      <c r="B39" s="162">
        <f t="shared" si="6"/>
        <v>3801</v>
      </c>
      <c r="C39" s="161"/>
      <c r="D39" s="161"/>
      <c r="E39" s="161"/>
      <c r="F39" s="161"/>
      <c r="G39" s="161"/>
      <c r="H39" s="161">
        <f>$B39*($B$32*$B$31)/2</f>
        <v>461782.84383000003</v>
      </c>
      <c r="I39" s="161">
        <f t="shared" si="5"/>
        <v>461782.84383000003</v>
      </c>
    </row>
    <row r="42" spans="1:9" x14ac:dyDescent="0.3">
      <c r="A42" s="147" t="s">
        <v>558</v>
      </c>
      <c r="C42" s="165">
        <f>SUM(C22:I27)</f>
        <v>23736863.599392004</v>
      </c>
    </row>
    <row r="43" spans="1:9" x14ac:dyDescent="0.3">
      <c r="A43" s="167" t="s">
        <v>555</v>
      </c>
      <c r="B43" s="167"/>
      <c r="C43" s="168">
        <f>SUM(C34:I39)</f>
        <v>17016351.549119994</v>
      </c>
    </row>
    <row r="44" spans="1:9" ht="15" thickBot="1" x14ac:dyDescent="0.35">
      <c r="A44" s="169" t="s">
        <v>553</v>
      </c>
      <c r="B44" s="169"/>
      <c r="C44" s="170">
        <f>C42-C43</f>
        <v>6720512.0502720103</v>
      </c>
    </row>
    <row r="45" spans="1:9" ht="15" thickTop="1" x14ac:dyDescent="0.3"/>
    <row r="46" spans="1:9" x14ac:dyDescent="0.3">
      <c r="A46" s="171" t="s">
        <v>559</v>
      </c>
      <c r="B46" s="172"/>
      <c r="C46" s="173">
        <f>C44-C16</f>
        <v>-27695806.233453311</v>
      </c>
    </row>
  </sheetData>
  <pageMargins left="0.7" right="0.7" top="0.75" bottom="0.75" header="0.3" footer="0.3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workbookViewId="0">
      <selection activeCell="H33" sqref="H33"/>
    </sheetView>
  </sheetViews>
  <sheetFormatPr defaultRowHeight="14.4" x14ac:dyDescent="0.3"/>
  <cols>
    <col min="7" max="7" width="57.109375" customWidth="1"/>
    <col min="10" max="10" width="26.88671875" bestFit="1" customWidth="1"/>
  </cols>
  <sheetData>
    <row r="1" spans="1:12" x14ac:dyDescent="0.3">
      <c r="A1" s="1" t="s">
        <v>0</v>
      </c>
    </row>
    <row r="2" spans="1:12" x14ac:dyDescent="0.3">
      <c r="A2" s="1" t="s">
        <v>1</v>
      </c>
    </row>
    <row r="3" spans="1:12" x14ac:dyDescent="0.3">
      <c r="A3" s="1" t="s">
        <v>2</v>
      </c>
    </row>
    <row r="6" spans="1:12" x14ac:dyDescent="0.3">
      <c r="B6" s="199" t="s">
        <v>3</v>
      </c>
      <c r="C6" s="199"/>
      <c r="D6" s="199"/>
      <c r="E6" s="199"/>
      <c r="G6" s="199" t="s">
        <v>4</v>
      </c>
      <c r="H6" s="199"/>
      <c r="J6" s="199" t="s">
        <v>4</v>
      </c>
      <c r="K6" s="199"/>
    </row>
    <row r="7" spans="1:12" x14ac:dyDescent="0.3">
      <c r="B7" s="6"/>
      <c r="C7" s="6"/>
      <c r="D7" s="7"/>
      <c r="E7" s="8" t="s">
        <v>5</v>
      </c>
      <c r="H7" s="11" t="s">
        <v>6</v>
      </c>
      <c r="K7" s="11" t="s">
        <v>6</v>
      </c>
    </row>
    <row r="8" spans="1:12" x14ac:dyDescent="0.3">
      <c r="B8" s="6"/>
      <c r="C8" s="6"/>
      <c r="D8" s="9"/>
      <c r="E8" s="10"/>
      <c r="G8" t="s">
        <v>7</v>
      </c>
      <c r="H8" s="2">
        <v>8</v>
      </c>
      <c r="J8" t="s">
        <v>7</v>
      </c>
      <c r="K8" s="2">
        <v>8</v>
      </c>
    </row>
    <row r="9" spans="1:12" x14ac:dyDescent="0.3">
      <c r="B9" s="18" t="s">
        <v>8</v>
      </c>
      <c r="C9" s="18"/>
      <c r="D9" s="9"/>
      <c r="E9" s="12">
        <v>91.182000000000002</v>
      </c>
      <c r="G9" t="s">
        <v>9</v>
      </c>
      <c r="H9" s="3">
        <v>0.46529999999999999</v>
      </c>
      <c r="J9" t="s">
        <v>9</v>
      </c>
      <c r="K9" s="3">
        <v>0.46522999999999998</v>
      </c>
    </row>
    <row r="10" spans="1:12" x14ac:dyDescent="0.3">
      <c r="B10" s="18" t="s">
        <v>10</v>
      </c>
      <c r="C10" s="18"/>
      <c r="D10" s="9"/>
      <c r="E10" s="12">
        <v>54.05</v>
      </c>
      <c r="H10" s="4"/>
      <c r="K10" s="4"/>
    </row>
    <row r="11" spans="1:12" x14ac:dyDescent="0.3">
      <c r="B11" s="18" t="s">
        <v>11</v>
      </c>
      <c r="C11" s="18"/>
      <c r="D11" s="9"/>
      <c r="E11" s="12">
        <v>51.921135</v>
      </c>
      <c r="G11" t="s">
        <v>12</v>
      </c>
      <c r="H11" s="4">
        <v>678.3</v>
      </c>
      <c r="J11" t="s">
        <v>12</v>
      </c>
      <c r="K11" s="4">
        <v>522.20000000000005</v>
      </c>
      <c r="L11" t="s">
        <v>13</v>
      </c>
    </row>
    <row r="12" spans="1:12" x14ac:dyDescent="0.3">
      <c r="B12" s="18"/>
      <c r="C12" s="18"/>
      <c r="D12" s="9"/>
      <c r="E12" s="12"/>
    </row>
    <row r="13" spans="1:12" ht="15" thickBot="1" x14ac:dyDescent="0.35">
      <c r="B13" s="18" t="s">
        <v>14</v>
      </c>
      <c r="C13" s="18"/>
      <c r="D13" s="9"/>
      <c r="E13" s="12"/>
      <c r="G13" s="17" t="s">
        <v>15</v>
      </c>
      <c r="H13" s="5">
        <f>H8*12+(H9*H11)</f>
        <v>411.61298999999997</v>
      </c>
      <c r="J13" s="17" t="s">
        <v>15</v>
      </c>
      <c r="K13" s="5">
        <f>K8*12+(K9*K11)</f>
        <v>338.943106</v>
      </c>
    </row>
    <row r="14" spans="1:12" ht="15" thickTop="1" x14ac:dyDescent="0.3">
      <c r="B14" s="18"/>
      <c r="C14" s="18" t="s">
        <v>16</v>
      </c>
      <c r="D14" s="9"/>
      <c r="E14" s="12">
        <v>0</v>
      </c>
    </row>
    <row r="15" spans="1:12" x14ac:dyDescent="0.3">
      <c r="B15" s="18"/>
      <c r="C15" s="18" t="s">
        <v>17</v>
      </c>
      <c r="D15" s="9"/>
      <c r="E15" s="13">
        <v>42.529834371265224</v>
      </c>
      <c r="H15" s="98"/>
      <c r="K15" s="22"/>
    </row>
    <row r="16" spans="1:12" x14ac:dyDescent="0.3">
      <c r="B16" s="18"/>
      <c r="C16" s="18" t="s">
        <v>18</v>
      </c>
      <c r="D16" s="9"/>
      <c r="E16" s="12">
        <v>42.529834371265224</v>
      </c>
      <c r="K16" s="22"/>
    </row>
    <row r="17" spans="2:10" x14ac:dyDescent="0.3">
      <c r="B17" s="18"/>
      <c r="C17" s="18"/>
      <c r="D17" s="9"/>
      <c r="E17" s="12"/>
      <c r="G17" s="1" t="s">
        <v>19</v>
      </c>
      <c r="H17" s="14">
        <f>E27</f>
        <v>507.8233843031889</v>
      </c>
    </row>
    <row r="18" spans="2:10" x14ac:dyDescent="0.3">
      <c r="B18" s="18" t="s">
        <v>20</v>
      </c>
      <c r="C18" s="18"/>
      <c r="D18" s="9"/>
      <c r="E18" s="12"/>
      <c r="G18" s="1" t="s">
        <v>21</v>
      </c>
      <c r="H18" s="15">
        <f>H13</f>
        <v>411.61298999999997</v>
      </c>
    </row>
    <row r="19" spans="2:10" x14ac:dyDescent="0.3">
      <c r="B19" s="18"/>
      <c r="C19" s="18" t="s">
        <v>22</v>
      </c>
      <c r="D19" s="9"/>
      <c r="E19" s="12">
        <v>87.570224955675002</v>
      </c>
      <c r="G19" s="20" t="s">
        <v>23</v>
      </c>
      <c r="H19" s="21">
        <f>H17-H18</f>
        <v>96.210394303188934</v>
      </c>
    </row>
    <row r="20" spans="2:10" x14ac:dyDescent="0.3">
      <c r="B20" s="18"/>
      <c r="C20" s="19" t="s">
        <v>24</v>
      </c>
      <c r="D20" s="9"/>
      <c r="E20" s="12">
        <v>0.75573830143350007</v>
      </c>
      <c r="G20" s="1"/>
      <c r="H20" s="1"/>
    </row>
    <row r="21" spans="2:10" x14ac:dyDescent="0.3">
      <c r="B21" s="18"/>
      <c r="C21" s="18" t="s">
        <v>25</v>
      </c>
      <c r="D21" s="9"/>
      <c r="E21" s="13">
        <v>159.23744814284998</v>
      </c>
      <c r="G21" s="1" t="s">
        <v>26</v>
      </c>
      <c r="H21" s="16">
        <f>H19/H18</f>
        <v>0.23373993688388925</v>
      </c>
    </row>
    <row r="22" spans="2:10" x14ac:dyDescent="0.3">
      <c r="B22" s="18"/>
      <c r="C22" s="18" t="s">
        <v>27</v>
      </c>
      <c r="D22" s="9"/>
      <c r="E22" s="12">
        <v>247.56341139995848</v>
      </c>
    </row>
    <row r="23" spans="2:10" x14ac:dyDescent="0.3">
      <c r="B23" s="18"/>
      <c r="C23" s="18"/>
      <c r="D23" s="9"/>
      <c r="E23" s="143"/>
    </row>
    <row r="24" spans="2:10" ht="15" thickBot="1" x14ac:dyDescent="0.35">
      <c r="B24" s="18" t="s">
        <v>28</v>
      </c>
      <c r="C24" s="18"/>
      <c r="D24" s="9"/>
      <c r="E24" s="144">
        <f>SUM(E9:E11)+E16+E22</f>
        <v>487.2463807712237</v>
      </c>
    </row>
    <row r="25" spans="2:10" ht="15" thickBot="1" x14ac:dyDescent="0.35">
      <c r="B25" s="18" t="s">
        <v>29</v>
      </c>
      <c r="C25" s="18"/>
      <c r="D25" s="9"/>
      <c r="E25" s="145">
        <f>(E24/(1-'Cost of Service'!F16))-E24</f>
        <v>20.577003531965204</v>
      </c>
      <c r="G25" s="24" t="s">
        <v>30</v>
      </c>
      <c r="H25" s="25">
        <v>678.3</v>
      </c>
      <c r="I25" s="26">
        <v>522.20000000000005</v>
      </c>
    </row>
    <row r="26" spans="2:10" x14ac:dyDescent="0.3">
      <c r="B26" s="6"/>
      <c r="C26" s="6"/>
      <c r="D26" s="9"/>
      <c r="E26" s="143"/>
      <c r="G26" s="27" t="s">
        <v>31</v>
      </c>
      <c r="H26" s="28">
        <f>$E$27</f>
        <v>507.8233843031889</v>
      </c>
      <c r="I26" s="29">
        <f>$E$27</f>
        <v>507.8233843031889</v>
      </c>
    </row>
    <row r="27" spans="2:10" ht="15" thickBot="1" x14ac:dyDescent="0.35">
      <c r="B27" s="17" t="s">
        <v>32</v>
      </c>
      <c r="C27" s="5"/>
      <c r="D27" s="17"/>
      <c r="E27" s="146">
        <f>SUM(E24:E25)</f>
        <v>507.8233843031889</v>
      </c>
      <c r="G27" s="30" t="s">
        <v>545</v>
      </c>
      <c r="H27" s="23">
        <f>H13</f>
        <v>411.61298999999997</v>
      </c>
      <c r="I27" s="31">
        <f>K13</f>
        <v>338.943106</v>
      </c>
    </row>
    <row r="28" spans="2:10" ht="15.6" thickTop="1" thickBot="1" x14ac:dyDescent="0.35">
      <c r="E28" s="147"/>
      <c r="G28" s="32" t="s">
        <v>23</v>
      </c>
      <c r="H28" s="33">
        <f>H26-H27</f>
        <v>96.210394303188934</v>
      </c>
      <c r="I28" s="34">
        <f>I26-I27</f>
        <v>168.8802783031889</v>
      </c>
    </row>
    <row r="30" spans="2:10" x14ac:dyDescent="0.3">
      <c r="E30" s="135"/>
    </row>
    <row r="31" spans="2:10" x14ac:dyDescent="0.3">
      <c r="G31" t="s">
        <v>33</v>
      </c>
      <c r="H31" s="142">
        <f>H17-(K8*12)</f>
        <v>411.8233843031889</v>
      </c>
      <c r="J31" s="22"/>
    </row>
    <row r="32" spans="2:10" x14ac:dyDescent="0.3">
      <c r="J32" s="22"/>
    </row>
    <row r="33" spans="7:9" x14ac:dyDescent="0.3">
      <c r="G33" t="s">
        <v>34</v>
      </c>
      <c r="H33" s="3">
        <v>0.32091999999999998</v>
      </c>
      <c r="I33" t="s">
        <v>35</v>
      </c>
    </row>
  </sheetData>
  <mergeCells count="3">
    <mergeCell ref="B6:E6"/>
    <mergeCell ref="G6:H6"/>
    <mergeCell ref="J6:K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486"/>
  <sheetViews>
    <sheetView workbookViewId="0">
      <selection activeCell="S7" sqref="S7"/>
    </sheetView>
  </sheetViews>
  <sheetFormatPr defaultColWidth="9.109375" defaultRowHeight="14.4" outlineLevelCol="1" x14ac:dyDescent="0.3"/>
  <cols>
    <col min="1" max="1" width="20.5546875" style="113" customWidth="1"/>
    <col min="2" max="2" width="8.109375" style="113" customWidth="1"/>
    <col min="3" max="3" width="19" style="113" bestFit="1" customWidth="1"/>
    <col min="4" max="4" width="10" hidden="1" customWidth="1" outlineLevel="1"/>
    <col min="5" max="5" width="9" hidden="1" customWidth="1" outlineLevel="1"/>
    <col min="6" max="15" width="10" hidden="1" customWidth="1" outlineLevel="1"/>
    <col min="16" max="16" width="12.6640625" style="113" bestFit="1" customWidth="1" collapsed="1"/>
    <col min="17" max="17" width="9.109375" style="113"/>
    <col min="18" max="18" width="56.5546875" style="113" customWidth="1"/>
    <col min="19" max="19" width="11.5546875" style="113" bestFit="1" customWidth="1"/>
    <col min="20" max="16384" width="9.109375" style="113"/>
  </cols>
  <sheetData>
    <row r="1" spans="1:19" x14ac:dyDescent="0.3">
      <c r="A1" s="201" t="s">
        <v>122</v>
      </c>
      <c r="B1" s="201"/>
    </row>
    <row r="2" spans="1:19" x14ac:dyDescent="0.3">
      <c r="A2" s="202" t="s">
        <v>565</v>
      </c>
      <c r="B2" s="202"/>
    </row>
    <row r="3" spans="1:19" x14ac:dyDescent="0.3">
      <c r="A3" s="202" t="s">
        <v>537</v>
      </c>
      <c r="B3" s="202"/>
    </row>
    <row r="4" spans="1:19" ht="15" thickBot="1" x14ac:dyDescent="0.35">
      <c r="A4" s="141"/>
      <c r="B4" s="141"/>
    </row>
    <row r="5" spans="1:19" ht="15" thickBot="1" x14ac:dyDescent="0.35">
      <c r="A5" s="200"/>
      <c r="B5" s="200"/>
      <c r="C5" s="127"/>
      <c r="D5" s="103" t="s">
        <v>123</v>
      </c>
      <c r="E5" s="103" t="s">
        <v>123</v>
      </c>
      <c r="F5" s="103" t="s">
        <v>123</v>
      </c>
      <c r="G5" s="103" t="s">
        <v>123</v>
      </c>
      <c r="H5" s="103" t="s">
        <v>123</v>
      </c>
      <c r="I5" s="103" t="s">
        <v>123</v>
      </c>
      <c r="J5" s="103" t="s">
        <v>123</v>
      </c>
      <c r="K5" s="103" t="s">
        <v>123</v>
      </c>
      <c r="L5" s="103" t="s">
        <v>123</v>
      </c>
      <c r="M5" s="103" t="s">
        <v>123</v>
      </c>
      <c r="N5" s="103" t="s">
        <v>123</v>
      </c>
      <c r="O5" s="119" t="s">
        <v>123</v>
      </c>
      <c r="P5" s="130" t="s">
        <v>123</v>
      </c>
    </row>
    <row r="6" spans="1:19" ht="15" thickBot="1" x14ac:dyDescent="0.35">
      <c r="A6" s="200"/>
      <c r="B6" s="200"/>
      <c r="C6" s="127" t="s">
        <v>124</v>
      </c>
      <c r="D6" s="103" t="s">
        <v>125</v>
      </c>
      <c r="E6" s="103" t="s">
        <v>126</v>
      </c>
      <c r="F6" s="103" t="s">
        <v>127</v>
      </c>
      <c r="G6" s="103" t="s">
        <v>128</v>
      </c>
      <c r="H6" s="103" t="s">
        <v>129</v>
      </c>
      <c r="I6" s="103" t="s">
        <v>130</v>
      </c>
      <c r="J6" s="103" t="s">
        <v>131</v>
      </c>
      <c r="K6" s="103" t="s">
        <v>132</v>
      </c>
      <c r="L6" s="103" t="s">
        <v>133</v>
      </c>
      <c r="M6" s="103" t="s">
        <v>134</v>
      </c>
      <c r="N6" s="103" t="s">
        <v>135</v>
      </c>
      <c r="O6" s="119" t="s">
        <v>136</v>
      </c>
      <c r="P6" s="130" t="s">
        <v>137</v>
      </c>
    </row>
    <row r="7" spans="1:19" ht="21" thickBot="1" x14ac:dyDescent="0.35">
      <c r="A7" s="128" t="s">
        <v>138</v>
      </c>
      <c r="B7" s="128" t="s">
        <v>139</v>
      </c>
      <c r="C7" s="129"/>
      <c r="D7" s="102" t="s">
        <v>140</v>
      </c>
      <c r="E7" s="102" t="s">
        <v>140</v>
      </c>
      <c r="F7" s="102" t="s">
        <v>140</v>
      </c>
      <c r="G7" s="102" t="s">
        <v>140</v>
      </c>
      <c r="H7" s="102" t="s">
        <v>140</v>
      </c>
      <c r="I7" s="102" t="s">
        <v>140</v>
      </c>
      <c r="J7" s="102" t="s">
        <v>140</v>
      </c>
      <c r="K7" s="102" t="s">
        <v>140</v>
      </c>
      <c r="L7" s="102" t="s">
        <v>140</v>
      </c>
      <c r="M7" s="102" t="s">
        <v>140</v>
      </c>
      <c r="N7" s="102" t="s">
        <v>140</v>
      </c>
      <c r="O7" s="120" t="s">
        <v>140</v>
      </c>
      <c r="P7" s="127" t="s">
        <v>140</v>
      </c>
      <c r="R7" s="115" t="s">
        <v>534</v>
      </c>
      <c r="S7" s="116">
        <f>P53+P148+P160+P161+P164+P170+P171</f>
        <v>22923.410000000003</v>
      </c>
    </row>
    <row r="8" spans="1:19" customFormat="1" ht="15" hidden="1" thickBot="1" x14ac:dyDescent="0.35">
      <c r="A8" s="125" t="s">
        <v>143</v>
      </c>
      <c r="B8" s="125" t="s">
        <v>144</v>
      </c>
      <c r="C8" s="125" t="s">
        <v>145</v>
      </c>
      <c r="D8" s="104">
        <v>622.16999999999996</v>
      </c>
      <c r="E8" s="105"/>
      <c r="F8" s="104">
        <v>8673.7999999999993</v>
      </c>
      <c r="G8" s="104">
        <v>16637.14</v>
      </c>
      <c r="H8" s="104">
        <v>3074.35</v>
      </c>
      <c r="I8" s="105"/>
      <c r="J8" s="105"/>
      <c r="K8" s="105"/>
      <c r="L8" s="105"/>
      <c r="M8" s="105"/>
      <c r="N8" s="104">
        <v>146.53</v>
      </c>
      <c r="O8" s="105"/>
      <c r="P8" s="126">
        <v>29153.99</v>
      </c>
    </row>
    <row r="9" spans="1:19" customFormat="1" ht="15" hidden="1" thickBot="1" x14ac:dyDescent="0.35">
      <c r="A9" s="103" t="s">
        <v>148</v>
      </c>
      <c r="B9" s="103" t="s">
        <v>144</v>
      </c>
      <c r="C9" s="103" t="s">
        <v>145</v>
      </c>
      <c r="D9" s="107"/>
      <c r="E9" s="107"/>
      <c r="F9" s="107"/>
      <c r="G9" s="108">
        <v>120</v>
      </c>
      <c r="H9" s="107"/>
      <c r="I9" s="107"/>
      <c r="J9" s="107"/>
      <c r="K9" s="107"/>
      <c r="L9" s="107"/>
      <c r="M9" s="107"/>
      <c r="N9" s="107"/>
      <c r="O9" s="107"/>
      <c r="P9" s="106">
        <v>120</v>
      </c>
    </row>
    <row r="10" spans="1:19" customFormat="1" ht="15" hidden="1" thickBot="1" x14ac:dyDescent="0.35">
      <c r="A10" s="103" t="s">
        <v>151</v>
      </c>
      <c r="B10" s="103" t="s">
        <v>144</v>
      </c>
      <c r="C10" s="103" t="s">
        <v>145</v>
      </c>
      <c r="D10" s="104">
        <v>1760.15</v>
      </c>
      <c r="E10" s="104">
        <v>1173.8399999999999</v>
      </c>
      <c r="F10" s="104">
        <v>1070.9000000000001</v>
      </c>
      <c r="G10" s="104">
        <v>939.46</v>
      </c>
      <c r="H10" s="104">
        <v>792.06</v>
      </c>
      <c r="I10" s="104">
        <v>626.29999999999995</v>
      </c>
      <c r="J10" s="104">
        <v>2505.2199999999998</v>
      </c>
      <c r="K10" s="104">
        <v>4753.21</v>
      </c>
      <c r="L10" s="104">
        <v>262.32</v>
      </c>
      <c r="M10" s="104">
        <v>782.88</v>
      </c>
      <c r="N10" s="104">
        <v>1330.58</v>
      </c>
      <c r="O10" s="104">
        <v>1541.37</v>
      </c>
      <c r="P10" s="106">
        <v>17538.29</v>
      </c>
    </row>
    <row r="11" spans="1:19" customFormat="1" ht="15" hidden="1" thickBot="1" x14ac:dyDescent="0.35">
      <c r="A11" s="103" t="s">
        <v>154</v>
      </c>
      <c r="B11" s="103" t="s">
        <v>144</v>
      </c>
      <c r="C11" s="103" t="s">
        <v>145</v>
      </c>
      <c r="D11" s="108">
        <v>41889.19</v>
      </c>
      <c r="E11" s="108">
        <v>38910.47</v>
      </c>
      <c r="F11" s="108">
        <v>35879.35</v>
      </c>
      <c r="G11" s="108">
        <v>30916.42</v>
      </c>
      <c r="H11" s="108">
        <v>29364.73</v>
      </c>
      <c r="I11" s="108">
        <v>29108.87</v>
      </c>
      <c r="J11" s="108">
        <v>28217.83</v>
      </c>
      <c r="K11" s="108">
        <v>26221.53</v>
      </c>
      <c r="L11" s="108">
        <v>28829.18</v>
      </c>
      <c r="M11" s="108">
        <v>29420.080000000002</v>
      </c>
      <c r="N11" s="108">
        <v>29095.77</v>
      </c>
      <c r="O11" s="108">
        <v>35706.6</v>
      </c>
      <c r="P11" s="106">
        <v>383560.02</v>
      </c>
    </row>
    <row r="12" spans="1:19" customFormat="1" ht="15" hidden="1" thickBot="1" x14ac:dyDescent="0.35">
      <c r="A12" s="103" t="s">
        <v>157</v>
      </c>
      <c r="B12" s="103" t="s">
        <v>144</v>
      </c>
      <c r="C12" s="103" t="s">
        <v>145</v>
      </c>
      <c r="D12" s="104">
        <v>913.49</v>
      </c>
      <c r="E12" s="104">
        <v>1620.06</v>
      </c>
      <c r="F12" s="105"/>
      <c r="G12" s="105"/>
      <c r="H12" s="105"/>
      <c r="I12" s="105"/>
      <c r="J12" s="104">
        <v>353.2</v>
      </c>
      <c r="K12" s="105"/>
      <c r="L12" s="105"/>
      <c r="M12" s="105"/>
      <c r="N12" s="104">
        <v>2986.54</v>
      </c>
      <c r="O12" s="104">
        <v>6206.44</v>
      </c>
      <c r="P12" s="106">
        <v>12079.73</v>
      </c>
    </row>
    <row r="13" spans="1:19" customFormat="1" ht="15" hidden="1" thickBot="1" x14ac:dyDescent="0.35">
      <c r="A13" s="103" t="s">
        <v>160</v>
      </c>
      <c r="B13" s="103" t="s">
        <v>144</v>
      </c>
      <c r="C13" s="103" t="s">
        <v>145</v>
      </c>
      <c r="D13" s="108">
        <v>4677.5600000000004</v>
      </c>
      <c r="E13" s="108">
        <v>5982.53</v>
      </c>
      <c r="F13" s="108">
        <v>6452.58</v>
      </c>
      <c r="G13" s="108">
        <v>5629.02</v>
      </c>
      <c r="H13" s="108">
        <v>25421.58</v>
      </c>
      <c r="I13" s="108">
        <v>713.64</v>
      </c>
      <c r="J13" s="108">
        <v>19444.21</v>
      </c>
      <c r="K13" s="108">
        <v>9535.7800000000007</v>
      </c>
      <c r="L13" s="108">
        <v>3507.93</v>
      </c>
      <c r="M13" s="108">
        <v>16099.93</v>
      </c>
      <c r="N13" s="108">
        <v>5453.52</v>
      </c>
      <c r="O13" s="108">
        <v>4885.37</v>
      </c>
      <c r="P13" s="106">
        <v>107803.65</v>
      </c>
    </row>
    <row r="14" spans="1:19" customFormat="1" ht="15" hidden="1" thickBot="1" x14ac:dyDescent="0.35">
      <c r="A14" s="103" t="s">
        <v>161</v>
      </c>
      <c r="B14" s="103" t="s">
        <v>144</v>
      </c>
      <c r="C14" s="103" t="s">
        <v>145</v>
      </c>
      <c r="D14" s="104">
        <v>44591.71</v>
      </c>
      <c r="E14" s="104">
        <v>42946.62</v>
      </c>
      <c r="F14" s="104">
        <v>50131.87</v>
      </c>
      <c r="G14" s="104">
        <v>29544.81</v>
      </c>
      <c r="H14" s="104">
        <v>27039.17</v>
      </c>
      <c r="I14" s="104">
        <v>23893.08</v>
      </c>
      <c r="J14" s="104">
        <v>23855.54</v>
      </c>
      <c r="K14" s="104">
        <v>30933.31</v>
      </c>
      <c r="L14" s="104">
        <v>18909.79</v>
      </c>
      <c r="M14" s="104">
        <v>28733.279999999999</v>
      </c>
      <c r="N14" s="104">
        <v>42117.24</v>
      </c>
      <c r="O14" s="104">
        <v>46632.87</v>
      </c>
      <c r="P14" s="106">
        <v>409329.29</v>
      </c>
    </row>
    <row r="15" spans="1:19" customFormat="1" ht="15" hidden="1" thickBot="1" x14ac:dyDescent="0.35">
      <c r="A15" s="103" t="s">
        <v>162</v>
      </c>
      <c r="B15" s="103" t="s">
        <v>144</v>
      </c>
      <c r="C15" s="103" t="s">
        <v>145</v>
      </c>
      <c r="D15" s="104">
        <v>3375.95</v>
      </c>
      <c r="E15" s="104">
        <v>3596.57</v>
      </c>
      <c r="F15" s="104">
        <v>6566.92</v>
      </c>
      <c r="G15" s="104">
        <v>1111.98</v>
      </c>
      <c r="H15" s="104">
        <v>3801.23</v>
      </c>
      <c r="I15" s="104">
        <v>2454.23</v>
      </c>
      <c r="J15" s="104">
        <v>4946.08</v>
      </c>
      <c r="K15" s="104">
        <v>2619.4299999999998</v>
      </c>
      <c r="L15" s="104">
        <v>1217.52</v>
      </c>
      <c r="M15" s="104">
        <v>4369.62</v>
      </c>
      <c r="N15" s="104">
        <v>3355.07</v>
      </c>
      <c r="O15" s="104">
        <v>3021.13</v>
      </c>
      <c r="P15" s="106">
        <v>40435.730000000003</v>
      </c>
    </row>
    <row r="16" spans="1:19" customFormat="1" ht="15" hidden="1" thickBot="1" x14ac:dyDescent="0.35">
      <c r="A16" s="103" t="s">
        <v>163</v>
      </c>
      <c r="B16" s="103" t="s">
        <v>144</v>
      </c>
      <c r="C16" s="103" t="s">
        <v>145</v>
      </c>
      <c r="D16" s="107"/>
      <c r="E16" s="107"/>
      <c r="F16" s="108">
        <v>1939.96</v>
      </c>
      <c r="G16" s="108">
        <v>111.92</v>
      </c>
      <c r="H16" s="108">
        <v>167.11</v>
      </c>
      <c r="I16" s="107"/>
      <c r="J16" s="107"/>
      <c r="K16" s="107"/>
      <c r="L16" s="108">
        <v>-376</v>
      </c>
      <c r="M16" s="107"/>
      <c r="N16" s="108">
        <v>22</v>
      </c>
      <c r="O16" s="108">
        <v>107.54</v>
      </c>
      <c r="P16" s="106">
        <v>1972.53</v>
      </c>
    </row>
    <row r="17" spans="1:16" customFormat="1" ht="15" hidden="1" thickBot="1" x14ac:dyDescent="0.35">
      <c r="A17" s="103" t="s">
        <v>164</v>
      </c>
      <c r="B17" s="103" t="s">
        <v>144</v>
      </c>
      <c r="C17" s="103" t="s">
        <v>145</v>
      </c>
      <c r="D17" s="108">
        <v>17498.169999999998</v>
      </c>
      <c r="E17" s="108">
        <v>40942.28</v>
      </c>
      <c r="F17" s="108">
        <v>22930.32</v>
      </c>
      <c r="G17" s="108">
        <v>36576.199999999997</v>
      </c>
      <c r="H17" s="108">
        <v>24207.68</v>
      </c>
      <c r="I17" s="108">
        <v>22896.66</v>
      </c>
      <c r="J17" s="108">
        <v>35857.1</v>
      </c>
      <c r="K17" s="108">
        <v>13076.2</v>
      </c>
      <c r="L17" s="108">
        <v>29716.82</v>
      </c>
      <c r="M17" s="108">
        <v>20528.52</v>
      </c>
      <c r="N17" s="108">
        <v>36381.449999999997</v>
      </c>
      <c r="O17" s="108">
        <v>33958.379999999997</v>
      </c>
      <c r="P17" s="106">
        <v>334569.78000000003</v>
      </c>
    </row>
    <row r="18" spans="1:16" customFormat="1" ht="15" hidden="1" thickBot="1" x14ac:dyDescent="0.35">
      <c r="A18" s="103" t="s">
        <v>165</v>
      </c>
      <c r="B18" s="103" t="s">
        <v>144</v>
      </c>
      <c r="C18" s="103" t="s">
        <v>145</v>
      </c>
      <c r="D18" s="105"/>
      <c r="E18" s="104">
        <v>708.68</v>
      </c>
      <c r="F18" s="105"/>
      <c r="G18" s="104">
        <v>24.15</v>
      </c>
      <c r="H18" s="105"/>
      <c r="I18" s="105"/>
      <c r="J18" s="105"/>
      <c r="K18" s="105"/>
      <c r="L18" s="105"/>
      <c r="M18" s="105"/>
      <c r="N18" s="105"/>
      <c r="O18" s="105"/>
      <c r="P18" s="106">
        <v>732.83</v>
      </c>
    </row>
    <row r="19" spans="1:16" customFormat="1" ht="15" hidden="1" thickBot="1" x14ac:dyDescent="0.35">
      <c r="A19" s="103" t="s">
        <v>166</v>
      </c>
      <c r="B19" s="103" t="s">
        <v>144</v>
      </c>
      <c r="C19" s="103" t="s">
        <v>145</v>
      </c>
      <c r="D19" s="108">
        <v>95569.79</v>
      </c>
      <c r="E19" s="108">
        <v>90604.56</v>
      </c>
      <c r="F19" s="108">
        <v>125331.58</v>
      </c>
      <c r="G19" s="108">
        <v>58488.88</v>
      </c>
      <c r="H19" s="108">
        <v>95481.14</v>
      </c>
      <c r="I19" s="108">
        <v>116959.26</v>
      </c>
      <c r="J19" s="108">
        <v>105402.68</v>
      </c>
      <c r="K19" s="108">
        <v>88390.7</v>
      </c>
      <c r="L19" s="108">
        <v>75475.259999999995</v>
      </c>
      <c r="M19" s="108">
        <v>114038.72</v>
      </c>
      <c r="N19" s="108">
        <v>112936.63</v>
      </c>
      <c r="O19" s="108">
        <v>116974.57</v>
      </c>
      <c r="P19" s="106">
        <v>1195653.77</v>
      </c>
    </row>
    <row r="20" spans="1:16" customFormat="1" ht="15" hidden="1" thickBot="1" x14ac:dyDescent="0.35">
      <c r="A20" s="103" t="s">
        <v>167</v>
      </c>
      <c r="B20" s="103" t="s">
        <v>144</v>
      </c>
      <c r="C20" s="103" t="s">
        <v>145</v>
      </c>
      <c r="D20" s="108">
        <v>15686.75</v>
      </c>
      <c r="E20" s="108">
        <v>20458.27</v>
      </c>
      <c r="F20" s="108">
        <v>12075.24</v>
      </c>
      <c r="G20" s="108">
        <v>25021.759999999998</v>
      </c>
      <c r="H20" s="108">
        <v>14475.82</v>
      </c>
      <c r="I20" s="108">
        <v>10068.64</v>
      </c>
      <c r="J20" s="108">
        <v>6634.01</v>
      </c>
      <c r="K20" s="108">
        <v>4706.43</v>
      </c>
      <c r="L20" s="108">
        <v>3017.33</v>
      </c>
      <c r="M20" s="108">
        <v>13624.23</v>
      </c>
      <c r="N20" s="108">
        <v>13966.4</v>
      </c>
      <c r="O20" s="108">
        <v>20669.810000000001</v>
      </c>
      <c r="P20" s="106">
        <v>160404.69</v>
      </c>
    </row>
    <row r="21" spans="1:16" customFormat="1" ht="15" hidden="1" thickBot="1" x14ac:dyDescent="0.35">
      <c r="A21" s="103" t="s">
        <v>168</v>
      </c>
      <c r="B21" s="103" t="s">
        <v>144</v>
      </c>
      <c r="C21" s="103" t="s">
        <v>145</v>
      </c>
      <c r="D21" s="104">
        <v>10281.299999999999</v>
      </c>
      <c r="E21" s="104">
        <v>3535.15</v>
      </c>
      <c r="F21" s="104">
        <v>9984.17</v>
      </c>
      <c r="G21" s="104">
        <v>11951.74</v>
      </c>
      <c r="H21" s="104">
        <v>19951.599999999999</v>
      </c>
      <c r="I21" s="104">
        <v>6273.81</v>
      </c>
      <c r="J21" s="104">
        <v>5052.1899999999996</v>
      </c>
      <c r="K21" s="104">
        <v>13671.69</v>
      </c>
      <c r="L21" s="104">
        <v>6706.72</v>
      </c>
      <c r="M21" s="104">
        <v>7547.19</v>
      </c>
      <c r="N21" s="104">
        <v>7622.14</v>
      </c>
      <c r="O21" s="104">
        <v>7469.61</v>
      </c>
      <c r="P21" s="106">
        <v>110047.31</v>
      </c>
    </row>
    <row r="22" spans="1:16" customFormat="1" ht="15" hidden="1" thickBot="1" x14ac:dyDescent="0.35">
      <c r="A22" s="103" t="s">
        <v>169</v>
      </c>
      <c r="B22" s="103" t="s">
        <v>144</v>
      </c>
      <c r="C22" s="103" t="s">
        <v>145</v>
      </c>
      <c r="D22" s="104">
        <v>91763.520000000004</v>
      </c>
      <c r="E22" s="104">
        <v>81683.92</v>
      </c>
      <c r="F22" s="104">
        <v>93509.07</v>
      </c>
      <c r="G22" s="104">
        <v>119061.17</v>
      </c>
      <c r="H22" s="104">
        <v>60118.61</v>
      </c>
      <c r="I22" s="104">
        <v>58778.31</v>
      </c>
      <c r="J22" s="104">
        <v>58181.73</v>
      </c>
      <c r="K22" s="104">
        <v>67106.64</v>
      </c>
      <c r="L22" s="104">
        <v>92463.29</v>
      </c>
      <c r="M22" s="104">
        <v>86087.18</v>
      </c>
      <c r="N22" s="104">
        <v>54583.32</v>
      </c>
      <c r="O22" s="104">
        <v>106421.01</v>
      </c>
      <c r="P22" s="106">
        <v>969757.77</v>
      </c>
    </row>
    <row r="23" spans="1:16" customFormat="1" ht="15" hidden="1" thickBot="1" x14ac:dyDescent="0.35">
      <c r="A23" s="103" t="s">
        <v>170</v>
      </c>
      <c r="B23" s="103" t="s">
        <v>144</v>
      </c>
      <c r="C23" s="103" t="s">
        <v>145</v>
      </c>
      <c r="D23" s="104">
        <v>7783.65</v>
      </c>
      <c r="E23" s="104">
        <v>2130.25</v>
      </c>
      <c r="F23" s="104">
        <v>8882.18</v>
      </c>
      <c r="G23" s="104">
        <v>6259.63</v>
      </c>
      <c r="H23" s="104">
        <v>5852.63</v>
      </c>
      <c r="I23" s="104">
        <v>6778.16</v>
      </c>
      <c r="J23" s="104">
        <v>8879.08</v>
      </c>
      <c r="K23" s="104">
        <v>9760.85</v>
      </c>
      <c r="L23" s="104">
        <v>3013.85</v>
      </c>
      <c r="M23" s="104">
        <v>6287.88</v>
      </c>
      <c r="N23" s="104">
        <v>7632.57</v>
      </c>
      <c r="O23" s="104">
        <v>4917.33</v>
      </c>
      <c r="P23" s="106">
        <v>78178.06</v>
      </c>
    </row>
    <row r="24" spans="1:16" customFormat="1" ht="15" hidden="1" thickBot="1" x14ac:dyDescent="0.35">
      <c r="A24" s="103" t="s">
        <v>171</v>
      </c>
      <c r="B24" s="103" t="s">
        <v>144</v>
      </c>
      <c r="C24" s="103" t="s">
        <v>145</v>
      </c>
      <c r="D24" s="107"/>
      <c r="E24" s="108">
        <v>8.6300000000000008</v>
      </c>
      <c r="F24" s="107"/>
      <c r="G24" s="107"/>
      <c r="H24" s="107"/>
      <c r="I24" s="107"/>
      <c r="J24" s="107"/>
      <c r="K24" s="108">
        <v>1.17</v>
      </c>
      <c r="L24" s="108">
        <v>58.71</v>
      </c>
      <c r="M24" s="108">
        <v>11.59</v>
      </c>
      <c r="N24" s="107"/>
      <c r="O24" s="107"/>
      <c r="P24" s="106">
        <v>80.099999999999994</v>
      </c>
    </row>
    <row r="25" spans="1:16" customFormat="1" ht="15" hidden="1" thickBot="1" x14ac:dyDescent="0.35">
      <c r="A25" s="103" t="s">
        <v>172</v>
      </c>
      <c r="B25" s="103" t="s">
        <v>144</v>
      </c>
      <c r="C25" s="103" t="s">
        <v>145</v>
      </c>
      <c r="D25" s="107"/>
      <c r="E25" s="108">
        <v>257.60000000000002</v>
      </c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6">
        <v>257.60000000000002</v>
      </c>
    </row>
    <row r="26" spans="1:16" customFormat="1" ht="15" hidden="1" thickBot="1" x14ac:dyDescent="0.35">
      <c r="A26" s="103" t="s">
        <v>173</v>
      </c>
      <c r="B26" s="103" t="s">
        <v>144</v>
      </c>
      <c r="C26" s="103" t="s">
        <v>145</v>
      </c>
      <c r="D26" s="104">
        <v>347.56</v>
      </c>
      <c r="E26" s="104">
        <v>316.20999999999998</v>
      </c>
      <c r="F26" s="104">
        <v>689.28</v>
      </c>
      <c r="G26" s="104">
        <v>277.33999999999997</v>
      </c>
      <c r="H26" s="104">
        <v>158.88999999999999</v>
      </c>
      <c r="I26" s="104">
        <v>411.27</v>
      </c>
      <c r="J26" s="104">
        <v>247.61</v>
      </c>
      <c r="K26" s="104">
        <v>356.88</v>
      </c>
      <c r="L26" s="104">
        <v>132.53</v>
      </c>
      <c r="M26" s="104">
        <v>547.46</v>
      </c>
      <c r="N26" s="104">
        <v>382.46</v>
      </c>
      <c r="O26" s="104">
        <v>308.02999999999997</v>
      </c>
      <c r="P26" s="106">
        <v>4175.5200000000004</v>
      </c>
    </row>
    <row r="27" spans="1:16" customFormat="1" ht="15" hidden="1" thickBot="1" x14ac:dyDescent="0.35">
      <c r="A27" s="103" t="s">
        <v>174</v>
      </c>
      <c r="B27" s="103" t="s">
        <v>144</v>
      </c>
      <c r="C27" s="103" t="s">
        <v>145</v>
      </c>
      <c r="D27" s="104">
        <v>-32410.09</v>
      </c>
      <c r="E27" s="104">
        <v>12450.16</v>
      </c>
      <c r="F27" s="104">
        <v>18836.39</v>
      </c>
      <c r="G27" s="104">
        <v>18175.46</v>
      </c>
      <c r="H27" s="104">
        <v>28283.85</v>
      </c>
      <c r="I27" s="104">
        <v>28140.76</v>
      </c>
      <c r="J27" s="104">
        <v>34278.050000000003</v>
      </c>
      <c r="K27" s="104">
        <v>17682.93</v>
      </c>
      <c r="L27" s="104">
        <v>6867.05</v>
      </c>
      <c r="M27" s="104">
        <v>13657.14</v>
      </c>
      <c r="N27" s="104">
        <v>12598.94</v>
      </c>
      <c r="O27" s="104">
        <v>13137.03</v>
      </c>
      <c r="P27" s="106">
        <v>171697.67</v>
      </c>
    </row>
    <row r="28" spans="1:16" customFormat="1" ht="15" hidden="1" thickBot="1" x14ac:dyDescent="0.35">
      <c r="A28" s="103" t="s">
        <v>175</v>
      </c>
      <c r="B28" s="103" t="s">
        <v>176</v>
      </c>
      <c r="C28" s="103" t="s">
        <v>177</v>
      </c>
      <c r="D28" s="108">
        <v>63006.81</v>
      </c>
      <c r="E28" s="108">
        <v>13142.25</v>
      </c>
      <c r="F28" s="108">
        <v>18251.560000000001</v>
      </c>
      <c r="G28" s="108">
        <v>13942.53</v>
      </c>
      <c r="H28" s="108">
        <v>12502.29</v>
      </c>
      <c r="I28" s="108">
        <v>12502.29</v>
      </c>
      <c r="J28" s="108">
        <v>12502.29</v>
      </c>
      <c r="K28" s="108">
        <v>39159.42</v>
      </c>
      <c r="L28" s="108">
        <v>12502.29</v>
      </c>
      <c r="M28" s="108">
        <v>15500.41</v>
      </c>
      <c r="N28" s="108">
        <v>36908.870000000003</v>
      </c>
      <c r="O28" s="108">
        <v>39677.5</v>
      </c>
      <c r="P28" s="106">
        <v>289598.51</v>
      </c>
    </row>
    <row r="29" spans="1:16" customFormat="1" ht="15" hidden="1" thickBot="1" x14ac:dyDescent="0.35">
      <c r="A29" s="103" t="s">
        <v>154</v>
      </c>
      <c r="B29" s="103" t="s">
        <v>176</v>
      </c>
      <c r="C29" s="103" t="s">
        <v>177</v>
      </c>
      <c r="D29" s="104">
        <v>92477.82</v>
      </c>
      <c r="E29" s="104">
        <v>89101.08</v>
      </c>
      <c r="F29" s="104">
        <v>93284.06</v>
      </c>
      <c r="G29" s="104">
        <v>89169.01</v>
      </c>
      <c r="H29" s="104">
        <v>89324.47</v>
      </c>
      <c r="I29" s="104">
        <v>162274.92000000001</v>
      </c>
      <c r="J29" s="104">
        <v>98294.35</v>
      </c>
      <c r="K29" s="104">
        <v>84427.59</v>
      </c>
      <c r="L29" s="104">
        <v>85339.4</v>
      </c>
      <c r="M29" s="104">
        <v>88987.22</v>
      </c>
      <c r="N29" s="104">
        <v>92870.2</v>
      </c>
      <c r="O29" s="104">
        <v>83274.42</v>
      </c>
      <c r="P29" s="106">
        <v>1148824.54</v>
      </c>
    </row>
    <row r="30" spans="1:16" customFormat="1" ht="15" hidden="1" thickBot="1" x14ac:dyDescent="0.35">
      <c r="A30" s="103" t="s">
        <v>173</v>
      </c>
      <c r="B30" s="103" t="s">
        <v>176</v>
      </c>
      <c r="C30" s="103" t="s">
        <v>177</v>
      </c>
      <c r="D30" s="107"/>
      <c r="E30" s="107"/>
      <c r="F30" s="107"/>
      <c r="G30" s="107"/>
      <c r="H30" s="107"/>
      <c r="I30" s="107"/>
      <c r="J30" s="107"/>
      <c r="K30" s="108">
        <v>5000</v>
      </c>
      <c r="L30" s="107"/>
      <c r="M30" s="107"/>
      <c r="N30" s="107"/>
      <c r="O30" s="108">
        <v>746.25</v>
      </c>
      <c r="P30" s="106">
        <v>5746.25</v>
      </c>
    </row>
    <row r="31" spans="1:16" customFormat="1" ht="15" hidden="1" thickBot="1" x14ac:dyDescent="0.35">
      <c r="A31" s="103" t="s">
        <v>175</v>
      </c>
      <c r="B31" s="103" t="s">
        <v>178</v>
      </c>
      <c r="C31" s="103" t="s">
        <v>179</v>
      </c>
      <c r="D31" s="104">
        <v>300</v>
      </c>
      <c r="E31" s="104">
        <v>300</v>
      </c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6">
        <v>600</v>
      </c>
    </row>
    <row r="32" spans="1:16" customFormat="1" ht="15" hidden="1" thickBot="1" x14ac:dyDescent="0.35">
      <c r="A32" s="103" t="s">
        <v>180</v>
      </c>
      <c r="B32" s="103" t="s">
        <v>178</v>
      </c>
      <c r="C32" s="103" t="s">
        <v>179</v>
      </c>
      <c r="D32" s="107"/>
      <c r="E32" s="108">
        <v>0.01</v>
      </c>
      <c r="F32" s="108">
        <v>0.01</v>
      </c>
      <c r="G32" s="107"/>
      <c r="H32" s="108">
        <v>0.01</v>
      </c>
      <c r="I32" s="108">
        <v>0.01</v>
      </c>
      <c r="J32" s="108">
        <v>0.01</v>
      </c>
      <c r="K32" s="108">
        <v>0.01</v>
      </c>
      <c r="L32" s="108">
        <v>0.01</v>
      </c>
      <c r="M32" s="108">
        <v>0.01</v>
      </c>
      <c r="N32" s="108">
        <v>0.01</v>
      </c>
      <c r="O32" s="107"/>
      <c r="P32" s="106">
        <v>0.09</v>
      </c>
    </row>
    <row r="33" spans="1:16" customFormat="1" ht="15" hidden="1" thickBot="1" x14ac:dyDescent="0.35">
      <c r="A33" s="103" t="s">
        <v>143</v>
      </c>
      <c r="B33" s="103" t="s">
        <v>178</v>
      </c>
      <c r="C33" s="103" t="s">
        <v>179</v>
      </c>
      <c r="D33" s="108">
        <v>4015.93</v>
      </c>
      <c r="E33" s="108">
        <v>-3086.95</v>
      </c>
      <c r="F33" s="108">
        <v>6041.3</v>
      </c>
      <c r="G33" s="108">
        <v>2989.16</v>
      </c>
      <c r="H33" s="108">
        <v>19.29</v>
      </c>
      <c r="I33" s="108">
        <v>2687.49</v>
      </c>
      <c r="J33" s="108">
        <v>-216.57</v>
      </c>
      <c r="K33" s="108">
        <v>-216.3</v>
      </c>
      <c r="L33" s="108">
        <v>-230.73</v>
      </c>
      <c r="M33" s="108">
        <v>-208.41</v>
      </c>
      <c r="N33" s="108">
        <v>-502.5</v>
      </c>
      <c r="O33" s="108">
        <v>-137.55000000000001</v>
      </c>
      <c r="P33" s="106">
        <v>11154.16</v>
      </c>
    </row>
    <row r="34" spans="1:16" customFormat="1" ht="15" hidden="1" thickBot="1" x14ac:dyDescent="0.35">
      <c r="A34" s="103" t="s">
        <v>181</v>
      </c>
      <c r="B34" s="103" t="s">
        <v>178</v>
      </c>
      <c r="C34" s="103" t="s">
        <v>179</v>
      </c>
      <c r="D34" s="108">
        <v>-134.29</v>
      </c>
      <c r="E34" s="108">
        <v>-117.04</v>
      </c>
      <c r="F34" s="107"/>
      <c r="G34" s="108">
        <v>-123.2</v>
      </c>
      <c r="H34" s="108">
        <v>-129.36000000000001</v>
      </c>
      <c r="I34" s="108">
        <v>-135.52000000000001</v>
      </c>
      <c r="J34" s="107"/>
      <c r="K34" s="107"/>
      <c r="L34" s="107"/>
      <c r="M34" s="107"/>
      <c r="N34" s="108">
        <v>-135.52000000000001</v>
      </c>
      <c r="O34" s="107"/>
      <c r="P34" s="106">
        <v>-774.93</v>
      </c>
    </row>
    <row r="35" spans="1:16" customFormat="1" ht="15" hidden="1" thickBot="1" x14ac:dyDescent="0.35">
      <c r="A35" s="103" t="s">
        <v>182</v>
      </c>
      <c r="B35" s="103" t="s">
        <v>178</v>
      </c>
      <c r="C35" s="103" t="s">
        <v>179</v>
      </c>
      <c r="D35" s="108">
        <v>23204.85</v>
      </c>
      <c r="E35" s="108">
        <v>7775.09</v>
      </c>
      <c r="F35" s="108">
        <v>3319.88</v>
      </c>
      <c r="G35" s="108">
        <v>2469.8000000000002</v>
      </c>
      <c r="H35" s="108">
        <v>2161.81</v>
      </c>
      <c r="I35" s="108">
        <v>-7167.95</v>
      </c>
      <c r="J35" s="107"/>
      <c r="K35" s="107"/>
      <c r="L35" s="107"/>
      <c r="M35" s="107"/>
      <c r="N35" s="107"/>
      <c r="O35" s="107"/>
      <c r="P35" s="106">
        <v>31763.48</v>
      </c>
    </row>
    <row r="36" spans="1:16" customFormat="1" ht="15" hidden="1" thickBot="1" x14ac:dyDescent="0.35">
      <c r="A36" s="103" t="s">
        <v>183</v>
      </c>
      <c r="B36" s="103" t="s">
        <v>178</v>
      </c>
      <c r="C36" s="103" t="s">
        <v>179</v>
      </c>
      <c r="D36" s="108">
        <v>3468.75</v>
      </c>
      <c r="E36" s="108">
        <v>6618.34</v>
      </c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6">
        <v>10087.09</v>
      </c>
    </row>
    <row r="37" spans="1:16" customFormat="1" ht="15" hidden="1" thickBot="1" x14ac:dyDescent="0.35">
      <c r="A37" s="103" t="s">
        <v>184</v>
      </c>
      <c r="B37" s="103" t="s">
        <v>178</v>
      </c>
      <c r="C37" s="103" t="s">
        <v>179</v>
      </c>
      <c r="D37" s="104">
        <v>21970.09</v>
      </c>
      <c r="E37" s="104">
        <v>-308.10000000000002</v>
      </c>
      <c r="F37" s="104">
        <v>-5723.36</v>
      </c>
      <c r="G37" s="104">
        <v>10674.75</v>
      </c>
      <c r="H37" s="104">
        <v>-21100.14</v>
      </c>
      <c r="I37" s="104">
        <v>92.67</v>
      </c>
      <c r="J37" s="104">
        <v>1337.75</v>
      </c>
      <c r="K37" s="104">
        <v>272.94</v>
      </c>
      <c r="L37" s="104">
        <v>64.959999999999994</v>
      </c>
      <c r="M37" s="104">
        <v>222.72</v>
      </c>
      <c r="N37" s="104">
        <v>69.58</v>
      </c>
      <c r="O37" s="104">
        <v>82.52</v>
      </c>
      <c r="P37" s="106">
        <v>7656.38</v>
      </c>
    </row>
    <row r="38" spans="1:16" customFormat="1" ht="15" hidden="1" thickBot="1" x14ac:dyDescent="0.35">
      <c r="A38" s="103" t="s">
        <v>185</v>
      </c>
      <c r="B38" s="103" t="s">
        <v>178</v>
      </c>
      <c r="C38" s="103" t="s">
        <v>179</v>
      </c>
      <c r="D38" s="107"/>
      <c r="E38" s="107"/>
      <c r="F38" s="107"/>
      <c r="G38" s="108">
        <v>-3004.97</v>
      </c>
      <c r="H38" s="108">
        <v>-25884.05</v>
      </c>
      <c r="I38" s="108">
        <v>28889.02</v>
      </c>
      <c r="J38" s="107"/>
      <c r="K38" s="107"/>
      <c r="L38" s="107"/>
      <c r="M38" s="107"/>
      <c r="N38" s="107"/>
      <c r="O38" s="107"/>
      <c r="P38" s="109">
        <v>0</v>
      </c>
    </row>
    <row r="39" spans="1:16" customFormat="1" ht="15" hidden="1" thickBot="1" x14ac:dyDescent="0.35">
      <c r="A39" s="103" t="s">
        <v>148</v>
      </c>
      <c r="B39" s="103" t="s">
        <v>178</v>
      </c>
      <c r="C39" s="103" t="s">
        <v>179</v>
      </c>
      <c r="D39" s="104">
        <v>4642.71</v>
      </c>
      <c r="E39" s="104">
        <v>5831.82</v>
      </c>
      <c r="F39" s="104">
        <v>647.5</v>
      </c>
      <c r="G39" s="105"/>
      <c r="H39" s="104">
        <v>19.3</v>
      </c>
      <c r="I39" s="105"/>
      <c r="J39" s="104">
        <v>409.77</v>
      </c>
      <c r="K39" s="105"/>
      <c r="L39" s="104">
        <v>620.51</v>
      </c>
      <c r="M39" s="105"/>
      <c r="N39" s="105"/>
      <c r="O39" s="105"/>
      <c r="P39" s="106">
        <v>12171.61</v>
      </c>
    </row>
    <row r="40" spans="1:16" customFormat="1" ht="15" hidden="1" thickBot="1" x14ac:dyDescent="0.35">
      <c r="A40" s="103" t="s">
        <v>154</v>
      </c>
      <c r="B40" s="103" t="s">
        <v>178</v>
      </c>
      <c r="C40" s="103" t="s">
        <v>179</v>
      </c>
      <c r="D40" s="108">
        <v>-319.54000000000002</v>
      </c>
      <c r="E40" s="108">
        <v>-3.31</v>
      </c>
      <c r="F40" s="108">
        <v>7.92</v>
      </c>
      <c r="G40" s="107"/>
      <c r="H40" s="107"/>
      <c r="I40" s="107"/>
      <c r="J40" s="107"/>
      <c r="K40" s="107"/>
      <c r="L40" s="108">
        <v>181.46</v>
      </c>
      <c r="M40" s="107"/>
      <c r="N40" s="107"/>
      <c r="O40" s="107"/>
      <c r="P40" s="106">
        <v>-133.47</v>
      </c>
    </row>
    <row r="41" spans="1:16" customFormat="1" ht="15" hidden="1" thickBot="1" x14ac:dyDescent="0.35">
      <c r="A41" s="103" t="s">
        <v>175</v>
      </c>
      <c r="B41" s="103" t="s">
        <v>186</v>
      </c>
      <c r="C41" s="103" t="s">
        <v>187</v>
      </c>
      <c r="D41" s="107"/>
      <c r="E41" s="108">
        <v>134.46</v>
      </c>
      <c r="F41" s="108">
        <v>15.92</v>
      </c>
      <c r="G41" s="107"/>
      <c r="H41" s="108">
        <v>5.97</v>
      </c>
      <c r="I41" s="107"/>
      <c r="J41" s="108">
        <v>57.25</v>
      </c>
      <c r="K41" s="108">
        <v>11.21</v>
      </c>
      <c r="L41" s="107"/>
      <c r="M41" s="108">
        <v>24.36</v>
      </c>
      <c r="N41" s="107"/>
      <c r="O41" s="107"/>
      <c r="P41" s="106">
        <v>249.17</v>
      </c>
    </row>
    <row r="42" spans="1:16" customFormat="1" ht="15" hidden="1" thickBot="1" x14ac:dyDescent="0.35">
      <c r="A42" s="103" t="s">
        <v>143</v>
      </c>
      <c r="B42" s="103" t="s">
        <v>186</v>
      </c>
      <c r="C42" s="103" t="s">
        <v>187</v>
      </c>
      <c r="D42" s="104">
        <v>3455.86</v>
      </c>
      <c r="E42" s="104">
        <v>3649.97</v>
      </c>
      <c r="F42" s="104">
        <v>3664.59</v>
      </c>
      <c r="G42" s="104">
        <v>3533.23</v>
      </c>
      <c r="H42" s="104">
        <v>2934.78</v>
      </c>
      <c r="I42" s="104">
        <v>3993</v>
      </c>
      <c r="J42" s="104">
        <v>3631.75</v>
      </c>
      <c r="K42" s="104">
        <v>3883.53</v>
      </c>
      <c r="L42" s="104">
        <v>3290.56</v>
      </c>
      <c r="M42" s="104">
        <v>4141.26</v>
      </c>
      <c r="N42" s="104">
        <v>3336.18</v>
      </c>
      <c r="O42" s="104">
        <v>3555.12</v>
      </c>
      <c r="P42" s="106">
        <v>43069.83</v>
      </c>
    </row>
    <row r="43" spans="1:16" customFormat="1" ht="15" hidden="1" thickBot="1" x14ac:dyDescent="0.35">
      <c r="A43" s="103" t="s">
        <v>183</v>
      </c>
      <c r="B43" s="103" t="s">
        <v>186</v>
      </c>
      <c r="C43" s="103" t="s">
        <v>187</v>
      </c>
      <c r="D43" s="104">
        <v>6911.75</v>
      </c>
      <c r="E43" s="104">
        <v>7299.9</v>
      </c>
      <c r="F43" s="104">
        <v>7329.16</v>
      </c>
      <c r="G43" s="104">
        <v>7066.42</v>
      </c>
      <c r="H43" s="104">
        <v>5869.65</v>
      </c>
      <c r="I43" s="104">
        <v>7985.94</v>
      </c>
      <c r="J43" s="104">
        <v>7263.46</v>
      </c>
      <c r="K43" s="104">
        <v>7767.01</v>
      </c>
      <c r="L43" s="104">
        <v>6581.14</v>
      </c>
      <c r="M43" s="104">
        <v>8282.44</v>
      </c>
      <c r="N43" s="104">
        <v>6672.35</v>
      </c>
      <c r="O43" s="104">
        <v>7110.21</v>
      </c>
      <c r="P43" s="106">
        <v>86139.43</v>
      </c>
    </row>
    <row r="44" spans="1:16" customFormat="1" ht="15" hidden="1" thickBot="1" x14ac:dyDescent="0.35">
      <c r="A44" s="103" t="s">
        <v>184</v>
      </c>
      <c r="B44" s="103" t="s">
        <v>186</v>
      </c>
      <c r="C44" s="103" t="s">
        <v>187</v>
      </c>
      <c r="D44" s="108">
        <v>6911.72</v>
      </c>
      <c r="E44" s="108">
        <v>7299.94</v>
      </c>
      <c r="F44" s="108">
        <v>7329.18</v>
      </c>
      <c r="G44" s="108">
        <v>7066.46</v>
      </c>
      <c r="H44" s="108">
        <v>5869.56</v>
      </c>
      <c r="I44" s="108">
        <v>7986</v>
      </c>
      <c r="J44" s="108">
        <v>7263.5</v>
      </c>
      <c r="K44" s="108">
        <v>7767.06</v>
      </c>
      <c r="L44" s="108">
        <v>6581.12</v>
      </c>
      <c r="M44" s="108">
        <v>8282.52</v>
      </c>
      <c r="N44" s="108">
        <v>6672.36</v>
      </c>
      <c r="O44" s="108">
        <v>7110.24</v>
      </c>
      <c r="P44" s="106">
        <v>86139.66</v>
      </c>
    </row>
    <row r="45" spans="1:16" customFormat="1" ht="15" hidden="1" thickBot="1" x14ac:dyDescent="0.35">
      <c r="A45" s="103" t="s">
        <v>154</v>
      </c>
      <c r="B45" s="103" t="s">
        <v>186</v>
      </c>
      <c r="C45" s="103" t="s">
        <v>187</v>
      </c>
      <c r="D45" s="104">
        <v>160137.18</v>
      </c>
      <c r="E45" s="104">
        <v>165486.1</v>
      </c>
      <c r="F45" s="104">
        <v>166421.69</v>
      </c>
      <c r="G45" s="104">
        <v>176775.12</v>
      </c>
      <c r="H45" s="104">
        <v>157565.07999999999</v>
      </c>
      <c r="I45" s="104">
        <v>162036.32</v>
      </c>
      <c r="J45" s="104">
        <v>150675.03</v>
      </c>
      <c r="K45" s="104">
        <v>149015.81</v>
      </c>
      <c r="L45" s="104">
        <v>152865.72</v>
      </c>
      <c r="M45" s="104">
        <v>161142.35</v>
      </c>
      <c r="N45" s="104">
        <v>164518.91</v>
      </c>
      <c r="O45" s="104">
        <v>147362.99</v>
      </c>
      <c r="P45" s="106">
        <v>1914002.3</v>
      </c>
    </row>
    <row r="46" spans="1:16" customFormat="1" ht="15" hidden="1" thickBot="1" x14ac:dyDescent="0.35">
      <c r="A46" s="103" t="s">
        <v>157</v>
      </c>
      <c r="B46" s="103" t="s">
        <v>149</v>
      </c>
      <c r="C46" s="103" t="s">
        <v>150</v>
      </c>
      <c r="D46" s="107"/>
      <c r="E46" s="107"/>
      <c r="F46" s="108">
        <v>681.51</v>
      </c>
      <c r="G46" s="108">
        <v>34.409999999999997</v>
      </c>
      <c r="H46" s="107"/>
      <c r="I46" s="107"/>
      <c r="J46" s="107"/>
      <c r="K46" s="107"/>
      <c r="L46" s="107"/>
      <c r="M46" s="107"/>
      <c r="N46" s="107"/>
      <c r="O46" s="107"/>
      <c r="P46" s="106">
        <v>715.92</v>
      </c>
    </row>
    <row r="47" spans="1:16" customFormat="1" ht="15" hidden="1" thickBot="1" x14ac:dyDescent="0.35">
      <c r="A47" s="103" t="s">
        <v>161</v>
      </c>
      <c r="B47" s="103" t="s">
        <v>149</v>
      </c>
      <c r="C47" s="103" t="s">
        <v>150</v>
      </c>
      <c r="D47" s="108">
        <v>791.1</v>
      </c>
      <c r="E47" s="108">
        <v>808.3</v>
      </c>
      <c r="F47" s="108">
        <v>877.46</v>
      </c>
      <c r="G47" s="108">
        <v>842.4</v>
      </c>
      <c r="H47" s="108">
        <v>946.29</v>
      </c>
      <c r="I47" s="108">
        <v>1238.77</v>
      </c>
      <c r="J47" s="108">
        <v>791.44</v>
      </c>
      <c r="K47" s="108">
        <v>997.9</v>
      </c>
      <c r="L47" s="108">
        <v>791.44</v>
      </c>
      <c r="M47" s="108">
        <v>963.49</v>
      </c>
      <c r="N47" s="108">
        <v>1255.98</v>
      </c>
      <c r="O47" s="108">
        <v>1009.76</v>
      </c>
      <c r="P47" s="106">
        <v>11314.33</v>
      </c>
    </row>
    <row r="48" spans="1:16" customFormat="1" ht="15" hidden="1" thickBot="1" x14ac:dyDescent="0.35">
      <c r="A48" s="103" t="s">
        <v>162</v>
      </c>
      <c r="B48" s="103" t="s">
        <v>149</v>
      </c>
      <c r="C48" s="103" t="s">
        <v>150</v>
      </c>
      <c r="D48" s="108">
        <v>1826.96</v>
      </c>
      <c r="E48" s="108">
        <v>1396.08</v>
      </c>
      <c r="F48" s="108">
        <v>512.91999999999996</v>
      </c>
      <c r="G48" s="108">
        <v>1959.98</v>
      </c>
      <c r="H48" s="108">
        <v>2421.04</v>
      </c>
      <c r="I48" s="108">
        <v>1788.91</v>
      </c>
      <c r="J48" s="108">
        <v>1909.79</v>
      </c>
      <c r="K48" s="108">
        <v>962.53</v>
      </c>
      <c r="L48" s="108">
        <v>1873.57</v>
      </c>
      <c r="M48" s="108">
        <v>461.33</v>
      </c>
      <c r="N48" s="108">
        <v>625.75</v>
      </c>
      <c r="O48" s="108">
        <v>1803.77</v>
      </c>
      <c r="P48" s="106">
        <v>17542.63</v>
      </c>
    </row>
    <row r="49" spans="1:19" customFormat="1" ht="15" hidden="1" thickBot="1" x14ac:dyDescent="0.35">
      <c r="A49" s="103" t="s">
        <v>163</v>
      </c>
      <c r="B49" s="103" t="s">
        <v>149</v>
      </c>
      <c r="C49" s="103" t="s">
        <v>150</v>
      </c>
      <c r="D49" s="104">
        <v>59293.01</v>
      </c>
      <c r="E49" s="104">
        <v>51146.2</v>
      </c>
      <c r="F49" s="104">
        <v>50713.45</v>
      </c>
      <c r="G49" s="104">
        <v>53632.46</v>
      </c>
      <c r="H49" s="104">
        <v>54381.87</v>
      </c>
      <c r="I49" s="104">
        <v>49594.34</v>
      </c>
      <c r="J49" s="104">
        <v>46668.45</v>
      </c>
      <c r="K49" s="104">
        <v>50704.2</v>
      </c>
      <c r="L49" s="104">
        <v>49590.6</v>
      </c>
      <c r="M49" s="104">
        <v>56991.02</v>
      </c>
      <c r="N49" s="104">
        <v>49386.18</v>
      </c>
      <c r="O49" s="104">
        <v>46593.07</v>
      </c>
      <c r="P49" s="106">
        <v>618694.85</v>
      </c>
    </row>
    <row r="50" spans="1:19" customFormat="1" ht="15" hidden="1" thickBot="1" x14ac:dyDescent="0.35">
      <c r="A50" s="103" t="s">
        <v>164</v>
      </c>
      <c r="B50" s="103" t="s">
        <v>149</v>
      </c>
      <c r="C50" s="103" t="s">
        <v>150</v>
      </c>
      <c r="D50" s="104">
        <v>1340.47</v>
      </c>
      <c r="E50" s="104">
        <v>68.16</v>
      </c>
      <c r="F50" s="104">
        <v>2063.61</v>
      </c>
      <c r="G50" s="104">
        <v>722.62</v>
      </c>
      <c r="H50" s="104">
        <v>2011.01</v>
      </c>
      <c r="I50" s="104">
        <v>928.08</v>
      </c>
      <c r="J50" s="104">
        <v>240.87</v>
      </c>
      <c r="K50" s="104">
        <v>2353.9499999999998</v>
      </c>
      <c r="L50" s="104">
        <v>2370.66</v>
      </c>
      <c r="M50" s="104">
        <v>1906.95</v>
      </c>
      <c r="N50" s="104">
        <v>5174.09</v>
      </c>
      <c r="O50" s="104">
        <v>2478.81</v>
      </c>
      <c r="P50" s="106">
        <v>21659.279999999999</v>
      </c>
    </row>
    <row r="51" spans="1:19" customFormat="1" ht="15" hidden="1" thickBot="1" x14ac:dyDescent="0.35">
      <c r="A51" s="103" t="s">
        <v>169</v>
      </c>
      <c r="B51" s="103" t="s">
        <v>149</v>
      </c>
      <c r="C51" s="103" t="s">
        <v>150</v>
      </c>
      <c r="D51" s="108">
        <v>1083.49</v>
      </c>
      <c r="E51" s="108">
        <v>1513.4</v>
      </c>
      <c r="F51" s="108">
        <v>997.95</v>
      </c>
      <c r="G51" s="108">
        <v>911.91</v>
      </c>
      <c r="H51" s="108">
        <v>1049.54</v>
      </c>
      <c r="I51" s="108">
        <v>584.32000000000005</v>
      </c>
      <c r="J51" s="108">
        <v>980.71</v>
      </c>
      <c r="K51" s="108">
        <v>757.03</v>
      </c>
      <c r="L51" s="108">
        <v>963.52</v>
      </c>
      <c r="M51" s="108">
        <v>1359.22</v>
      </c>
      <c r="N51" s="108">
        <v>1702.33</v>
      </c>
      <c r="O51" s="108">
        <v>620.04999999999995</v>
      </c>
      <c r="P51" s="106">
        <v>12523.47</v>
      </c>
    </row>
    <row r="52" spans="1:19" customFormat="1" ht="15" hidden="1" thickBot="1" x14ac:dyDescent="0.35">
      <c r="A52" s="123" t="s">
        <v>171</v>
      </c>
      <c r="B52" s="123" t="s">
        <v>149</v>
      </c>
      <c r="C52" s="123" t="s">
        <v>150</v>
      </c>
      <c r="D52" s="105"/>
      <c r="E52" s="104">
        <v>206.37</v>
      </c>
      <c r="F52" s="104">
        <v>17.21</v>
      </c>
      <c r="G52" s="104">
        <v>120.44</v>
      </c>
      <c r="H52" s="105"/>
      <c r="I52" s="105"/>
      <c r="J52" s="104">
        <v>34.409999999999997</v>
      </c>
      <c r="K52" s="104">
        <v>275.27999999999997</v>
      </c>
      <c r="L52" s="104">
        <v>34.409999999999997</v>
      </c>
      <c r="M52" s="104">
        <v>51.62</v>
      </c>
      <c r="N52" s="105"/>
      <c r="O52" s="104">
        <v>106.29</v>
      </c>
      <c r="P52" s="124">
        <v>846.03</v>
      </c>
    </row>
    <row r="53" spans="1:19" ht="15.6" thickBot="1" x14ac:dyDescent="0.35">
      <c r="A53" s="128" t="s">
        <v>173</v>
      </c>
      <c r="B53" s="128" t="s">
        <v>149</v>
      </c>
      <c r="C53" s="130" t="s">
        <v>150</v>
      </c>
      <c r="D53" s="104">
        <v>754</v>
      </c>
      <c r="E53" s="104">
        <v>754</v>
      </c>
      <c r="F53" s="104">
        <v>754</v>
      </c>
      <c r="G53" s="104">
        <v>754</v>
      </c>
      <c r="H53" s="104">
        <v>754</v>
      </c>
      <c r="I53" s="104">
        <v>754</v>
      </c>
      <c r="J53" s="104">
        <v>754</v>
      </c>
      <c r="K53" s="104">
        <v>754</v>
      </c>
      <c r="L53" s="104">
        <v>754</v>
      </c>
      <c r="M53" s="104">
        <v>754</v>
      </c>
      <c r="N53" s="104">
        <v>754</v>
      </c>
      <c r="O53" s="121">
        <v>754</v>
      </c>
      <c r="P53" s="131">
        <v>9048</v>
      </c>
      <c r="R53" s="115" t="s">
        <v>535</v>
      </c>
      <c r="S53" s="117">
        <v>750421</v>
      </c>
    </row>
    <row r="54" spans="1:19" customFormat="1" ht="15" hidden="1" thickBot="1" x14ac:dyDescent="0.35">
      <c r="A54" s="125" t="s">
        <v>188</v>
      </c>
      <c r="B54" s="125" t="s">
        <v>189</v>
      </c>
      <c r="C54" s="125" t="s">
        <v>190</v>
      </c>
      <c r="D54" s="104">
        <v>86813.89</v>
      </c>
      <c r="E54" s="104">
        <v>82611.070000000007</v>
      </c>
      <c r="F54" s="104">
        <v>85876.15</v>
      </c>
      <c r="G54" s="104">
        <v>94652.29</v>
      </c>
      <c r="H54" s="104">
        <v>85487.46</v>
      </c>
      <c r="I54" s="104">
        <v>85489.66</v>
      </c>
      <c r="J54" s="104">
        <v>68598.8</v>
      </c>
      <c r="K54" s="104">
        <v>74179.86</v>
      </c>
      <c r="L54" s="104">
        <v>67455.350000000006</v>
      </c>
      <c r="M54" s="104">
        <v>91177.3</v>
      </c>
      <c r="N54" s="104">
        <v>89000.3</v>
      </c>
      <c r="O54" s="104">
        <v>199655.64</v>
      </c>
      <c r="P54" s="126">
        <v>1110997.77</v>
      </c>
      <c r="R54" s="112"/>
    </row>
    <row r="55" spans="1:19" customFormat="1" ht="15" hidden="1" thickBot="1" x14ac:dyDescent="0.35">
      <c r="A55" s="103" t="s">
        <v>172</v>
      </c>
      <c r="B55" s="103" t="s">
        <v>189</v>
      </c>
      <c r="C55" s="103" t="s">
        <v>190</v>
      </c>
      <c r="D55" s="104">
        <v>91.04</v>
      </c>
      <c r="E55" s="105"/>
      <c r="F55" s="105"/>
      <c r="G55" s="105"/>
      <c r="H55" s="104">
        <v>700</v>
      </c>
      <c r="I55" s="105"/>
      <c r="J55" s="105"/>
      <c r="K55" s="105"/>
      <c r="L55" s="105"/>
      <c r="M55" s="105"/>
      <c r="N55" s="105"/>
      <c r="O55" s="105"/>
      <c r="P55" s="106">
        <v>791.04</v>
      </c>
      <c r="R55" s="112"/>
    </row>
    <row r="56" spans="1:19" customFormat="1" ht="15" hidden="1" thickBot="1" x14ac:dyDescent="0.35">
      <c r="A56" s="103" t="s">
        <v>173</v>
      </c>
      <c r="B56" s="103" t="s">
        <v>189</v>
      </c>
      <c r="C56" s="103" t="s">
        <v>190</v>
      </c>
      <c r="D56" s="107"/>
      <c r="E56" s="107"/>
      <c r="F56" s="107"/>
      <c r="G56" s="107"/>
      <c r="H56" s="107"/>
      <c r="I56" s="107"/>
      <c r="J56" s="107"/>
      <c r="K56" s="107"/>
      <c r="L56" s="107"/>
      <c r="M56" s="108">
        <v>14.4</v>
      </c>
      <c r="N56" s="107"/>
      <c r="O56" s="107"/>
      <c r="P56" s="106">
        <v>14.4</v>
      </c>
      <c r="R56" s="112"/>
    </row>
    <row r="57" spans="1:19" customFormat="1" ht="15" hidden="1" thickBot="1" x14ac:dyDescent="0.35">
      <c r="A57" s="103" t="s">
        <v>188</v>
      </c>
      <c r="B57" s="103" t="s">
        <v>191</v>
      </c>
      <c r="C57" s="103" t="s">
        <v>192</v>
      </c>
      <c r="D57" s="107"/>
      <c r="E57" s="108">
        <v>286.10000000000002</v>
      </c>
      <c r="F57" s="107"/>
      <c r="G57" s="107"/>
      <c r="H57" s="107"/>
      <c r="I57" s="107"/>
      <c r="J57" s="107"/>
      <c r="K57" s="108">
        <v>444.9</v>
      </c>
      <c r="L57" s="107"/>
      <c r="M57" s="107"/>
      <c r="N57" s="107"/>
      <c r="O57" s="108">
        <v>425326.42</v>
      </c>
      <c r="P57" s="106">
        <v>426057.42</v>
      </c>
      <c r="R57" s="112"/>
    </row>
    <row r="58" spans="1:19" customFormat="1" ht="15" hidden="1" thickBot="1" x14ac:dyDescent="0.35">
      <c r="A58" s="103" t="s">
        <v>172</v>
      </c>
      <c r="B58" s="103" t="s">
        <v>191</v>
      </c>
      <c r="C58" s="103" t="s">
        <v>192</v>
      </c>
      <c r="D58" s="108">
        <v>62977.02</v>
      </c>
      <c r="E58" s="108">
        <v>80703.25</v>
      </c>
      <c r="F58" s="108">
        <v>60952.5</v>
      </c>
      <c r="G58" s="108">
        <v>208232.6</v>
      </c>
      <c r="H58" s="108">
        <v>69615.12</v>
      </c>
      <c r="I58" s="108">
        <v>65802.679999999993</v>
      </c>
      <c r="J58" s="108">
        <v>69109.48</v>
      </c>
      <c r="K58" s="108">
        <v>195285.24</v>
      </c>
      <c r="L58" s="108">
        <v>92338.12</v>
      </c>
      <c r="M58" s="108">
        <v>94767.360000000001</v>
      </c>
      <c r="N58" s="108">
        <v>208002.62</v>
      </c>
      <c r="O58" s="108">
        <v>-311772.37</v>
      </c>
      <c r="P58" s="106">
        <v>896013.62</v>
      </c>
      <c r="R58" s="112"/>
    </row>
    <row r="59" spans="1:19" customFormat="1" ht="15" hidden="1" thickBot="1" x14ac:dyDescent="0.35">
      <c r="A59" s="103" t="s">
        <v>173</v>
      </c>
      <c r="B59" s="103" t="s">
        <v>191</v>
      </c>
      <c r="C59" s="103" t="s">
        <v>192</v>
      </c>
      <c r="D59" s="105"/>
      <c r="E59" s="105"/>
      <c r="F59" s="104">
        <v>62.13</v>
      </c>
      <c r="G59" s="104">
        <v>42.51</v>
      </c>
      <c r="H59" s="104">
        <v>20.71</v>
      </c>
      <c r="I59" s="105"/>
      <c r="J59" s="105"/>
      <c r="K59" s="105"/>
      <c r="L59" s="105"/>
      <c r="M59" s="104">
        <v>44.7</v>
      </c>
      <c r="N59" s="104">
        <v>116.63</v>
      </c>
      <c r="O59" s="104">
        <v>85.02</v>
      </c>
      <c r="P59" s="106">
        <v>371.7</v>
      </c>
      <c r="R59" s="112"/>
    </row>
    <row r="60" spans="1:19" customFormat="1" ht="15" hidden="1" thickBot="1" x14ac:dyDescent="0.35">
      <c r="A60" s="103" t="s">
        <v>171</v>
      </c>
      <c r="B60" s="103" t="s">
        <v>193</v>
      </c>
      <c r="C60" s="103" t="s">
        <v>194</v>
      </c>
      <c r="D60" s="108">
        <v>31764.89</v>
      </c>
      <c r="E60" s="108">
        <v>28956.39</v>
      </c>
      <c r="F60" s="108">
        <v>29371.73</v>
      </c>
      <c r="G60" s="108">
        <v>29751.66</v>
      </c>
      <c r="H60" s="108">
        <v>33035.550000000003</v>
      </c>
      <c r="I60" s="108">
        <v>29915.4</v>
      </c>
      <c r="J60" s="108">
        <v>27781.46</v>
      </c>
      <c r="K60" s="108">
        <v>32660.03</v>
      </c>
      <c r="L60" s="108">
        <v>27477.43</v>
      </c>
      <c r="M60" s="108">
        <v>32628.57</v>
      </c>
      <c r="N60" s="108">
        <v>36953.269999999997</v>
      </c>
      <c r="O60" s="108">
        <v>27086.95</v>
      </c>
      <c r="P60" s="106">
        <v>367383.33</v>
      </c>
      <c r="R60" s="112"/>
    </row>
    <row r="61" spans="1:19" customFormat="1" ht="15" hidden="1" thickBot="1" x14ac:dyDescent="0.35">
      <c r="A61" s="103" t="s">
        <v>188</v>
      </c>
      <c r="B61" s="103" t="s">
        <v>193</v>
      </c>
      <c r="C61" s="103" t="s">
        <v>194</v>
      </c>
      <c r="D61" s="104">
        <v>6586.36</v>
      </c>
      <c r="E61" s="104">
        <v>5306.88</v>
      </c>
      <c r="F61" s="104">
        <v>7021.17</v>
      </c>
      <c r="G61" s="104">
        <v>7224.46</v>
      </c>
      <c r="H61" s="104">
        <v>7017.81</v>
      </c>
      <c r="I61" s="104">
        <v>6619.62</v>
      </c>
      <c r="J61" s="104">
        <v>6358.6</v>
      </c>
      <c r="K61" s="104">
        <v>6411</v>
      </c>
      <c r="L61" s="104">
        <v>6646.51</v>
      </c>
      <c r="M61" s="104">
        <v>7450.57</v>
      </c>
      <c r="N61" s="104">
        <v>6800.28</v>
      </c>
      <c r="O61" s="104">
        <v>4889.3500000000004</v>
      </c>
      <c r="P61" s="106">
        <v>78332.61</v>
      </c>
      <c r="R61" s="112"/>
    </row>
    <row r="62" spans="1:19" customFormat="1" ht="15" hidden="1" thickBot="1" x14ac:dyDescent="0.35">
      <c r="A62" s="103" t="s">
        <v>188</v>
      </c>
      <c r="B62" s="103" t="s">
        <v>195</v>
      </c>
      <c r="C62" s="103" t="s">
        <v>196</v>
      </c>
      <c r="D62" s="107"/>
      <c r="E62" s="108">
        <v>1148.5</v>
      </c>
      <c r="F62" s="108">
        <v>604.5</v>
      </c>
      <c r="G62" s="108">
        <v>663.7</v>
      </c>
      <c r="H62" s="108">
        <v>878.6</v>
      </c>
      <c r="I62" s="108">
        <v>516.9</v>
      </c>
      <c r="J62" s="108">
        <v>1230</v>
      </c>
      <c r="K62" s="107"/>
      <c r="L62" s="108">
        <v>642.42999999999995</v>
      </c>
      <c r="M62" s="108">
        <v>668.12</v>
      </c>
      <c r="N62" s="107"/>
      <c r="O62" s="108">
        <v>908.1</v>
      </c>
      <c r="P62" s="106">
        <v>7260.85</v>
      </c>
      <c r="R62" s="112"/>
    </row>
    <row r="63" spans="1:19" customFormat="1" ht="15" hidden="1" thickBot="1" x14ac:dyDescent="0.35">
      <c r="A63" s="103" t="s">
        <v>173</v>
      </c>
      <c r="B63" s="103" t="s">
        <v>195</v>
      </c>
      <c r="C63" s="103" t="s">
        <v>196</v>
      </c>
      <c r="D63" s="108">
        <v>65452.95</v>
      </c>
      <c r="E63" s="108">
        <v>62126.25</v>
      </c>
      <c r="F63" s="108">
        <v>67395.37</v>
      </c>
      <c r="G63" s="108">
        <v>116432.1</v>
      </c>
      <c r="H63" s="108">
        <v>61585.99</v>
      </c>
      <c r="I63" s="108">
        <v>68970.539999999994</v>
      </c>
      <c r="J63" s="108">
        <v>59428.79</v>
      </c>
      <c r="K63" s="108">
        <v>62307.86</v>
      </c>
      <c r="L63" s="108">
        <v>59540.99</v>
      </c>
      <c r="M63" s="108">
        <v>50822.85</v>
      </c>
      <c r="N63" s="108">
        <v>48886.39</v>
      </c>
      <c r="O63" s="108">
        <v>46119</v>
      </c>
      <c r="P63" s="106">
        <v>769069.08</v>
      </c>
      <c r="R63" s="112"/>
    </row>
    <row r="64" spans="1:19" customFormat="1" ht="15" hidden="1" thickBot="1" x14ac:dyDescent="0.35">
      <c r="A64" s="103" t="s">
        <v>184</v>
      </c>
      <c r="B64" s="103" t="s">
        <v>197</v>
      </c>
      <c r="C64" s="103" t="s">
        <v>198</v>
      </c>
      <c r="D64" s="104">
        <v>121512.22</v>
      </c>
      <c r="E64" s="104">
        <v>85959.67</v>
      </c>
      <c r="F64" s="104">
        <v>94293.94</v>
      </c>
      <c r="G64" s="104">
        <v>93487.81</v>
      </c>
      <c r="H64" s="104">
        <v>107505.82</v>
      </c>
      <c r="I64" s="104">
        <v>127711.99</v>
      </c>
      <c r="J64" s="104">
        <v>131725.57</v>
      </c>
      <c r="K64" s="104">
        <v>110993.12</v>
      </c>
      <c r="L64" s="104">
        <v>88639.67</v>
      </c>
      <c r="M64" s="104">
        <v>120506</v>
      </c>
      <c r="N64" s="104">
        <v>147962.46</v>
      </c>
      <c r="O64" s="104">
        <v>135127.60999999999</v>
      </c>
      <c r="P64" s="106">
        <v>1365425.88</v>
      </c>
      <c r="R64" s="112"/>
    </row>
    <row r="65" spans="1:18" customFormat="1" ht="15" hidden="1" thickBot="1" x14ac:dyDescent="0.35">
      <c r="A65" s="103" t="s">
        <v>185</v>
      </c>
      <c r="B65" s="103" t="s">
        <v>197</v>
      </c>
      <c r="C65" s="103" t="s">
        <v>198</v>
      </c>
      <c r="D65" s="105"/>
      <c r="E65" s="105"/>
      <c r="F65" s="105"/>
      <c r="G65" s="105"/>
      <c r="H65" s="105"/>
      <c r="I65" s="104">
        <v>-42937.73</v>
      </c>
      <c r="J65" s="105"/>
      <c r="K65" s="105"/>
      <c r="L65" s="105"/>
      <c r="M65" s="104">
        <v>-7785.2</v>
      </c>
      <c r="N65" s="104">
        <v>-17138.18</v>
      </c>
      <c r="O65" s="104">
        <v>-17145.88</v>
      </c>
      <c r="P65" s="106">
        <v>-85006.99</v>
      </c>
      <c r="R65" s="112"/>
    </row>
    <row r="66" spans="1:18" customFormat="1" ht="15" hidden="1" thickBot="1" x14ac:dyDescent="0.35">
      <c r="A66" s="103" t="s">
        <v>148</v>
      </c>
      <c r="B66" s="103" t="s">
        <v>197</v>
      </c>
      <c r="C66" s="103" t="s">
        <v>198</v>
      </c>
      <c r="D66" s="108">
        <v>41969.55</v>
      </c>
      <c r="E66" s="108">
        <v>44487.77</v>
      </c>
      <c r="F66" s="108">
        <v>33420.21</v>
      </c>
      <c r="G66" s="108">
        <v>58899.42</v>
      </c>
      <c r="H66" s="108">
        <v>54297.93</v>
      </c>
      <c r="I66" s="108">
        <v>39774.25</v>
      </c>
      <c r="J66" s="108">
        <v>46440.56</v>
      </c>
      <c r="K66" s="108">
        <v>12183.32</v>
      </c>
      <c r="L66" s="108">
        <v>53513.02</v>
      </c>
      <c r="M66" s="108">
        <v>52460.14</v>
      </c>
      <c r="N66" s="108">
        <v>59911.040000000001</v>
      </c>
      <c r="O66" s="108">
        <v>47813.25</v>
      </c>
      <c r="P66" s="106">
        <v>545170.46</v>
      </c>
      <c r="R66" s="112"/>
    </row>
    <row r="67" spans="1:18" customFormat="1" ht="15" hidden="1" thickBot="1" x14ac:dyDescent="0.35">
      <c r="A67" s="103" t="s">
        <v>199</v>
      </c>
      <c r="B67" s="103" t="s">
        <v>197</v>
      </c>
      <c r="C67" s="103" t="s">
        <v>198</v>
      </c>
      <c r="D67" s="107"/>
      <c r="E67" s="107"/>
      <c r="F67" s="107"/>
      <c r="G67" s="108">
        <v>121.69</v>
      </c>
      <c r="H67" s="107"/>
      <c r="I67" s="107"/>
      <c r="J67" s="107"/>
      <c r="K67" s="107"/>
      <c r="L67" s="107"/>
      <c r="M67" s="107"/>
      <c r="N67" s="107"/>
      <c r="O67" s="107"/>
      <c r="P67" s="106">
        <v>121.69</v>
      </c>
      <c r="R67" s="112"/>
    </row>
    <row r="68" spans="1:18" customFormat="1" ht="21" hidden="1" thickBot="1" x14ac:dyDescent="0.35">
      <c r="A68" s="103" t="s">
        <v>200</v>
      </c>
      <c r="B68" s="103" t="s">
        <v>201</v>
      </c>
      <c r="C68" s="103" t="s">
        <v>202</v>
      </c>
      <c r="D68" s="108">
        <v>1218.5</v>
      </c>
      <c r="E68" s="108">
        <v>140.01</v>
      </c>
      <c r="F68" s="108">
        <v>115.08</v>
      </c>
      <c r="G68" s="108">
        <v>137.88999999999999</v>
      </c>
      <c r="H68" s="108">
        <v>29.5</v>
      </c>
      <c r="I68" s="108">
        <v>41.5</v>
      </c>
      <c r="J68" s="108">
        <v>86.61</v>
      </c>
      <c r="K68" s="108">
        <v>192.9</v>
      </c>
      <c r="L68" s="108">
        <v>126.94</v>
      </c>
      <c r="M68" s="108">
        <v>55.75</v>
      </c>
      <c r="N68" s="108">
        <v>56</v>
      </c>
      <c r="O68" s="108">
        <v>1711.41</v>
      </c>
      <c r="P68" s="106">
        <v>3912.09</v>
      </c>
      <c r="R68" s="112"/>
    </row>
    <row r="69" spans="1:18" customFormat="1" ht="21" hidden="1" thickBot="1" x14ac:dyDescent="0.35">
      <c r="A69" s="103" t="s">
        <v>188</v>
      </c>
      <c r="B69" s="103" t="s">
        <v>201</v>
      </c>
      <c r="C69" s="103" t="s">
        <v>202</v>
      </c>
      <c r="D69" s="104">
        <v>10266.68</v>
      </c>
      <c r="E69" s="104">
        <v>14099.45</v>
      </c>
      <c r="F69" s="104">
        <v>17434.77</v>
      </c>
      <c r="G69" s="104">
        <v>8445.74</v>
      </c>
      <c r="H69" s="104">
        <v>10805.52</v>
      </c>
      <c r="I69" s="104">
        <v>13075.44</v>
      </c>
      <c r="J69" s="104">
        <v>18024.32</v>
      </c>
      <c r="K69" s="104">
        <v>10581.63</v>
      </c>
      <c r="L69" s="104">
        <v>16683.3</v>
      </c>
      <c r="M69" s="104">
        <v>13353.86</v>
      </c>
      <c r="N69" s="104">
        <v>10692.2</v>
      </c>
      <c r="O69" s="104">
        <v>14447.06</v>
      </c>
      <c r="P69" s="106">
        <v>157909.97</v>
      </c>
      <c r="R69" s="112"/>
    </row>
    <row r="70" spans="1:18" customFormat="1" ht="21" hidden="1" thickBot="1" x14ac:dyDescent="0.35">
      <c r="A70" s="103" t="s">
        <v>199</v>
      </c>
      <c r="B70" s="103" t="s">
        <v>201</v>
      </c>
      <c r="C70" s="103" t="s">
        <v>202</v>
      </c>
      <c r="D70" s="104">
        <v>19314.25</v>
      </c>
      <c r="E70" s="104">
        <v>17996.14</v>
      </c>
      <c r="F70" s="104">
        <v>21539.64</v>
      </c>
      <c r="G70" s="104">
        <v>18545.849999999999</v>
      </c>
      <c r="H70" s="104">
        <v>17495.91</v>
      </c>
      <c r="I70" s="104">
        <v>14661.9</v>
      </c>
      <c r="J70" s="104">
        <v>20409.52</v>
      </c>
      <c r="K70" s="104">
        <v>16507.990000000002</v>
      </c>
      <c r="L70" s="104">
        <v>12768.66</v>
      </c>
      <c r="M70" s="104">
        <v>16285.05</v>
      </c>
      <c r="N70" s="104">
        <v>15660.85</v>
      </c>
      <c r="O70" s="104">
        <v>19802.060000000001</v>
      </c>
      <c r="P70" s="106">
        <v>210987.82</v>
      </c>
      <c r="R70" s="112"/>
    </row>
    <row r="71" spans="1:18" customFormat="1" ht="21" hidden="1" thickBot="1" x14ac:dyDescent="0.35">
      <c r="A71" s="103" t="s">
        <v>172</v>
      </c>
      <c r="B71" s="103" t="s">
        <v>201</v>
      </c>
      <c r="C71" s="103" t="s">
        <v>202</v>
      </c>
      <c r="D71" s="105"/>
      <c r="E71" s="104">
        <v>3</v>
      </c>
      <c r="F71" s="104">
        <v>3</v>
      </c>
      <c r="G71" s="104">
        <v>15.98</v>
      </c>
      <c r="H71" s="104">
        <v>127.13</v>
      </c>
      <c r="I71" s="104">
        <v>89.95</v>
      </c>
      <c r="J71" s="104">
        <v>80.900000000000006</v>
      </c>
      <c r="K71" s="104">
        <v>90.9</v>
      </c>
      <c r="L71" s="104">
        <v>229.81</v>
      </c>
      <c r="M71" s="104">
        <v>4546.9399999999996</v>
      </c>
      <c r="N71" s="104">
        <v>1399.35</v>
      </c>
      <c r="O71" s="104">
        <v>378</v>
      </c>
      <c r="P71" s="106">
        <v>6964.96</v>
      </c>
      <c r="R71" s="112"/>
    </row>
    <row r="72" spans="1:18" customFormat="1" ht="21" hidden="1" thickBot="1" x14ac:dyDescent="0.35">
      <c r="A72" s="103" t="s">
        <v>173</v>
      </c>
      <c r="B72" s="103" t="s">
        <v>201</v>
      </c>
      <c r="C72" s="103" t="s">
        <v>202</v>
      </c>
      <c r="D72" s="105"/>
      <c r="E72" s="105"/>
      <c r="F72" s="105"/>
      <c r="G72" s="105"/>
      <c r="H72" s="105"/>
      <c r="I72" s="104">
        <v>61.21</v>
      </c>
      <c r="J72" s="105"/>
      <c r="K72" s="105"/>
      <c r="L72" s="105"/>
      <c r="M72" s="105"/>
      <c r="N72" s="105"/>
      <c r="O72" s="104">
        <v>-1144.79</v>
      </c>
      <c r="P72" s="106">
        <v>-1083.58</v>
      </c>
      <c r="R72" s="112"/>
    </row>
    <row r="73" spans="1:18" customFormat="1" ht="15" hidden="1" thickBot="1" x14ac:dyDescent="0.35">
      <c r="A73" s="103" t="s">
        <v>188</v>
      </c>
      <c r="B73" s="103" t="s">
        <v>203</v>
      </c>
      <c r="C73" s="103" t="s">
        <v>204</v>
      </c>
      <c r="D73" s="108">
        <v>25729.98</v>
      </c>
      <c r="E73" s="108">
        <v>39507.18</v>
      </c>
      <c r="F73" s="108">
        <v>25465.61</v>
      </c>
      <c r="G73" s="108">
        <v>48383.44</v>
      </c>
      <c r="H73" s="108">
        <v>34636.550000000003</v>
      </c>
      <c r="I73" s="108">
        <v>40656.839999999997</v>
      </c>
      <c r="J73" s="108">
        <v>38445.72</v>
      </c>
      <c r="K73" s="108">
        <v>42177.17</v>
      </c>
      <c r="L73" s="108">
        <v>41707.410000000003</v>
      </c>
      <c r="M73" s="108">
        <v>29657.07</v>
      </c>
      <c r="N73" s="108">
        <v>40534.17</v>
      </c>
      <c r="O73" s="108">
        <v>50853.83</v>
      </c>
      <c r="P73" s="106">
        <v>457754.97</v>
      </c>
      <c r="R73" s="112"/>
    </row>
    <row r="74" spans="1:18" customFormat="1" ht="15" hidden="1" thickBot="1" x14ac:dyDescent="0.35">
      <c r="A74" s="103" t="s">
        <v>172</v>
      </c>
      <c r="B74" s="103" t="s">
        <v>203</v>
      </c>
      <c r="C74" s="103" t="s">
        <v>204</v>
      </c>
      <c r="D74" s="107"/>
      <c r="E74" s="107"/>
      <c r="F74" s="108">
        <v>212.14</v>
      </c>
      <c r="G74" s="107"/>
      <c r="H74" s="107"/>
      <c r="I74" s="107"/>
      <c r="J74" s="107"/>
      <c r="K74" s="107"/>
      <c r="L74" s="107"/>
      <c r="M74" s="107"/>
      <c r="N74" s="107"/>
      <c r="O74" s="108">
        <v>45.97</v>
      </c>
      <c r="P74" s="106">
        <v>258.11</v>
      </c>
      <c r="R74" s="112"/>
    </row>
    <row r="75" spans="1:18" customFormat="1" ht="15" hidden="1" thickBot="1" x14ac:dyDescent="0.35">
      <c r="A75" s="103" t="s">
        <v>188</v>
      </c>
      <c r="B75" s="103" t="s">
        <v>205</v>
      </c>
      <c r="C75" s="103" t="s">
        <v>206</v>
      </c>
      <c r="D75" s="104">
        <v>29862.799999999999</v>
      </c>
      <c r="E75" s="104">
        <v>15443.59</v>
      </c>
      <c r="F75" s="104">
        <v>21669.48</v>
      </c>
      <c r="G75" s="104">
        <v>21801.74</v>
      </c>
      <c r="H75" s="104">
        <v>17314.47</v>
      </c>
      <c r="I75" s="104">
        <v>10929.97</v>
      </c>
      <c r="J75" s="104">
        <v>25939.13</v>
      </c>
      <c r="K75" s="104">
        <v>18857.669999999998</v>
      </c>
      <c r="L75" s="104">
        <v>17869</v>
      </c>
      <c r="M75" s="104">
        <v>38600.22</v>
      </c>
      <c r="N75" s="104">
        <v>4559.8599999999997</v>
      </c>
      <c r="O75" s="104">
        <v>19758.099999999999</v>
      </c>
      <c r="P75" s="106">
        <v>242606.03</v>
      </c>
      <c r="R75" s="112"/>
    </row>
    <row r="76" spans="1:18" customFormat="1" ht="15" hidden="1" thickBot="1" x14ac:dyDescent="0.35">
      <c r="A76" s="103" t="s">
        <v>184</v>
      </c>
      <c r="B76" s="103" t="s">
        <v>207</v>
      </c>
      <c r="C76" s="103" t="s">
        <v>208</v>
      </c>
      <c r="D76" s="108">
        <v>10282.39</v>
      </c>
      <c r="E76" s="108">
        <v>11234.48</v>
      </c>
      <c r="F76" s="108">
        <v>21556.78</v>
      </c>
      <c r="G76" s="108">
        <v>16384.060000000001</v>
      </c>
      <c r="H76" s="108">
        <v>35098.33</v>
      </c>
      <c r="I76" s="108">
        <v>84013.59</v>
      </c>
      <c r="J76" s="108">
        <v>46267.38</v>
      </c>
      <c r="K76" s="108">
        <v>42686.879999999997</v>
      </c>
      <c r="L76" s="108">
        <v>18281.39</v>
      </c>
      <c r="M76" s="108">
        <v>19864.939999999999</v>
      </c>
      <c r="N76" s="108">
        <v>21357.42</v>
      </c>
      <c r="O76" s="108">
        <v>19267.3</v>
      </c>
      <c r="P76" s="106">
        <v>346294.94</v>
      </c>
      <c r="R76" s="112"/>
    </row>
    <row r="77" spans="1:18" customFormat="1" ht="15" hidden="1" thickBot="1" x14ac:dyDescent="0.35">
      <c r="A77" s="103" t="s">
        <v>148</v>
      </c>
      <c r="B77" s="103" t="s">
        <v>207</v>
      </c>
      <c r="C77" s="103" t="s">
        <v>208</v>
      </c>
      <c r="D77" s="104">
        <v>67925.84</v>
      </c>
      <c r="E77" s="104">
        <v>63083.46</v>
      </c>
      <c r="F77" s="104">
        <v>64727.23</v>
      </c>
      <c r="G77" s="104">
        <v>74092.759999999995</v>
      </c>
      <c r="H77" s="104">
        <v>68057.5</v>
      </c>
      <c r="I77" s="104">
        <v>20005.07</v>
      </c>
      <c r="J77" s="104">
        <v>30437.52</v>
      </c>
      <c r="K77" s="104">
        <v>17423.59</v>
      </c>
      <c r="L77" s="104">
        <v>17797.5</v>
      </c>
      <c r="M77" s="104">
        <v>32755.41</v>
      </c>
      <c r="N77" s="104">
        <v>40359.29</v>
      </c>
      <c r="O77" s="104">
        <v>31907.51</v>
      </c>
      <c r="P77" s="106">
        <v>528572.68000000005</v>
      </c>
      <c r="R77" s="112"/>
    </row>
    <row r="78" spans="1:18" customFormat="1" ht="15" hidden="1" thickBot="1" x14ac:dyDescent="0.35">
      <c r="A78" s="103" t="s">
        <v>160</v>
      </c>
      <c r="B78" s="103" t="s">
        <v>207</v>
      </c>
      <c r="C78" s="103" t="s">
        <v>208</v>
      </c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4">
        <v>-7061.6</v>
      </c>
      <c r="P78" s="106">
        <v>-7061.6</v>
      </c>
      <c r="R78" s="112"/>
    </row>
    <row r="79" spans="1:18" customFormat="1" ht="15" hidden="1" thickBot="1" x14ac:dyDescent="0.35">
      <c r="A79" s="103" t="s">
        <v>174</v>
      </c>
      <c r="B79" s="103" t="s">
        <v>207</v>
      </c>
      <c r="C79" s="103" t="s">
        <v>208</v>
      </c>
      <c r="D79" s="107"/>
      <c r="E79" s="108">
        <v>397.63</v>
      </c>
      <c r="F79" s="108">
        <v>400.04</v>
      </c>
      <c r="G79" s="108">
        <v>402.12</v>
      </c>
      <c r="H79" s="108">
        <v>402.12</v>
      </c>
      <c r="I79" s="108">
        <v>402.12</v>
      </c>
      <c r="J79" s="108">
        <v>402.12</v>
      </c>
      <c r="K79" s="108">
        <v>428.72</v>
      </c>
      <c r="L79" s="108">
        <v>428.72</v>
      </c>
      <c r="M79" s="108">
        <v>428.72</v>
      </c>
      <c r="N79" s="108">
        <v>428.72</v>
      </c>
      <c r="O79" s="108">
        <v>417.86</v>
      </c>
      <c r="P79" s="106">
        <v>4538.8900000000003</v>
      </c>
      <c r="R79" s="112"/>
    </row>
    <row r="80" spans="1:18" customFormat="1" ht="15" hidden="1" thickBot="1" x14ac:dyDescent="0.35">
      <c r="A80" s="103" t="s">
        <v>188</v>
      </c>
      <c r="B80" s="103" t="s">
        <v>209</v>
      </c>
      <c r="C80" s="103" t="s">
        <v>210</v>
      </c>
      <c r="D80" s="107"/>
      <c r="E80" s="107"/>
      <c r="F80" s="108">
        <v>25</v>
      </c>
      <c r="G80" s="107"/>
      <c r="H80" s="107"/>
      <c r="I80" s="107"/>
      <c r="J80" s="107"/>
      <c r="K80" s="107"/>
      <c r="L80" s="107"/>
      <c r="M80" s="107"/>
      <c r="N80" s="107"/>
      <c r="O80" s="108">
        <v>806181.16</v>
      </c>
      <c r="P80" s="106">
        <v>806206.16</v>
      </c>
      <c r="R80" s="112"/>
    </row>
    <row r="81" spans="1:18" customFormat="1" ht="15" hidden="1" thickBot="1" x14ac:dyDescent="0.35">
      <c r="A81" s="103" t="s">
        <v>172</v>
      </c>
      <c r="B81" s="103" t="s">
        <v>209</v>
      </c>
      <c r="C81" s="103" t="s">
        <v>210</v>
      </c>
      <c r="D81" s="104">
        <v>109334.03</v>
      </c>
      <c r="E81" s="104">
        <v>106293.18</v>
      </c>
      <c r="F81" s="104">
        <v>108335.01</v>
      </c>
      <c r="G81" s="104">
        <v>126442.67</v>
      </c>
      <c r="H81" s="104">
        <v>116358.81</v>
      </c>
      <c r="I81" s="104">
        <v>107583.59</v>
      </c>
      <c r="J81" s="104">
        <v>105788.84</v>
      </c>
      <c r="K81" s="104">
        <v>112674.15</v>
      </c>
      <c r="L81" s="104">
        <v>114307.28</v>
      </c>
      <c r="M81" s="104">
        <v>133916.93</v>
      </c>
      <c r="N81" s="104">
        <v>99228.41</v>
      </c>
      <c r="O81" s="104">
        <v>-684274.83</v>
      </c>
      <c r="P81" s="106">
        <v>555988.06999999995</v>
      </c>
      <c r="R81" s="112"/>
    </row>
    <row r="82" spans="1:18" customFormat="1" ht="15" hidden="1" thickBot="1" x14ac:dyDescent="0.35">
      <c r="A82" s="103" t="s">
        <v>173</v>
      </c>
      <c r="B82" s="103" t="s">
        <v>209</v>
      </c>
      <c r="C82" s="103" t="s">
        <v>210</v>
      </c>
      <c r="D82" s="107"/>
      <c r="E82" s="108">
        <v>450</v>
      </c>
      <c r="F82" s="107"/>
      <c r="G82" s="108">
        <v>419.45</v>
      </c>
      <c r="H82" s="108">
        <v>5080.68</v>
      </c>
      <c r="I82" s="108">
        <v>4849.74</v>
      </c>
      <c r="J82" s="108">
        <v>4387.8599999999997</v>
      </c>
      <c r="K82" s="108">
        <v>4618.8</v>
      </c>
      <c r="L82" s="108">
        <v>4387.8599999999997</v>
      </c>
      <c r="M82" s="108">
        <v>5311.62</v>
      </c>
      <c r="N82" s="108">
        <v>5038.7</v>
      </c>
      <c r="O82" s="108">
        <v>4872.2299999999996</v>
      </c>
      <c r="P82" s="106">
        <v>39416.94</v>
      </c>
      <c r="R82" s="112"/>
    </row>
    <row r="83" spans="1:18" customFormat="1" ht="15" hidden="1" thickBot="1" x14ac:dyDescent="0.35">
      <c r="A83" s="103" t="s">
        <v>188</v>
      </c>
      <c r="B83" s="103" t="s">
        <v>211</v>
      </c>
      <c r="C83" s="103" t="s">
        <v>212</v>
      </c>
      <c r="D83" s="104">
        <v>-10771.8</v>
      </c>
      <c r="E83" s="104">
        <v>-6821.7</v>
      </c>
      <c r="F83" s="104">
        <v>-1731.86</v>
      </c>
      <c r="G83" s="104">
        <v>-3271</v>
      </c>
      <c r="H83" s="104">
        <v>-4127.7</v>
      </c>
      <c r="I83" s="104">
        <v>-5778.22</v>
      </c>
      <c r="J83" s="104">
        <v>-3561.69</v>
      </c>
      <c r="K83" s="104">
        <v>-3901.26</v>
      </c>
      <c r="L83" s="104">
        <v>-6217.97</v>
      </c>
      <c r="M83" s="104">
        <v>-3510.06</v>
      </c>
      <c r="N83" s="104">
        <v>-4267.62</v>
      </c>
      <c r="O83" s="104">
        <v>-20579.52</v>
      </c>
      <c r="P83" s="106">
        <v>-74540.399999999994</v>
      </c>
      <c r="R83" s="112"/>
    </row>
    <row r="84" spans="1:18" customFormat="1" ht="15" hidden="1" thickBot="1" x14ac:dyDescent="0.35">
      <c r="A84" s="103" t="s">
        <v>173</v>
      </c>
      <c r="B84" s="103" t="s">
        <v>211</v>
      </c>
      <c r="C84" s="103" t="s">
        <v>212</v>
      </c>
      <c r="D84" s="104">
        <v>10771.8</v>
      </c>
      <c r="E84" s="104">
        <v>6821.7</v>
      </c>
      <c r="F84" s="104">
        <v>-1731.86</v>
      </c>
      <c r="G84" s="104">
        <v>6734.72</v>
      </c>
      <c r="H84" s="104">
        <v>4127.7</v>
      </c>
      <c r="I84" s="104">
        <v>5778.22</v>
      </c>
      <c r="J84" s="104">
        <v>3561.69</v>
      </c>
      <c r="K84" s="104">
        <v>3901.26</v>
      </c>
      <c r="L84" s="104">
        <v>6217.97</v>
      </c>
      <c r="M84" s="104">
        <v>3510.06</v>
      </c>
      <c r="N84" s="104">
        <v>4267.62</v>
      </c>
      <c r="O84" s="104">
        <v>20579.52</v>
      </c>
      <c r="P84" s="106">
        <v>74540.399999999994</v>
      </c>
      <c r="R84" s="112"/>
    </row>
    <row r="85" spans="1:18" customFormat="1" ht="15" hidden="1" thickBot="1" x14ac:dyDescent="0.35">
      <c r="A85" s="103" t="s">
        <v>188</v>
      </c>
      <c r="B85" s="103" t="s">
        <v>213</v>
      </c>
      <c r="C85" s="103" t="s">
        <v>214</v>
      </c>
      <c r="D85" s="110">
        <v>0</v>
      </c>
      <c r="E85" s="108">
        <v>-12.26</v>
      </c>
      <c r="F85" s="108">
        <v>-12.26</v>
      </c>
      <c r="G85" s="108">
        <v>-42.91</v>
      </c>
      <c r="H85" s="108">
        <v>-12.26</v>
      </c>
      <c r="I85" s="107"/>
      <c r="J85" s="107"/>
      <c r="K85" s="108">
        <v>-196.33</v>
      </c>
      <c r="L85" s="108">
        <v>-422.65</v>
      </c>
      <c r="M85" s="110">
        <v>0</v>
      </c>
      <c r="N85" s="110">
        <v>0</v>
      </c>
      <c r="O85" s="110">
        <v>0</v>
      </c>
      <c r="P85" s="106">
        <v>-698.67</v>
      </c>
      <c r="R85" s="112"/>
    </row>
    <row r="86" spans="1:18" customFormat="1" ht="15" hidden="1" thickBot="1" x14ac:dyDescent="0.35">
      <c r="A86" s="103" t="s">
        <v>173</v>
      </c>
      <c r="B86" s="103" t="s">
        <v>213</v>
      </c>
      <c r="C86" s="103" t="s">
        <v>214</v>
      </c>
      <c r="D86" s="107"/>
      <c r="E86" s="108">
        <v>12.26</v>
      </c>
      <c r="F86" s="108">
        <v>12.26</v>
      </c>
      <c r="G86" s="108">
        <v>42.91</v>
      </c>
      <c r="H86" s="108">
        <v>12.26</v>
      </c>
      <c r="I86" s="107"/>
      <c r="J86" s="107"/>
      <c r="K86" s="108">
        <v>196.33</v>
      </c>
      <c r="L86" s="108">
        <v>422.65</v>
      </c>
      <c r="M86" s="107"/>
      <c r="N86" s="107"/>
      <c r="O86" s="107"/>
      <c r="P86" s="106">
        <v>698.67</v>
      </c>
      <c r="R86" s="112"/>
    </row>
    <row r="87" spans="1:18" customFormat="1" ht="15" hidden="1" thickBot="1" x14ac:dyDescent="0.35">
      <c r="A87" s="103" t="s">
        <v>188</v>
      </c>
      <c r="B87" s="103" t="s">
        <v>215</v>
      </c>
      <c r="C87" s="103" t="s">
        <v>216</v>
      </c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4">
        <v>163977.12</v>
      </c>
      <c r="P87" s="106">
        <v>163977.12</v>
      </c>
      <c r="R87" s="112"/>
    </row>
    <row r="88" spans="1:18" customFormat="1" ht="15" hidden="1" thickBot="1" x14ac:dyDescent="0.35">
      <c r="A88" s="103" t="s">
        <v>217</v>
      </c>
      <c r="B88" s="103" t="s">
        <v>215</v>
      </c>
      <c r="C88" s="103" t="s">
        <v>216</v>
      </c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8">
        <v>20850.7</v>
      </c>
      <c r="P88" s="106">
        <v>20850.7</v>
      </c>
      <c r="R88" s="112"/>
    </row>
    <row r="89" spans="1:18" customFormat="1" ht="15" hidden="1" thickBot="1" x14ac:dyDescent="0.35">
      <c r="A89" s="103" t="s">
        <v>218</v>
      </c>
      <c r="B89" s="103" t="s">
        <v>215</v>
      </c>
      <c r="C89" s="103" t="s">
        <v>216</v>
      </c>
      <c r="D89" s="104">
        <v>13416.97</v>
      </c>
      <c r="E89" s="104">
        <v>13723.78</v>
      </c>
      <c r="F89" s="104">
        <v>12763.49</v>
      </c>
      <c r="G89" s="104">
        <v>14199.5</v>
      </c>
      <c r="H89" s="104">
        <v>10986.37</v>
      </c>
      <c r="I89" s="104">
        <v>15469.09</v>
      </c>
      <c r="J89" s="104">
        <v>15566.43</v>
      </c>
      <c r="K89" s="104">
        <v>12567.34</v>
      </c>
      <c r="L89" s="104">
        <v>13850.55</v>
      </c>
      <c r="M89" s="104">
        <v>15912.18</v>
      </c>
      <c r="N89" s="104">
        <v>12708.53</v>
      </c>
      <c r="O89" s="104">
        <v>-139576.07999999999</v>
      </c>
      <c r="P89" s="106">
        <v>11588.15</v>
      </c>
      <c r="R89" s="112"/>
    </row>
    <row r="90" spans="1:18" customFormat="1" ht="15" hidden="1" thickBot="1" x14ac:dyDescent="0.35">
      <c r="A90" s="103" t="s">
        <v>172</v>
      </c>
      <c r="B90" s="103" t="s">
        <v>215</v>
      </c>
      <c r="C90" s="103" t="s">
        <v>216</v>
      </c>
      <c r="D90" s="108">
        <v>34172.61</v>
      </c>
      <c r="E90" s="108">
        <v>65414.35</v>
      </c>
      <c r="F90" s="108">
        <v>41925.5</v>
      </c>
      <c r="G90" s="108">
        <v>71758.679999999993</v>
      </c>
      <c r="H90" s="108">
        <v>88456.01</v>
      </c>
      <c r="I90" s="108">
        <v>69261.25</v>
      </c>
      <c r="J90" s="108">
        <v>57291.5</v>
      </c>
      <c r="K90" s="108">
        <v>68236.06</v>
      </c>
      <c r="L90" s="108">
        <v>61604.57</v>
      </c>
      <c r="M90" s="108">
        <v>59776.800000000003</v>
      </c>
      <c r="N90" s="108">
        <v>27487.14</v>
      </c>
      <c r="O90" s="108">
        <v>-228593.86</v>
      </c>
      <c r="P90" s="106">
        <v>416790.61</v>
      </c>
      <c r="R90" s="112"/>
    </row>
    <row r="91" spans="1:18" customFormat="1" ht="15" hidden="1" thickBot="1" x14ac:dyDescent="0.35">
      <c r="A91" s="103" t="s">
        <v>173</v>
      </c>
      <c r="B91" s="103" t="s">
        <v>215</v>
      </c>
      <c r="C91" s="103" t="s">
        <v>216</v>
      </c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4">
        <v>238896.24</v>
      </c>
      <c r="P91" s="106">
        <v>238896.24</v>
      </c>
      <c r="R91" s="112"/>
    </row>
    <row r="92" spans="1:18" customFormat="1" ht="15" hidden="1" thickBot="1" x14ac:dyDescent="0.35">
      <c r="A92" s="103" t="s">
        <v>219</v>
      </c>
      <c r="B92" s="103" t="s">
        <v>215</v>
      </c>
      <c r="C92" s="103" t="s">
        <v>216</v>
      </c>
      <c r="D92" s="108">
        <v>5130</v>
      </c>
      <c r="E92" s="107"/>
      <c r="F92" s="108">
        <v>2565</v>
      </c>
      <c r="G92" s="108">
        <v>2565</v>
      </c>
      <c r="H92" s="108">
        <v>2565</v>
      </c>
      <c r="I92" s="108">
        <v>2565</v>
      </c>
      <c r="J92" s="108">
        <v>2565</v>
      </c>
      <c r="K92" s="108">
        <v>2565</v>
      </c>
      <c r="L92" s="108">
        <v>2565</v>
      </c>
      <c r="M92" s="108">
        <v>2640</v>
      </c>
      <c r="N92" s="108">
        <v>2640</v>
      </c>
      <c r="O92" s="108">
        <v>2640</v>
      </c>
      <c r="P92" s="106">
        <v>31005</v>
      </c>
      <c r="R92" s="112"/>
    </row>
    <row r="93" spans="1:18" customFormat="1" ht="15" hidden="1" thickBot="1" x14ac:dyDescent="0.35">
      <c r="A93" s="103" t="s">
        <v>174</v>
      </c>
      <c r="B93" s="103" t="s">
        <v>215</v>
      </c>
      <c r="C93" s="103" t="s">
        <v>216</v>
      </c>
      <c r="D93" s="104">
        <v>8819.75</v>
      </c>
      <c r="E93" s="104">
        <v>8762.65</v>
      </c>
      <c r="F93" s="104">
        <v>10742.08</v>
      </c>
      <c r="G93" s="104">
        <v>11310.33</v>
      </c>
      <c r="H93" s="104">
        <v>20151.439999999999</v>
      </c>
      <c r="I93" s="104">
        <v>12415.46</v>
      </c>
      <c r="J93" s="104">
        <v>12154.71</v>
      </c>
      <c r="K93" s="104">
        <v>12646.99</v>
      </c>
      <c r="L93" s="104">
        <v>12185.5</v>
      </c>
      <c r="M93" s="104">
        <v>9401.34</v>
      </c>
      <c r="N93" s="104">
        <v>8618.7800000000007</v>
      </c>
      <c r="O93" s="104">
        <v>8998.07</v>
      </c>
      <c r="P93" s="106">
        <v>136207.1</v>
      </c>
      <c r="R93" s="112"/>
    </row>
    <row r="94" spans="1:18" customFormat="1" ht="15" hidden="1" thickBot="1" x14ac:dyDescent="0.35">
      <c r="A94" s="103" t="s">
        <v>184</v>
      </c>
      <c r="B94" s="103" t="s">
        <v>220</v>
      </c>
      <c r="C94" s="103" t="s">
        <v>221</v>
      </c>
      <c r="D94" s="105"/>
      <c r="E94" s="105"/>
      <c r="F94" s="104">
        <v>140.74</v>
      </c>
      <c r="G94" s="105"/>
      <c r="H94" s="105"/>
      <c r="I94" s="105"/>
      <c r="J94" s="105"/>
      <c r="K94" s="105"/>
      <c r="L94" s="105"/>
      <c r="M94" s="104">
        <v>138</v>
      </c>
      <c r="N94" s="105"/>
      <c r="O94" s="105"/>
      <c r="P94" s="106">
        <v>278.74</v>
      </c>
      <c r="R94" s="112"/>
    </row>
    <row r="95" spans="1:18" customFormat="1" ht="15" hidden="1" thickBot="1" x14ac:dyDescent="0.35">
      <c r="A95" s="103" t="s">
        <v>217</v>
      </c>
      <c r="B95" s="103" t="s">
        <v>220</v>
      </c>
      <c r="C95" s="103" t="s">
        <v>221</v>
      </c>
      <c r="D95" s="104">
        <v>109570.42</v>
      </c>
      <c r="E95" s="104">
        <v>445716.83</v>
      </c>
      <c r="F95" s="104">
        <v>176680.43</v>
      </c>
      <c r="G95" s="104">
        <v>303279.55</v>
      </c>
      <c r="H95" s="104">
        <v>306108.61</v>
      </c>
      <c r="I95" s="104">
        <v>249519.05</v>
      </c>
      <c r="J95" s="104">
        <v>129224.32000000001</v>
      </c>
      <c r="K95" s="104">
        <v>190981.93</v>
      </c>
      <c r="L95" s="104">
        <v>223286</v>
      </c>
      <c r="M95" s="104">
        <v>217203.74</v>
      </c>
      <c r="N95" s="104">
        <v>188567.07</v>
      </c>
      <c r="O95" s="104">
        <v>132445.4</v>
      </c>
      <c r="P95" s="106">
        <v>2672583.35</v>
      </c>
      <c r="R95" s="112"/>
    </row>
    <row r="96" spans="1:18" customFormat="1" ht="15" hidden="1" thickBot="1" x14ac:dyDescent="0.35">
      <c r="A96" s="103" t="s">
        <v>172</v>
      </c>
      <c r="B96" s="103" t="s">
        <v>220</v>
      </c>
      <c r="C96" s="103" t="s">
        <v>221</v>
      </c>
      <c r="D96" s="105"/>
      <c r="E96" s="105"/>
      <c r="F96" s="105"/>
      <c r="G96" s="105"/>
      <c r="H96" s="104">
        <v>12</v>
      </c>
      <c r="I96" s="105"/>
      <c r="J96" s="105"/>
      <c r="K96" s="105"/>
      <c r="L96" s="105"/>
      <c r="M96" s="105"/>
      <c r="N96" s="105"/>
      <c r="O96" s="105"/>
      <c r="P96" s="106">
        <v>12</v>
      </c>
      <c r="R96" s="112"/>
    </row>
    <row r="97" spans="1:18" customFormat="1" ht="15" hidden="1" thickBot="1" x14ac:dyDescent="0.35">
      <c r="A97" s="103" t="s">
        <v>222</v>
      </c>
      <c r="B97" s="103" t="s">
        <v>220</v>
      </c>
      <c r="C97" s="103" t="s">
        <v>221</v>
      </c>
      <c r="D97" s="108">
        <v>23637.37</v>
      </c>
      <c r="E97" s="108">
        <v>41353.449999999997</v>
      </c>
      <c r="F97" s="108">
        <v>46588.06</v>
      </c>
      <c r="G97" s="108">
        <v>116339.83</v>
      </c>
      <c r="H97" s="108">
        <v>33352.769999999997</v>
      </c>
      <c r="I97" s="108">
        <v>71937.94</v>
      </c>
      <c r="J97" s="108">
        <v>29137.919999999998</v>
      </c>
      <c r="K97" s="108">
        <v>34564.629999999997</v>
      </c>
      <c r="L97" s="108">
        <v>62803.95</v>
      </c>
      <c r="M97" s="108">
        <v>49953.04</v>
      </c>
      <c r="N97" s="108">
        <v>69909.210000000006</v>
      </c>
      <c r="O97" s="108">
        <v>55104.36</v>
      </c>
      <c r="P97" s="106">
        <v>634682.53</v>
      </c>
      <c r="R97" s="112"/>
    </row>
    <row r="98" spans="1:18" customFormat="1" ht="15" hidden="1" thickBot="1" x14ac:dyDescent="0.35">
      <c r="A98" s="103" t="s">
        <v>173</v>
      </c>
      <c r="B98" s="103" t="s">
        <v>220</v>
      </c>
      <c r="C98" s="103" t="s">
        <v>221</v>
      </c>
      <c r="D98" s="107"/>
      <c r="E98" s="107"/>
      <c r="F98" s="107"/>
      <c r="G98" s="107"/>
      <c r="H98" s="107"/>
      <c r="I98" s="107"/>
      <c r="J98" s="107"/>
      <c r="K98" s="108">
        <v>50.5</v>
      </c>
      <c r="L98" s="107"/>
      <c r="M98" s="108">
        <v>26</v>
      </c>
      <c r="N98" s="107"/>
      <c r="O98" s="108">
        <v>44</v>
      </c>
      <c r="P98" s="106">
        <v>120.5</v>
      </c>
      <c r="R98" s="112"/>
    </row>
    <row r="99" spans="1:18" customFormat="1" ht="15" hidden="1" thickBot="1" x14ac:dyDescent="0.35">
      <c r="A99" s="103" t="s">
        <v>188</v>
      </c>
      <c r="B99" s="103" t="s">
        <v>223</v>
      </c>
      <c r="C99" s="103" t="s">
        <v>224</v>
      </c>
      <c r="D99" s="108">
        <v>-306.5</v>
      </c>
      <c r="E99" s="108">
        <v>-887.88</v>
      </c>
      <c r="F99" s="108">
        <v>-556.32000000000005</v>
      </c>
      <c r="G99" s="108">
        <v>-25609.23</v>
      </c>
      <c r="H99" s="108">
        <v>22719.55</v>
      </c>
      <c r="I99" s="108">
        <v>-522.36</v>
      </c>
      <c r="J99" s="108">
        <v>-944.14</v>
      </c>
      <c r="K99" s="108">
        <v>-624.91999999999996</v>
      </c>
      <c r="L99" s="108">
        <v>-1376.25</v>
      </c>
      <c r="M99" s="108">
        <v>-565.88</v>
      </c>
      <c r="N99" s="108">
        <v>-680.93</v>
      </c>
      <c r="O99" s="108">
        <v>-117.29</v>
      </c>
      <c r="P99" s="106">
        <v>-9472.15</v>
      </c>
      <c r="R99" s="112"/>
    </row>
    <row r="100" spans="1:18" customFormat="1" ht="15" hidden="1" thickBot="1" x14ac:dyDescent="0.35">
      <c r="A100" s="103" t="s">
        <v>173</v>
      </c>
      <c r="B100" s="103" t="s">
        <v>223</v>
      </c>
      <c r="C100" s="103" t="s">
        <v>224</v>
      </c>
      <c r="D100" s="104">
        <v>306.5</v>
      </c>
      <c r="E100" s="104">
        <v>887.88</v>
      </c>
      <c r="F100" s="104">
        <v>556.32000000000005</v>
      </c>
      <c r="G100" s="104">
        <v>25609.23</v>
      </c>
      <c r="H100" s="104">
        <v>-22719.55</v>
      </c>
      <c r="I100" s="104">
        <v>522.36</v>
      </c>
      <c r="J100" s="104">
        <v>944.14</v>
      </c>
      <c r="K100" s="104">
        <v>624.91999999999996</v>
      </c>
      <c r="L100" s="104">
        <v>1376.25</v>
      </c>
      <c r="M100" s="104">
        <v>565.88</v>
      </c>
      <c r="N100" s="104">
        <v>680.93</v>
      </c>
      <c r="O100" s="104">
        <v>117.29</v>
      </c>
      <c r="P100" s="106">
        <v>9472.15</v>
      </c>
      <c r="R100" s="112"/>
    </row>
    <row r="101" spans="1:18" customFormat="1" ht="15" hidden="1" thickBot="1" x14ac:dyDescent="0.35">
      <c r="A101" s="103" t="s">
        <v>188</v>
      </c>
      <c r="B101" s="103" t="s">
        <v>225</v>
      </c>
      <c r="C101" s="103" t="s">
        <v>226</v>
      </c>
      <c r="D101" s="104">
        <v>-11934.59</v>
      </c>
      <c r="E101" s="104">
        <v>-12444.36</v>
      </c>
      <c r="F101" s="104">
        <v>-13128.53</v>
      </c>
      <c r="G101" s="104">
        <v>-13149.89</v>
      </c>
      <c r="H101" s="104">
        <v>-12934.47</v>
      </c>
      <c r="I101" s="104">
        <v>-12789.29</v>
      </c>
      <c r="J101" s="104">
        <v>-12277.36</v>
      </c>
      <c r="K101" s="104">
        <v>-13498.6</v>
      </c>
      <c r="L101" s="104">
        <v>-12684.46</v>
      </c>
      <c r="M101" s="104">
        <v>-12758.47</v>
      </c>
      <c r="N101" s="104">
        <v>-11648.28</v>
      </c>
      <c r="O101" s="104">
        <v>-9797.9699999999993</v>
      </c>
      <c r="P101" s="106">
        <v>-149046.26999999999</v>
      </c>
      <c r="R101" s="112"/>
    </row>
    <row r="102" spans="1:18" customFormat="1" ht="15" hidden="1" thickBot="1" x14ac:dyDescent="0.35">
      <c r="A102" s="103" t="s">
        <v>173</v>
      </c>
      <c r="B102" s="103" t="s">
        <v>225</v>
      </c>
      <c r="C102" s="103" t="s">
        <v>226</v>
      </c>
      <c r="D102" s="108">
        <v>11934.59</v>
      </c>
      <c r="E102" s="108">
        <v>12444.36</v>
      </c>
      <c r="F102" s="108">
        <v>13128.53</v>
      </c>
      <c r="G102" s="108">
        <v>13149.89</v>
      </c>
      <c r="H102" s="108">
        <v>12934.47</v>
      </c>
      <c r="I102" s="108">
        <v>12789.29</v>
      </c>
      <c r="J102" s="108">
        <v>12277.36</v>
      </c>
      <c r="K102" s="108">
        <v>13498.6</v>
      </c>
      <c r="L102" s="108">
        <v>12684.46</v>
      </c>
      <c r="M102" s="108">
        <v>12758.47</v>
      </c>
      <c r="N102" s="108">
        <v>11648.28</v>
      </c>
      <c r="O102" s="108">
        <v>9797.9699999999993</v>
      </c>
      <c r="P102" s="106">
        <v>149046.26999999999</v>
      </c>
      <c r="R102" s="112"/>
    </row>
    <row r="103" spans="1:18" customFormat="1" ht="15" hidden="1" thickBot="1" x14ac:dyDescent="0.35">
      <c r="A103" s="103" t="s">
        <v>175</v>
      </c>
      <c r="B103" s="103" t="s">
        <v>227</v>
      </c>
      <c r="C103" s="103" t="s">
        <v>228</v>
      </c>
      <c r="D103" s="105"/>
      <c r="E103" s="105"/>
      <c r="F103" s="104">
        <v>300</v>
      </c>
      <c r="G103" s="104">
        <v>300</v>
      </c>
      <c r="H103" s="105"/>
      <c r="I103" s="104">
        <v>600</v>
      </c>
      <c r="J103" s="105"/>
      <c r="K103" s="105"/>
      <c r="L103" s="105"/>
      <c r="M103" s="104">
        <v>2672.5</v>
      </c>
      <c r="N103" s="105"/>
      <c r="O103" s="104">
        <v>482.5</v>
      </c>
      <c r="P103" s="106">
        <v>4355</v>
      </c>
      <c r="R103" s="112"/>
    </row>
    <row r="104" spans="1:18" customFormat="1" ht="15" hidden="1" thickBot="1" x14ac:dyDescent="0.35">
      <c r="A104" s="103" t="s">
        <v>229</v>
      </c>
      <c r="B104" s="103" t="s">
        <v>227</v>
      </c>
      <c r="C104" s="103" t="s">
        <v>228</v>
      </c>
      <c r="D104" s="105"/>
      <c r="E104" s="104">
        <v>5239.2700000000004</v>
      </c>
      <c r="F104" s="104">
        <v>44228.160000000003</v>
      </c>
      <c r="G104" s="104">
        <v>687.22</v>
      </c>
      <c r="H104" s="104">
        <v>5914.22</v>
      </c>
      <c r="I104" s="104">
        <v>9221.6</v>
      </c>
      <c r="J104" s="104">
        <v>1580.56</v>
      </c>
      <c r="K104" s="105"/>
      <c r="L104" s="105"/>
      <c r="M104" s="104">
        <v>5326.41</v>
      </c>
      <c r="N104" s="104">
        <v>6879.86</v>
      </c>
      <c r="O104" s="104">
        <v>11669.98</v>
      </c>
      <c r="P104" s="106">
        <v>90747.28</v>
      </c>
      <c r="R104" s="112"/>
    </row>
    <row r="105" spans="1:18" customFormat="1" ht="15" hidden="1" thickBot="1" x14ac:dyDescent="0.35">
      <c r="A105" s="103" t="s">
        <v>143</v>
      </c>
      <c r="B105" s="103" t="s">
        <v>227</v>
      </c>
      <c r="C105" s="103" t="s">
        <v>228</v>
      </c>
      <c r="D105" s="108">
        <v>208142.17</v>
      </c>
      <c r="E105" s="108">
        <v>195463.02</v>
      </c>
      <c r="F105" s="108">
        <v>208604.41</v>
      </c>
      <c r="G105" s="108">
        <v>150760.04</v>
      </c>
      <c r="H105" s="108">
        <v>175565.3</v>
      </c>
      <c r="I105" s="108">
        <v>185358.56</v>
      </c>
      <c r="J105" s="108">
        <v>250090.54</v>
      </c>
      <c r="K105" s="108">
        <v>218047.05</v>
      </c>
      <c r="L105" s="108">
        <v>239018.53</v>
      </c>
      <c r="M105" s="108">
        <v>305104.2</v>
      </c>
      <c r="N105" s="108">
        <v>347534.03</v>
      </c>
      <c r="O105" s="108">
        <v>301475.78000000003</v>
      </c>
      <c r="P105" s="106">
        <v>2785163.63</v>
      </c>
      <c r="R105" s="112"/>
    </row>
    <row r="106" spans="1:18" customFormat="1" ht="15" hidden="1" thickBot="1" x14ac:dyDescent="0.35">
      <c r="A106" s="103" t="s">
        <v>181</v>
      </c>
      <c r="B106" s="103" t="s">
        <v>227</v>
      </c>
      <c r="C106" s="103" t="s">
        <v>228</v>
      </c>
      <c r="D106" s="105"/>
      <c r="E106" s="105"/>
      <c r="F106" s="105"/>
      <c r="G106" s="105"/>
      <c r="H106" s="105"/>
      <c r="I106" s="105"/>
      <c r="J106" s="105"/>
      <c r="K106" s="104">
        <v>12423.28</v>
      </c>
      <c r="L106" s="105"/>
      <c r="M106" s="105"/>
      <c r="N106" s="105"/>
      <c r="O106" s="105"/>
      <c r="P106" s="106">
        <v>12423.28</v>
      </c>
      <c r="R106" s="112"/>
    </row>
    <row r="107" spans="1:18" customFormat="1" ht="15" hidden="1" thickBot="1" x14ac:dyDescent="0.35">
      <c r="A107" s="103" t="s">
        <v>182</v>
      </c>
      <c r="B107" s="103" t="s">
        <v>227</v>
      </c>
      <c r="C107" s="103" t="s">
        <v>228</v>
      </c>
      <c r="D107" s="104">
        <v>2339.46</v>
      </c>
      <c r="E107" s="104">
        <v>6774.86</v>
      </c>
      <c r="F107" s="104">
        <v>14348.06</v>
      </c>
      <c r="G107" s="104">
        <v>14132.68</v>
      </c>
      <c r="H107" s="104">
        <v>12439.11</v>
      </c>
      <c r="I107" s="104">
        <v>23988.86</v>
      </c>
      <c r="J107" s="104">
        <v>14914.83</v>
      </c>
      <c r="K107" s="104">
        <v>19583.740000000002</v>
      </c>
      <c r="L107" s="104">
        <v>17578.73</v>
      </c>
      <c r="M107" s="104">
        <v>16491.09</v>
      </c>
      <c r="N107" s="104">
        <v>20154.11</v>
      </c>
      <c r="O107" s="104">
        <v>7404.37</v>
      </c>
      <c r="P107" s="106">
        <v>170149.9</v>
      </c>
      <c r="R107" s="112"/>
    </row>
    <row r="108" spans="1:18" customFormat="1" ht="15" hidden="1" thickBot="1" x14ac:dyDescent="0.35">
      <c r="A108" s="103" t="s">
        <v>230</v>
      </c>
      <c r="B108" s="103" t="s">
        <v>227</v>
      </c>
      <c r="C108" s="103" t="s">
        <v>228</v>
      </c>
      <c r="D108" s="104">
        <v>20545.39</v>
      </c>
      <c r="E108" s="104">
        <v>20545.39</v>
      </c>
      <c r="F108" s="104">
        <v>21064.67</v>
      </c>
      <c r="G108" s="104">
        <v>21064.67</v>
      </c>
      <c r="H108" s="104">
        <v>21064.67</v>
      </c>
      <c r="I108" s="104">
        <v>21064.67</v>
      </c>
      <c r="J108" s="104">
        <v>22564.02</v>
      </c>
      <c r="K108" s="104">
        <v>22583.16</v>
      </c>
      <c r="L108" s="104">
        <v>22583.16</v>
      </c>
      <c r="M108" s="104">
        <v>22583.16</v>
      </c>
      <c r="N108" s="104">
        <v>22583.16</v>
      </c>
      <c r="O108" s="104">
        <v>22583.16</v>
      </c>
      <c r="P108" s="106">
        <v>260829.28</v>
      </c>
      <c r="R108" s="112"/>
    </row>
    <row r="109" spans="1:18" customFormat="1" ht="15" hidden="1" thickBot="1" x14ac:dyDescent="0.35">
      <c r="A109" s="103" t="s">
        <v>183</v>
      </c>
      <c r="B109" s="103" t="s">
        <v>227</v>
      </c>
      <c r="C109" s="103" t="s">
        <v>228</v>
      </c>
      <c r="D109" s="107"/>
      <c r="E109" s="107"/>
      <c r="F109" s="108">
        <v>2800</v>
      </c>
      <c r="G109" s="108">
        <v>1647.84</v>
      </c>
      <c r="H109" s="108">
        <v>2435.34</v>
      </c>
      <c r="I109" s="108">
        <v>4100</v>
      </c>
      <c r="J109" s="108">
        <v>10140.33</v>
      </c>
      <c r="K109" s="108">
        <v>7500</v>
      </c>
      <c r="L109" s="108">
        <v>10743.34</v>
      </c>
      <c r="M109" s="108">
        <v>5600</v>
      </c>
      <c r="N109" s="110">
        <v>0</v>
      </c>
      <c r="O109" s="108">
        <v>17599.349999999999</v>
      </c>
      <c r="P109" s="106">
        <v>62566.2</v>
      </c>
      <c r="R109" s="112"/>
    </row>
    <row r="110" spans="1:18" customFormat="1" ht="15" hidden="1" thickBot="1" x14ac:dyDescent="0.35">
      <c r="A110" s="103" t="s">
        <v>148</v>
      </c>
      <c r="B110" s="103" t="s">
        <v>227</v>
      </c>
      <c r="C110" s="103" t="s">
        <v>228</v>
      </c>
      <c r="D110" s="107"/>
      <c r="E110" s="108">
        <v>161.74</v>
      </c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6">
        <v>161.74</v>
      </c>
      <c r="R110" s="112"/>
    </row>
    <row r="111" spans="1:18" customFormat="1" ht="15" hidden="1" thickBot="1" x14ac:dyDescent="0.35">
      <c r="A111" s="103" t="s">
        <v>164</v>
      </c>
      <c r="B111" s="103" t="s">
        <v>227</v>
      </c>
      <c r="C111" s="103" t="s">
        <v>228</v>
      </c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8">
        <v>220.68</v>
      </c>
      <c r="P111" s="106">
        <v>220.68</v>
      </c>
      <c r="R111" s="112"/>
    </row>
    <row r="112" spans="1:18" customFormat="1" ht="15" hidden="1" thickBot="1" x14ac:dyDescent="0.35">
      <c r="A112" s="103" t="s">
        <v>173</v>
      </c>
      <c r="B112" s="103" t="s">
        <v>227</v>
      </c>
      <c r="C112" s="103" t="s">
        <v>228</v>
      </c>
      <c r="D112" s="105"/>
      <c r="E112" s="105"/>
      <c r="F112" s="104">
        <v>640.36</v>
      </c>
      <c r="G112" s="105"/>
      <c r="H112" s="105"/>
      <c r="I112" s="105"/>
      <c r="J112" s="104">
        <v>58.96</v>
      </c>
      <c r="K112" s="105"/>
      <c r="L112" s="105"/>
      <c r="M112" s="105"/>
      <c r="N112" s="105"/>
      <c r="O112" s="105"/>
      <c r="P112" s="106">
        <v>699.32</v>
      </c>
      <c r="R112" s="112"/>
    </row>
    <row r="113" spans="1:18" customFormat="1" ht="15" hidden="1" thickBot="1" x14ac:dyDescent="0.35">
      <c r="A113" s="103" t="s">
        <v>174</v>
      </c>
      <c r="B113" s="103" t="s">
        <v>227</v>
      </c>
      <c r="C113" s="103" t="s">
        <v>228</v>
      </c>
      <c r="D113" s="107"/>
      <c r="E113" s="107"/>
      <c r="F113" s="107"/>
      <c r="G113" s="107"/>
      <c r="H113" s="107"/>
      <c r="I113" s="107"/>
      <c r="J113" s="107"/>
      <c r="K113" s="107"/>
      <c r="L113" s="108">
        <v>260.05</v>
      </c>
      <c r="M113" s="107"/>
      <c r="N113" s="107"/>
      <c r="O113" s="107"/>
      <c r="P113" s="106">
        <v>260.05</v>
      </c>
      <c r="R113" s="112"/>
    </row>
    <row r="114" spans="1:18" customFormat="1" ht="15" hidden="1" thickBot="1" x14ac:dyDescent="0.35">
      <c r="A114" s="103" t="s">
        <v>143</v>
      </c>
      <c r="B114" s="103" t="s">
        <v>231</v>
      </c>
      <c r="C114" s="103" t="s">
        <v>232</v>
      </c>
      <c r="D114" s="105"/>
      <c r="E114" s="105"/>
      <c r="F114" s="104">
        <v>1881.5</v>
      </c>
      <c r="G114" s="105"/>
      <c r="H114" s="105"/>
      <c r="I114" s="105"/>
      <c r="J114" s="105"/>
      <c r="K114" s="105"/>
      <c r="L114" s="105"/>
      <c r="M114" s="105"/>
      <c r="N114" s="111">
        <v>0</v>
      </c>
      <c r="O114" s="105"/>
      <c r="P114" s="106">
        <v>1881.5</v>
      </c>
      <c r="R114" s="112"/>
    </row>
    <row r="115" spans="1:18" customFormat="1" ht="15" hidden="1" thickBot="1" x14ac:dyDescent="0.35">
      <c r="A115" s="103" t="s">
        <v>233</v>
      </c>
      <c r="B115" s="103" t="s">
        <v>234</v>
      </c>
      <c r="C115" s="103" t="s">
        <v>235</v>
      </c>
      <c r="D115" s="104">
        <v>10609.36</v>
      </c>
      <c r="E115" s="105"/>
      <c r="F115" s="105"/>
      <c r="G115" s="105"/>
      <c r="H115" s="105"/>
      <c r="I115" s="104">
        <v>2671.88</v>
      </c>
      <c r="J115" s="104">
        <v>27680.48</v>
      </c>
      <c r="K115" s="104">
        <v>3843.75</v>
      </c>
      <c r="L115" s="105"/>
      <c r="M115" s="104">
        <v>562.5</v>
      </c>
      <c r="N115" s="104">
        <v>13972.27</v>
      </c>
      <c r="O115" s="104">
        <v>-4672.2700000000004</v>
      </c>
      <c r="P115" s="106">
        <v>54667.97</v>
      </c>
      <c r="R115" s="112"/>
    </row>
    <row r="116" spans="1:18" customFormat="1" ht="15" hidden="1" thickBot="1" x14ac:dyDescent="0.35">
      <c r="A116" s="103" t="s">
        <v>173</v>
      </c>
      <c r="B116" s="103" t="s">
        <v>234</v>
      </c>
      <c r="C116" s="103" t="s">
        <v>235</v>
      </c>
      <c r="D116" s="107"/>
      <c r="E116" s="107"/>
      <c r="F116" s="107"/>
      <c r="G116" s="107"/>
      <c r="H116" s="107"/>
      <c r="I116" s="108">
        <v>570.36</v>
      </c>
      <c r="J116" s="108">
        <v>10.51</v>
      </c>
      <c r="K116" s="108">
        <v>20.079999999999998</v>
      </c>
      <c r="L116" s="108">
        <v>20.079999999999998</v>
      </c>
      <c r="M116" s="108">
        <v>20.079999999999998</v>
      </c>
      <c r="N116" s="108">
        <v>20.079999999999998</v>
      </c>
      <c r="O116" s="108">
        <v>20.079999999999998</v>
      </c>
      <c r="P116" s="106">
        <v>681.27</v>
      </c>
      <c r="R116" s="112"/>
    </row>
    <row r="117" spans="1:18" customFormat="1" ht="15" hidden="1" thickBot="1" x14ac:dyDescent="0.35">
      <c r="A117" s="103" t="s">
        <v>166</v>
      </c>
      <c r="B117" s="103" t="s">
        <v>236</v>
      </c>
      <c r="C117" s="103" t="s">
        <v>237</v>
      </c>
      <c r="D117" s="105"/>
      <c r="E117" s="105"/>
      <c r="F117" s="105"/>
      <c r="G117" s="105"/>
      <c r="H117" s="105"/>
      <c r="I117" s="105"/>
      <c r="J117" s="105"/>
      <c r="K117" s="105"/>
      <c r="L117" s="105"/>
      <c r="M117" s="104">
        <v>112.44</v>
      </c>
      <c r="N117" s="105"/>
      <c r="O117" s="105"/>
      <c r="P117" s="106">
        <v>112.44</v>
      </c>
      <c r="R117" s="112"/>
    </row>
    <row r="118" spans="1:18" customFormat="1" ht="15" hidden="1" thickBot="1" x14ac:dyDescent="0.35">
      <c r="A118" s="103" t="s">
        <v>169</v>
      </c>
      <c r="B118" s="103" t="s">
        <v>236</v>
      </c>
      <c r="C118" s="103" t="s">
        <v>237</v>
      </c>
      <c r="D118" s="104">
        <v>41083.96</v>
      </c>
      <c r="E118" s="104">
        <v>28532.720000000001</v>
      </c>
      <c r="F118" s="104">
        <v>30461.72</v>
      </c>
      <c r="G118" s="104">
        <v>32817.25</v>
      </c>
      <c r="H118" s="104">
        <v>32791.26</v>
      </c>
      <c r="I118" s="104">
        <v>25547.35</v>
      </c>
      <c r="J118" s="104">
        <v>40075.050000000003</v>
      </c>
      <c r="K118" s="104">
        <v>57259.99</v>
      </c>
      <c r="L118" s="104">
        <v>46529.56</v>
      </c>
      <c r="M118" s="104">
        <v>59211.8</v>
      </c>
      <c r="N118" s="104">
        <v>58633.53</v>
      </c>
      <c r="O118" s="104">
        <v>132237.85999999999</v>
      </c>
      <c r="P118" s="106">
        <v>585182.05000000005</v>
      </c>
      <c r="R118" s="112"/>
    </row>
    <row r="119" spans="1:18" customFormat="1" ht="15" hidden="1" thickBot="1" x14ac:dyDescent="0.35">
      <c r="A119" s="103" t="s">
        <v>173</v>
      </c>
      <c r="B119" s="103" t="s">
        <v>236</v>
      </c>
      <c r="C119" s="103" t="s">
        <v>237</v>
      </c>
      <c r="D119" s="105"/>
      <c r="E119" s="105"/>
      <c r="F119" s="105"/>
      <c r="G119" s="105"/>
      <c r="H119" s="105"/>
      <c r="I119" s="105"/>
      <c r="J119" s="105"/>
      <c r="K119" s="104">
        <v>214.04</v>
      </c>
      <c r="L119" s="105"/>
      <c r="M119" s="105"/>
      <c r="N119" s="105"/>
      <c r="O119" s="105"/>
      <c r="P119" s="106">
        <v>214.04</v>
      </c>
      <c r="R119" s="112"/>
    </row>
    <row r="120" spans="1:18" customFormat="1" ht="15" hidden="1" thickBot="1" x14ac:dyDescent="0.35">
      <c r="A120" s="103" t="s">
        <v>174</v>
      </c>
      <c r="B120" s="103" t="s">
        <v>236</v>
      </c>
      <c r="C120" s="103" t="s">
        <v>237</v>
      </c>
      <c r="D120" s="104">
        <v>4192.6899999999996</v>
      </c>
      <c r="E120" s="104">
        <v>4850.28</v>
      </c>
      <c r="F120" s="104">
        <v>2809.56</v>
      </c>
      <c r="G120" s="104">
        <v>3369.03</v>
      </c>
      <c r="H120" s="104">
        <v>3558.78</v>
      </c>
      <c r="I120" s="104">
        <v>4935.76</v>
      </c>
      <c r="J120" s="104">
        <v>10398.16</v>
      </c>
      <c r="K120" s="104">
        <v>9735.01</v>
      </c>
      <c r="L120" s="104">
        <v>4349.74</v>
      </c>
      <c r="M120" s="104">
        <v>4853.47</v>
      </c>
      <c r="N120" s="104">
        <v>4875.41</v>
      </c>
      <c r="O120" s="104">
        <v>3155.75</v>
      </c>
      <c r="P120" s="106">
        <v>61083.64</v>
      </c>
      <c r="R120" s="112"/>
    </row>
    <row r="121" spans="1:18" customFormat="1" ht="15" hidden="1" thickBot="1" x14ac:dyDescent="0.35">
      <c r="A121" s="103" t="s">
        <v>169</v>
      </c>
      <c r="B121" s="103" t="s">
        <v>238</v>
      </c>
      <c r="C121" s="103" t="s">
        <v>239</v>
      </c>
      <c r="D121" s="107"/>
      <c r="E121" s="107"/>
      <c r="F121" s="107"/>
      <c r="G121" s="107"/>
      <c r="H121" s="108">
        <v>31.4</v>
      </c>
      <c r="I121" s="107"/>
      <c r="J121" s="107"/>
      <c r="K121" s="107"/>
      <c r="L121" s="108">
        <v>37</v>
      </c>
      <c r="M121" s="107"/>
      <c r="N121" s="107"/>
      <c r="O121" s="107"/>
      <c r="P121" s="106">
        <v>68.400000000000006</v>
      </c>
      <c r="R121" s="112"/>
    </row>
    <row r="122" spans="1:18" customFormat="1" ht="15" hidden="1" thickBot="1" x14ac:dyDescent="0.35">
      <c r="A122" s="103" t="s">
        <v>173</v>
      </c>
      <c r="B122" s="103" t="s">
        <v>238</v>
      </c>
      <c r="C122" s="103" t="s">
        <v>239</v>
      </c>
      <c r="D122" s="108">
        <v>199.77</v>
      </c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6">
        <v>199.77</v>
      </c>
      <c r="R122" s="112"/>
    </row>
    <row r="123" spans="1:18" customFormat="1" ht="15" hidden="1" thickBot="1" x14ac:dyDescent="0.35">
      <c r="A123" s="103" t="s">
        <v>174</v>
      </c>
      <c r="B123" s="103" t="s">
        <v>238</v>
      </c>
      <c r="C123" s="103" t="s">
        <v>239</v>
      </c>
      <c r="D123" s="108">
        <v>33.799999999999997</v>
      </c>
      <c r="E123" s="108">
        <v>71</v>
      </c>
      <c r="F123" s="108">
        <v>39</v>
      </c>
      <c r="G123" s="108">
        <v>176.63</v>
      </c>
      <c r="H123" s="108">
        <v>93.2</v>
      </c>
      <c r="I123" s="108">
        <v>123.3</v>
      </c>
      <c r="J123" s="108">
        <v>160.34</v>
      </c>
      <c r="K123" s="108">
        <v>173.03</v>
      </c>
      <c r="L123" s="108">
        <v>40.4</v>
      </c>
      <c r="M123" s="108">
        <v>114.9</v>
      </c>
      <c r="N123" s="108">
        <v>146.80000000000001</v>
      </c>
      <c r="O123" s="108">
        <v>409.52</v>
      </c>
      <c r="P123" s="106">
        <v>1581.92</v>
      </c>
      <c r="R123" s="112"/>
    </row>
    <row r="124" spans="1:18" customFormat="1" ht="15" hidden="1" thickBot="1" x14ac:dyDescent="0.35">
      <c r="A124" s="103" t="s">
        <v>157</v>
      </c>
      <c r="B124" s="103" t="s">
        <v>240</v>
      </c>
      <c r="C124" s="103" t="s">
        <v>241</v>
      </c>
      <c r="D124" s="105"/>
      <c r="E124" s="105"/>
      <c r="F124" s="105"/>
      <c r="G124" s="104">
        <v>37.700000000000003</v>
      </c>
      <c r="H124" s="105"/>
      <c r="I124" s="105"/>
      <c r="J124" s="105"/>
      <c r="K124" s="105"/>
      <c r="L124" s="105"/>
      <c r="M124" s="105"/>
      <c r="N124" s="105"/>
      <c r="O124" s="105"/>
      <c r="P124" s="106">
        <v>37.700000000000003</v>
      </c>
      <c r="R124" s="112"/>
    </row>
    <row r="125" spans="1:18" customFormat="1" ht="15" hidden="1" thickBot="1" x14ac:dyDescent="0.35">
      <c r="A125" s="103" t="s">
        <v>165</v>
      </c>
      <c r="B125" s="103" t="s">
        <v>240</v>
      </c>
      <c r="C125" s="103" t="s">
        <v>241</v>
      </c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8">
        <v>126.91</v>
      </c>
      <c r="P125" s="106">
        <v>126.91</v>
      </c>
      <c r="R125" s="112"/>
    </row>
    <row r="126" spans="1:18" customFormat="1" ht="15" hidden="1" thickBot="1" x14ac:dyDescent="0.35">
      <c r="A126" s="103" t="s">
        <v>242</v>
      </c>
      <c r="B126" s="103" t="s">
        <v>240</v>
      </c>
      <c r="C126" s="103" t="s">
        <v>241</v>
      </c>
      <c r="D126" s="105"/>
      <c r="E126" s="105"/>
      <c r="F126" s="105"/>
      <c r="G126" s="104">
        <v>799.36</v>
      </c>
      <c r="H126" s="105"/>
      <c r="I126" s="104">
        <v>464.37</v>
      </c>
      <c r="J126" s="105"/>
      <c r="K126" s="105"/>
      <c r="L126" s="105"/>
      <c r="M126" s="105"/>
      <c r="N126" s="105"/>
      <c r="O126" s="105"/>
      <c r="P126" s="106">
        <v>1263.73</v>
      </c>
      <c r="R126" s="112"/>
    </row>
    <row r="127" spans="1:18" customFormat="1" ht="15" hidden="1" thickBot="1" x14ac:dyDescent="0.35">
      <c r="A127" s="103" t="s">
        <v>173</v>
      </c>
      <c r="B127" s="103" t="s">
        <v>240</v>
      </c>
      <c r="C127" s="103" t="s">
        <v>241</v>
      </c>
      <c r="D127" s="105"/>
      <c r="E127" s="105"/>
      <c r="F127" s="105"/>
      <c r="G127" s="104">
        <v>410.03</v>
      </c>
      <c r="H127" s="105"/>
      <c r="I127" s="105"/>
      <c r="J127" s="105"/>
      <c r="K127" s="105"/>
      <c r="L127" s="105"/>
      <c r="M127" s="105"/>
      <c r="N127" s="105"/>
      <c r="O127" s="104">
        <v>1590</v>
      </c>
      <c r="P127" s="106">
        <v>2000.03</v>
      </c>
      <c r="R127" s="112"/>
    </row>
    <row r="128" spans="1:18" customFormat="1" ht="15" hidden="1" thickBot="1" x14ac:dyDescent="0.35">
      <c r="A128" s="103" t="s">
        <v>188</v>
      </c>
      <c r="B128" s="103" t="s">
        <v>243</v>
      </c>
      <c r="C128" s="103" t="s">
        <v>244</v>
      </c>
      <c r="D128" s="108">
        <v>1212.73</v>
      </c>
      <c r="E128" s="108">
        <v>5105.1400000000003</v>
      </c>
      <c r="F128" s="108">
        <v>3695.73</v>
      </c>
      <c r="G128" s="108">
        <v>4951.76</v>
      </c>
      <c r="H128" s="108">
        <v>4001.59</v>
      </c>
      <c r="I128" s="108">
        <v>3924.06</v>
      </c>
      <c r="J128" s="108">
        <v>6056.24</v>
      </c>
      <c r="K128" s="108">
        <v>413.38</v>
      </c>
      <c r="L128" s="108">
        <v>7098.63</v>
      </c>
      <c r="M128" s="108">
        <v>20.23</v>
      </c>
      <c r="N128" s="108">
        <v>5381.45</v>
      </c>
      <c r="O128" s="108">
        <v>3700.9</v>
      </c>
      <c r="P128" s="106">
        <v>45561.84</v>
      </c>
      <c r="R128" s="112"/>
    </row>
    <row r="129" spans="1:18" customFormat="1" ht="21" hidden="1" thickBot="1" x14ac:dyDescent="0.35">
      <c r="A129" s="103" t="s">
        <v>157</v>
      </c>
      <c r="B129" s="103" t="s">
        <v>245</v>
      </c>
      <c r="C129" s="103" t="s">
        <v>246</v>
      </c>
      <c r="D129" s="107"/>
      <c r="E129" s="107"/>
      <c r="F129" s="107"/>
      <c r="G129" s="108">
        <v>143.38999999999999</v>
      </c>
      <c r="H129" s="110">
        <v>0</v>
      </c>
      <c r="I129" s="107"/>
      <c r="J129" s="107"/>
      <c r="K129" s="107"/>
      <c r="L129" s="107"/>
      <c r="M129" s="107"/>
      <c r="N129" s="107"/>
      <c r="O129" s="107"/>
      <c r="P129" s="106">
        <v>143.38999999999999</v>
      </c>
      <c r="R129" s="112"/>
    </row>
    <row r="130" spans="1:18" customFormat="1" ht="21" hidden="1" thickBot="1" x14ac:dyDescent="0.35">
      <c r="A130" s="103" t="s">
        <v>164</v>
      </c>
      <c r="B130" s="103" t="s">
        <v>245</v>
      </c>
      <c r="C130" s="103" t="s">
        <v>246</v>
      </c>
      <c r="D130" s="105"/>
      <c r="E130" s="104">
        <v>1171.4100000000001</v>
      </c>
      <c r="F130" s="104">
        <v>94.6</v>
      </c>
      <c r="G130" s="104">
        <v>66.86</v>
      </c>
      <c r="H130" s="104">
        <v>66.86</v>
      </c>
      <c r="I130" s="105"/>
      <c r="J130" s="104">
        <v>252.27</v>
      </c>
      <c r="K130" s="105"/>
      <c r="L130" s="104">
        <v>66.86</v>
      </c>
      <c r="M130" s="104">
        <v>3370.28</v>
      </c>
      <c r="N130" s="104">
        <v>1263.6199999999999</v>
      </c>
      <c r="O130" s="105"/>
      <c r="P130" s="106">
        <v>6352.76</v>
      </c>
      <c r="R130" s="112"/>
    </row>
    <row r="131" spans="1:18" customFormat="1" ht="21" hidden="1" thickBot="1" x14ac:dyDescent="0.35">
      <c r="A131" s="103" t="s">
        <v>165</v>
      </c>
      <c r="B131" s="103" t="s">
        <v>245</v>
      </c>
      <c r="C131" s="103" t="s">
        <v>246</v>
      </c>
      <c r="D131" s="104">
        <v>-2140.02</v>
      </c>
      <c r="E131" s="104">
        <v>14112.39</v>
      </c>
      <c r="F131" s="104">
        <v>10998.62</v>
      </c>
      <c r="G131" s="104">
        <v>12717.77</v>
      </c>
      <c r="H131" s="104">
        <v>-38146.449999999997</v>
      </c>
      <c r="I131" s="104">
        <v>-3103.53</v>
      </c>
      <c r="J131" s="104">
        <v>-360.02</v>
      </c>
      <c r="K131" s="104">
        <v>-2330.27</v>
      </c>
      <c r="L131" s="104">
        <v>-753.03</v>
      </c>
      <c r="M131" s="104">
        <v>8016.73</v>
      </c>
      <c r="N131" s="104">
        <v>-10632.53</v>
      </c>
      <c r="O131" s="104">
        <v>-963.33</v>
      </c>
      <c r="P131" s="106">
        <v>-12583.67</v>
      </c>
      <c r="R131" s="112"/>
    </row>
    <row r="132" spans="1:18" customFormat="1" ht="21" hidden="1" thickBot="1" x14ac:dyDescent="0.35">
      <c r="A132" s="103" t="s">
        <v>242</v>
      </c>
      <c r="B132" s="103" t="s">
        <v>245</v>
      </c>
      <c r="C132" s="103" t="s">
        <v>246</v>
      </c>
      <c r="D132" s="108">
        <v>-1836.61</v>
      </c>
      <c r="E132" s="108">
        <v>-1291.5</v>
      </c>
      <c r="F132" s="108">
        <v>197.3</v>
      </c>
      <c r="G132" s="107"/>
      <c r="H132" s="107"/>
      <c r="I132" s="107"/>
      <c r="J132" s="107"/>
      <c r="K132" s="107"/>
      <c r="L132" s="107"/>
      <c r="M132" s="107"/>
      <c r="N132" s="107"/>
      <c r="O132" s="107"/>
      <c r="P132" s="106">
        <v>-2930.81</v>
      </c>
      <c r="R132" s="112"/>
    </row>
    <row r="133" spans="1:18" customFormat="1" ht="21" hidden="1" thickBot="1" x14ac:dyDescent="0.35">
      <c r="A133" s="103" t="s">
        <v>173</v>
      </c>
      <c r="B133" s="103" t="s">
        <v>245</v>
      </c>
      <c r="C133" s="103" t="s">
        <v>246</v>
      </c>
      <c r="D133" s="108">
        <v>199.77</v>
      </c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6">
        <v>199.77</v>
      </c>
      <c r="R133" s="112"/>
    </row>
    <row r="134" spans="1:18" customFormat="1" ht="15" hidden="1" thickBot="1" x14ac:dyDescent="0.35">
      <c r="A134" s="103" t="s">
        <v>247</v>
      </c>
      <c r="B134" s="103" t="s">
        <v>248</v>
      </c>
      <c r="C134" s="103" t="s">
        <v>249</v>
      </c>
      <c r="D134" s="104">
        <v>335000</v>
      </c>
      <c r="E134" s="105"/>
      <c r="F134" s="104">
        <v>275000</v>
      </c>
      <c r="G134" s="105"/>
      <c r="H134" s="105"/>
      <c r="I134" s="105"/>
      <c r="J134" s="105"/>
      <c r="K134" s="105"/>
      <c r="L134" s="104">
        <v>51380</v>
      </c>
      <c r="M134" s="105"/>
      <c r="N134" s="104">
        <v>50000</v>
      </c>
      <c r="O134" s="104">
        <v>68438.460000000006</v>
      </c>
      <c r="P134" s="106">
        <v>779818.46</v>
      </c>
      <c r="R134" s="112"/>
    </row>
    <row r="135" spans="1:18" customFormat="1" ht="21" hidden="1" thickBot="1" x14ac:dyDescent="0.35">
      <c r="A135" s="103" t="s">
        <v>143</v>
      </c>
      <c r="B135" s="103" t="s">
        <v>250</v>
      </c>
      <c r="C135" s="103" t="s">
        <v>251</v>
      </c>
      <c r="D135" s="107"/>
      <c r="E135" s="107"/>
      <c r="F135" s="107"/>
      <c r="G135" s="108">
        <v>4689.74</v>
      </c>
      <c r="H135" s="108">
        <v>5157.1400000000003</v>
      </c>
      <c r="I135" s="107"/>
      <c r="J135" s="107"/>
      <c r="K135" s="107"/>
      <c r="L135" s="107"/>
      <c r="M135" s="107"/>
      <c r="N135" s="107"/>
      <c r="O135" s="107"/>
      <c r="P135" s="106">
        <v>9846.8799999999992</v>
      </c>
      <c r="R135" s="112"/>
    </row>
    <row r="136" spans="1:18" customFormat="1" ht="21" hidden="1" thickBot="1" x14ac:dyDescent="0.35">
      <c r="A136" s="103" t="s">
        <v>157</v>
      </c>
      <c r="B136" s="103" t="s">
        <v>250</v>
      </c>
      <c r="C136" s="103" t="s">
        <v>251</v>
      </c>
      <c r="D136" s="104">
        <v>1361.04</v>
      </c>
      <c r="E136" s="104">
        <v>4935.71</v>
      </c>
      <c r="F136" s="104">
        <v>2930.55</v>
      </c>
      <c r="G136" s="104">
        <v>1583.06</v>
      </c>
      <c r="H136" s="104">
        <v>6189.19</v>
      </c>
      <c r="I136" s="104">
        <v>1921.45</v>
      </c>
      <c r="J136" s="104">
        <v>3214.31</v>
      </c>
      <c r="K136" s="104">
        <v>941.39</v>
      </c>
      <c r="L136" s="104">
        <v>1913.95</v>
      </c>
      <c r="M136" s="104">
        <v>813.77</v>
      </c>
      <c r="N136" s="104">
        <v>5478.59</v>
      </c>
      <c r="O136" s="104">
        <v>1737.96</v>
      </c>
      <c r="P136" s="106">
        <v>33020.97</v>
      </c>
      <c r="R136" s="112"/>
    </row>
    <row r="137" spans="1:18" customFormat="1" ht="21" hidden="1" thickBot="1" x14ac:dyDescent="0.35">
      <c r="A137" s="103" t="s">
        <v>160</v>
      </c>
      <c r="B137" s="103" t="s">
        <v>250</v>
      </c>
      <c r="C137" s="103" t="s">
        <v>251</v>
      </c>
      <c r="D137" s="108">
        <v>5213.7</v>
      </c>
      <c r="E137" s="108">
        <v>6932.48</v>
      </c>
      <c r="F137" s="108">
        <v>6015.4</v>
      </c>
      <c r="G137" s="108">
        <v>5404.28</v>
      </c>
      <c r="H137" s="108">
        <v>1890.44</v>
      </c>
      <c r="I137" s="108">
        <v>8007.03</v>
      </c>
      <c r="J137" s="108">
        <v>5911.8</v>
      </c>
      <c r="K137" s="108">
        <v>5065.6899999999996</v>
      </c>
      <c r="L137" s="108">
        <v>4837.51</v>
      </c>
      <c r="M137" s="108">
        <v>4665.78</v>
      </c>
      <c r="N137" s="108">
        <v>4175.8999999999996</v>
      </c>
      <c r="O137" s="108">
        <v>4881.57</v>
      </c>
      <c r="P137" s="106">
        <v>63001.58</v>
      </c>
      <c r="R137" s="112"/>
    </row>
    <row r="138" spans="1:18" customFormat="1" ht="21" hidden="1" thickBot="1" x14ac:dyDescent="0.35">
      <c r="A138" s="103" t="s">
        <v>161</v>
      </c>
      <c r="B138" s="103" t="s">
        <v>250</v>
      </c>
      <c r="C138" s="103" t="s">
        <v>251</v>
      </c>
      <c r="D138" s="104">
        <v>6802.17</v>
      </c>
      <c r="E138" s="104">
        <v>2744.71</v>
      </c>
      <c r="F138" s="104">
        <v>5079.79</v>
      </c>
      <c r="G138" s="104">
        <v>1709.02</v>
      </c>
      <c r="H138" s="104">
        <v>4718.71</v>
      </c>
      <c r="I138" s="104">
        <v>4995.22</v>
      </c>
      <c r="J138" s="104">
        <v>3164.7</v>
      </c>
      <c r="K138" s="104">
        <v>3166.3</v>
      </c>
      <c r="L138" s="104">
        <v>3583.23</v>
      </c>
      <c r="M138" s="104">
        <v>1167.4100000000001</v>
      </c>
      <c r="N138" s="104">
        <v>8572.85</v>
      </c>
      <c r="O138" s="104">
        <v>4315.7</v>
      </c>
      <c r="P138" s="106">
        <v>50019.81</v>
      </c>
      <c r="R138" s="112"/>
    </row>
    <row r="139" spans="1:18" customFormat="1" ht="21" hidden="1" thickBot="1" x14ac:dyDescent="0.35">
      <c r="A139" s="103" t="s">
        <v>166</v>
      </c>
      <c r="B139" s="103" t="s">
        <v>250</v>
      </c>
      <c r="C139" s="103" t="s">
        <v>251</v>
      </c>
      <c r="D139" s="108">
        <v>16335.84</v>
      </c>
      <c r="E139" s="108">
        <v>18362.14</v>
      </c>
      <c r="F139" s="108">
        <v>27033.96</v>
      </c>
      <c r="G139" s="108">
        <v>20275.3</v>
      </c>
      <c r="H139" s="108">
        <v>22199.38</v>
      </c>
      <c r="I139" s="108">
        <v>23778.17</v>
      </c>
      <c r="J139" s="108">
        <v>25670.31</v>
      </c>
      <c r="K139" s="108">
        <v>20335.2</v>
      </c>
      <c r="L139" s="108">
        <v>18856.75</v>
      </c>
      <c r="M139" s="108">
        <v>23191.63</v>
      </c>
      <c r="N139" s="108">
        <v>28798.59</v>
      </c>
      <c r="O139" s="108">
        <v>28857.31</v>
      </c>
      <c r="P139" s="106">
        <v>273694.58</v>
      </c>
      <c r="R139" s="112"/>
    </row>
    <row r="140" spans="1:18" customFormat="1" ht="21" hidden="1" thickBot="1" x14ac:dyDescent="0.35">
      <c r="A140" s="103" t="s">
        <v>167</v>
      </c>
      <c r="B140" s="103" t="s">
        <v>250</v>
      </c>
      <c r="C140" s="103" t="s">
        <v>251</v>
      </c>
      <c r="D140" s="104">
        <v>244.9</v>
      </c>
      <c r="E140" s="104">
        <v>1140.6099999999999</v>
      </c>
      <c r="F140" s="105"/>
      <c r="G140" s="105"/>
      <c r="H140" s="105"/>
      <c r="I140" s="104">
        <v>653.32000000000005</v>
      </c>
      <c r="J140" s="105"/>
      <c r="K140" s="104">
        <v>163.33000000000001</v>
      </c>
      <c r="L140" s="105"/>
      <c r="M140" s="105"/>
      <c r="N140" s="104">
        <v>325.10000000000002</v>
      </c>
      <c r="O140" s="104">
        <v>252.28</v>
      </c>
      <c r="P140" s="106">
        <v>2779.54</v>
      </c>
      <c r="R140" s="112"/>
    </row>
    <row r="141" spans="1:18" customFormat="1" ht="21" hidden="1" thickBot="1" x14ac:dyDescent="0.35">
      <c r="A141" s="103" t="s">
        <v>169</v>
      </c>
      <c r="B141" s="103" t="s">
        <v>250</v>
      </c>
      <c r="C141" s="103" t="s">
        <v>251</v>
      </c>
      <c r="D141" s="105"/>
      <c r="E141" s="104">
        <v>139.96</v>
      </c>
      <c r="F141" s="105"/>
      <c r="G141" s="105"/>
      <c r="H141" s="105"/>
      <c r="I141" s="104">
        <v>244.79</v>
      </c>
      <c r="J141" s="105"/>
      <c r="K141" s="105"/>
      <c r="L141" s="105"/>
      <c r="M141" s="105"/>
      <c r="N141" s="105"/>
      <c r="O141" s="105"/>
      <c r="P141" s="106">
        <v>384.75</v>
      </c>
      <c r="R141" s="112"/>
    </row>
    <row r="142" spans="1:18" customFormat="1" ht="21" hidden="1" thickBot="1" x14ac:dyDescent="0.35">
      <c r="A142" s="103" t="s">
        <v>172</v>
      </c>
      <c r="B142" s="103" t="s">
        <v>250</v>
      </c>
      <c r="C142" s="103" t="s">
        <v>251</v>
      </c>
      <c r="D142" s="108">
        <v>466.67</v>
      </c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8">
        <v>412.77</v>
      </c>
      <c r="P142" s="106">
        <v>879.44</v>
      </c>
      <c r="R142" s="112"/>
    </row>
    <row r="143" spans="1:18" customFormat="1" ht="21" hidden="1" thickBot="1" x14ac:dyDescent="0.35">
      <c r="A143" s="103" t="s">
        <v>173</v>
      </c>
      <c r="B143" s="103" t="s">
        <v>250</v>
      </c>
      <c r="C143" s="103" t="s">
        <v>251</v>
      </c>
      <c r="D143" s="104">
        <v>210299.59</v>
      </c>
      <c r="E143" s="104">
        <v>223056.44</v>
      </c>
      <c r="F143" s="104">
        <v>243864.7</v>
      </c>
      <c r="G143" s="104">
        <v>242470.16</v>
      </c>
      <c r="H143" s="104">
        <v>191815.1</v>
      </c>
      <c r="I143" s="104">
        <v>211444.44</v>
      </c>
      <c r="J143" s="104">
        <v>232609.28</v>
      </c>
      <c r="K143" s="104">
        <v>258439.54</v>
      </c>
      <c r="L143" s="104">
        <v>252598.73</v>
      </c>
      <c r="M143" s="104">
        <v>257986.51</v>
      </c>
      <c r="N143" s="104">
        <v>225142.79</v>
      </c>
      <c r="O143" s="104">
        <v>251990.29</v>
      </c>
      <c r="P143" s="106">
        <v>2801717.57</v>
      </c>
      <c r="R143" s="112"/>
    </row>
    <row r="144" spans="1:18" customFormat="1" ht="21" hidden="1" thickBot="1" x14ac:dyDescent="0.35">
      <c r="A144" s="103" t="s">
        <v>219</v>
      </c>
      <c r="B144" s="103" t="s">
        <v>250</v>
      </c>
      <c r="C144" s="103" t="s">
        <v>251</v>
      </c>
      <c r="D144" s="104">
        <v>2390.84</v>
      </c>
      <c r="E144" s="105"/>
      <c r="F144" s="104">
        <v>1195.42</v>
      </c>
      <c r="G144" s="104">
        <v>1218.3399999999999</v>
      </c>
      <c r="H144" s="104">
        <v>1218.3399999999999</v>
      </c>
      <c r="I144" s="104">
        <v>1218.3399999999999</v>
      </c>
      <c r="J144" s="104">
        <v>1218.3399999999999</v>
      </c>
      <c r="K144" s="104">
        <v>1218.3399999999999</v>
      </c>
      <c r="L144" s="104">
        <v>1131.3399999999999</v>
      </c>
      <c r="M144" s="104">
        <v>1955.34</v>
      </c>
      <c r="N144" s="104">
        <v>1218.3399999999999</v>
      </c>
      <c r="O144" s="104">
        <v>1955.34</v>
      </c>
      <c r="P144" s="106">
        <v>15938.32</v>
      </c>
      <c r="R144" s="112"/>
    </row>
    <row r="145" spans="1:19" customFormat="1" ht="21" hidden="1" thickBot="1" x14ac:dyDescent="0.35">
      <c r="A145" s="103" t="s">
        <v>174</v>
      </c>
      <c r="B145" s="103" t="s">
        <v>250</v>
      </c>
      <c r="C145" s="103" t="s">
        <v>251</v>
      </c>
      <c r="D145" s="104">
        <v>56289.69</v>
      </c>
      <c r="E145" s="104">
        <v>48389.78</v>
      </c>
      <c r="F145" s="104">
        <v>50023.41</v>
      </c>
      <c r="G145" s="104">
        <v>41777.71</v>
      </c>
      <c r="H145" s="104">
        <v>74296.45</v>
      </c>
      <c r="I145" s="104">
        <v>73737.11</v>
      </c>
      <c r="J145" s="104">
        <v>29072.59</v>
      </c>
      <c r="K145" s="104">
        <v>26949.74</v>
      </c>
      <c r="L145" s="104">
        <v>33224.83</v>
      </c>
      <c r="M145" s="104">
        <v>31173.56</v>
      </c>
      <c r="N145" s="104">
        <v>28376.36</v>
      </c>
      <c r="O145" s="104">
        <v>33265.19</v>
      </c>
      <c r="P145" s="106">
        <v>526576.42000000004</v>
      </c>
      <c r="R145" s="112"/>
    </row>
    <row r="146" spans="1:19" customFormat="1" ht="15" hidden="1" thickBot="1" x14ac:dyDescent="0.35">
      <c r="A146" s="103" t="s">
        <v>252</v>
      </c>
      <c r="B146" s="103" t="s">
        <v>146</v>
      </c>
      <c r="C146" s="103" t="s">
        <v>147</v>
      </c>
      <c r="D146" s="108">
        <v>136887.62</v>
      </c>
      <c r="E146" s="108">
        <v>143407.16</v>
      </c>
      <c r="F146" s="108">
        <v>147133.64000000001</v>
      </c>
      <c r="G146" s="108">
        <v>141722.19</v>
      </c>
      <c r="H146" s="108">
        <v>144563.53</v>
      </c>
      <c r="I146" s="108">
        <v>138621.43</v>
      </c>
      <c r="J146" s="108">
        <v>132782.25</v>
      </c>
      <c r="K146" s="108">
        <v>140419.85999999999</v>
      </c>
      <c r="L146" s="108">
        <v>144320.87</v>
      </c>
      <c r="M146" s="108">
        <v>169535.95</v>
      </c>
      <c r="N146" s="108">
        <v>157684.98000000001</v>
      </c>
      <c r="O146" s="108">
        <v>152318.54</v>
      </c>
      <c r="P146" s="106">
        <v>1749398.02</v>
      </c>
      <c r="R146" s="112"/>
    </row>
    <row r="147" spans="1:19" customFormat="1" ht="15" hidden="1" thickBot="1" x14ac:dyDescent="0.35">
      <c r="A147" s="123" t="s">
        <v>171</v>
      </c>
      <c r="B147" s="123" t="s">
        <v>146</v>
      </c>
      <c r="C147" s="123" t="s">
        <v>147</v>
      </c>
      <c r="D147" s="104">
        <v>966825.09</v>
      </c>
      <c r="E147" s="104">
        <v>860294.63</v>
      </c>
      <c r="F147" s="104">
        <v>915156.33</v>
      </c>
      <c r="G147" s="104">
        <v>893533.57</v>
      </c>
      <c r="H147" s="104">
        <v>957243.85</v>
      </c>
      <c r="I147" s="104">
        <v>815508.5</v>
      </c>
      <c r="J147" s="104">
        <v>842555.89</v>
      </c>
      <c r="K147" s="104">
        <v>923964.86</v>
      </c>
      <c r="L147" s="104">
        <v>771237.95</v>
      </c>
      <c r="M147" s="104">
        <v>1112740.58</v>
      </c>
      <c r="N147" s="104">
        <v>853434.3</v>
      </c>
      <c r="O147" s="104">
        <v>819574.17</v>
      </c>
      <c r="P147" s="124">
        <v>10732069.720000001</v>
      </c>
      <c r="R147" s="112"/>
    </row>
    <row r="148" spans="1:19" ht="15.6" thickBot="1" x14ac:dyDescent="0.35">
      <c r="A148" s="128" t="s">
        <v>173</v>
      </c>
      <c r="B148" s="128" t="s">
        <v>146</v>
      </c>
      <c r="C148" s="130" t="s">
        <v>147</v>
      </c>
      <c r="D148" s="107"/>
      <c r="E148" s="108">
        <v>2358.2800000000002</v>
      </c>
      <c r="F148" s="107"/>
      <c r="G148" s="107"/>
      <c r="H148" s="107"/>
      <c r="I148" s="107"/>
      <c r="J148" s="107"/>
      <c r="K148" s="107"/>
      <c r="L148" s="107"/>
      <c r="M148" s="107"/>
      <c r="N148" s="107"/>
      <c r="O148" s="122"/>
      <c r="P148" s="131">
        <v>2358.2800000000002</v>
      </c>
      <c r="R148" s="115" t="s">
        <v>536</v>
      </c>
      <c r="S148" s="118">
        <f>S7/S53</f>
        <v>3.0547399393140655E-2</v>
      </c>
    </row>
    <row r="149" spans="1:19" customFormat="1" ht="15" hidden="1" thickBot="1" x14ac:dyDescent="0.35">
      <c r="A149" s="125" t="s">
        <v>157</v>
      </c>
      <c r="B149" s="125" t="s">
        <v>155</v>
      </c>
      <c r="C149" s="125" t="s">
        <v>156</v>
      </c>
      <c r="D149" s="108">
        <v>98545.08</v>
      </c>
      <c r="E149" s="108">
        <v>100736.19</v>
      </c>
      <c r="F149" s="108">
        <v>97111.52</v>
      </c>
      <c r="G149" s="108">
        <v>122070.14</v>
      </c>
      <c r="H149" s="108">
        <v>115791.49</v>
      </c>
      <c r="I149" s="108">
        <v>107362.49</v>
      </c>
      <c r="J149" s="108">
        <v>88959.89</v>
      </c>
      <c r="K149" s="108">
        <v>117404.34</v>
      </c>
      <c r="L149" s="108">
        <v>101979.19</v>
      </c>
      <c r="M149" s="108">
        <v>95085.57</v>
      </c>
      <c r="N149" s="108">
        <v>94791.85</v>
      </c>
      <c r="O149" s="108">
        <v>78517.75</v>
      </c>
      <c r="P149" s="126">
        <v>1218355.5</v>
      </c>
    </row>
    <row r="150" spans="1:19" customFormat="1" ht="15" hidden="1" thickBot="1" x14ac:dyDescent="0.35">
      <c r="A150" s="103" t="s">
        <v>160</v>
      </c>
      <c r="B150" s="103" t="s">
        <v>155</v>
      </c>
      <c r="C150" s="103" t="s">
        <v>156</v>
      </c>
      <c r="D150" s="105"/>
      <c r="E150" s="105"/>
      <c r="F150" s="105"/>
      <c r="G150" s="105"/>
      <c r="H150" s="105"/>
      <c r="I150" s="105"/>
      <c r="J150" s="104">
        <v>468.74</v>
      </c>
      <c r="K150" s="105"/>
      <c r="L150" s="104">
        <v>234.37</v>
      </c>
      <c r="M150" s="105"/>
      <c r="N150" s="105"/>
      <c r="O150" s="104">
        <v>-5985.38</v>
      </c>
      <c r="P150" s="106">
        <v>-5282.27</v>
      </c>
    </row>
    <row r="151" spans="1:19" customFormat="1" ht="15" hidden="1" thickBot="1" x14ac:dyDescent="0.35">
      <c r="A151" s="103" t="s">
        <v>161</v>
      </c>
      <c r="B151" s="103" t="s">
        <v>155</v>
      </c>
      <c r="C151" s="103" t="s">
        <v>156</v>
      </c>
      <c r="D151" s="108">
        <v>612.45000000000005</v>
      </c>
      <c r="E151" s="108">
        <v>1119.8800000000001</v>
      </c>
      <c r="F151" s="108">
        <v>1295.25</v>
      </c>
      <c r="G151" s="108">
        <v>1677.99</v>
      </c>
      <c r="H151" s="108">
        <v>980.19</v>
      </c>
      <c r="I151" s="108">
        <v>2117.75</v>
      </c>
      <c r="J151" s="108">
        <v>1557.47</v>
      </c>
      <c r="K151" s="108">
        <v>857.67</v>
      </c>
      <c r="L151" s="108">
        <v>1557.8</v>
      </c>
      <c r="M151" s="108">
        <v>542.61</v>
      </c>
      <c r="N151" s="108">
        <v>1067.71</v>
      </c>
      <c r="O151" s="108">
        <v>1260.98</v>
      </c>
      <c r="P151" s="106">
        <v>14647.75</v>
      </c>
    </row>
    <row r="152" spans="1:19" customFormat="1" ht="15" hidden="1" thickBot="1" x14ac:dyDescent="0.35">
      <c r="A152" s="103" t="s">
        <v>162</v>
      </c>
      <c r="B152" s="103" t="s">
        <v>155</v>
      </c>
      <c r="C152" s="103" t="s">
        <v>156</v>
      </c>
      <c r="D152" s="104">
        <v>453169.16</v>
      </c>
      <c r="E152" s="104">
        <v>420607.85</v>
      </c>
      <c r="F152" s="104">
        <v>507738.19</v>
      </c>
      <c r="G152" s="104">
        <v>494169.88</v>
      </c>
      <c r="H152" s="104">
        <v>490817.2</v>
      </c>
      <c r="I152" s="104">
        <v>451345.2</v>
      </c>
      <c r="J152" s="104">
        <v>477939.51</v>
      </c>
      <c r="K152" s="104">
        <v>559267.66</v>
      </c>
      <c r="L152" s="104">
        <v>570153</v>
      </c>
      <c r="M152" s="104">
        <v>519972.77</v>
      </c>
      <c r="N152" s="104">
        <v>473454.77</v>
      </c>
      <c r="O152" s="104">
        <v>458522.43</v>
      </c>
      <c r="P152" s="106">
        <v>5877157.6200000001</v>
      </c>
    </row>
    <row r="153" spans="1:19" customFormat="1" ht="15" hidden="1" thickBot="1" x14ac:dyDescent="0.35">
      <c r="A153" s="103" t="s">
        <v>163</v>
      </c>
      <c r="B153" s="103" t="s">
        <v>155</v>
      </c>
      <c r="C153" s="103" t="s">
        <v>156</v>
      </c>
      <c r="D153" s="108">
        <v>650104.93999999994</v>
      </c>
      <c r="E153" s="108">
        <v>588358.44999999995</v>
      </c>
      <c r="F153" s="108">
        <v>630720.5</v>
      </c>
      <c r="G153" s="108">
        <v>577963.89</v>
      </c>
      <c r="H153" s="108">
        <v>669480.41</v>
      </c>
      <c r="I153" s="108">
        <v>479290.13</v>
      </c>
      <c r="J153" s="108">
        <v>616011.13</v>
      </c>
      <c r="K153" s="108">
        <v>565211.25</v>
      </c>
      <c r="L153" s="108">
        <v>637870.14</v>
      </c>
      <c r="M153" s="108">
        <v>761025.4</v>
      </c>
      <c r="N153" s="108">
        <v>811350.91</v>
      </c>
      <c r="O153" s="108">
        <v>550396.06999999995</v>
      </c>
      <c r="P153" s="106">
        <v>7537783.2199999997</v>
      </c>
    </row>
    <row r="154" spans="1:19" customFormat="1" ht="15" hidden="1" thickBot="1" x14ac:dyDescent="0.35">
      <c r="A154" s="103" t="s">
        <v>164</v>
      </c>
      <c r="B154" s="103" t="s">
        <v>155</v>
      </c>
      <c r="C154" s="103" t="s">
        <v>156</v>
      </c>
      <c r="D154" s="108">
        <v>136091.6</v>
      </c>
      <c r="E154" s="108">
        <v>81794.559999999998</v>
      </c>
      <c r="F154" s="108">
        <v>27062.240000000002</v>
      </c>
      <c r="G154" s="108">
        <v>41728.1</v>
      </c>
      <c r="H154" s="108">
        <v>103562.9</v>
      </c>
      <c r="I154" s="108">
        <v>111098.77</v>
      </c>
      <c r="J154" s="108">
        <v>21927.200000000001</v>
      </c>
      <c r="K154" s="108">
        <v>102727.83</v>
      </c>
      <c r="L154" s="108">
        <v>62736.06</v>
      </c>
      <c r="M154" s="108">
        <v>108637.33</v>
      </c>
      <c r="N154" s="108">
        <v>58911.47</v>
      </c>
      <c r="O154" s="108">
        <v>20199.79</v>
      </c>
      <c r="P154" s="106">
        <v>876477.85</v>
      </c>
    </row>
    <row r="155" spans="1:19" customFormat="1" ht="15" hidden="1" thickBot="1" x14ac:dyDescent="0.35">
      <c r="A155" s="103" t="s">
        <v>165</v>
      </c>
      <c r="B155" s="103" t="s">
        <v>155</v>
      </c>
      <c r="C155" s="103" t="s">
        <v>156</v>
      </c>
      <c r="D155" s="108">
        <v>12</v>
      </c>
      <c r="E155" s="108">
        <v>18.84</v>
      </c>
      <c r="F155" s="107"/>
      <c r="G155" s="107"/>
      <c r="H155" s="108">
        <v>-2391.8200000000002</v>
      </c>
      <c r="I155" s="107"/>
      <c r="J155" s="107"/>
      <c r="K155" s="107"/>
      <c r="L155" s="108">
        <v>47.99</v>
      </c>
      <c r="M155" s="107"/>
      <c r="N155" s="108">
        <v>3.35</v>
      </c>
      <c r="O155" s="107"/>
      <c r="P155" s="106">
        <v>-2309.64</v>
      </c>
    </row>
    <row r="156" spans="1:19" customFormat="1" ht="15" hidden="1" thickBot="1" x14ac:dyDescent="0.35">
      <c r="A156" s="103" t="s">
        <v>168</v>
      </c>
      <c r="B156" s="103" t="s">
        <v>155</v>
      </c>
      <c r="C156" s="103" t="s">
        <v>156</v>
      </c>
      <c r="D156" s="108">
        <v>513.62</v>
      </c>
      <c r="E156" s="108">
        <v>513.62</v>
      </c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6">
        <v>1027.24</v>
      </c>
    </row>
    <row r="157" spans="1:19" customFormat="1" ht="15" hidden="1" thickBot="1" x14ac:dyDescent="0.35">
      <c r="A157" s="103" t="s">
        <v>169</v>
      </c>
      <c r="B157" s="103" t="s">
        <v>155</v>
      </c>
      <c r="C157" s="103" t="s">
        <v>156</v>
      </c>
      <c r="D157" s="108">
        <v>85189.72</v>
      </c>
      <c r="E157" s="108">
        <v>102080.38</v>
      </c>
      <c r="F157" s="108">
        <v>128935.95</v>
      </c>
      <c r="G157" s="108">
        <v>116957.68</v>
      </c>
      <c r="H157" s="108">
        <v>130993.43</v>
      </c>
      <c r="I157" s="108">
        <v>127884.16</v>
      </c>
      <c r="J157" s="108">
        <v>133079</v>
      </c>
      <c r="K157" s="108">
        <v>155690.25</v>
      </c>
      <c r="L157" s="108">
        <v>91058.98</v>
      </c>
      <c r="M157" s="108">
        <v>102061.38</v>
      </c>
      <c r="N157" s="108">
        <v>106429.6</v>
      </c>
      <c r="O157" s="108">
        <v>113223.26</v>
      </c>
      <c r="P157" s="106">
        <v>1393583.79</v>
      </c>
    </row>
    <row r="158" spans="1:19" customFormat="1" ht="15" hidden="1" thickBot="1" x14ac:dyDescent="0.35">
      <c r="A158" s="103" t="s">
        <v>170</v>
      </c>
      <c r="B158" s="103" t="s">
        <v>155</v>
      </c>
      <c r="C158" s="103" t="s">
        <v>156</v>
      </c>
      <c r="D158" s="108">
        <v>60031.71</v>
      </c>
      <c r="E158" s="108">
        <v>61805.04</v>
      </c>
      <c r="F158" s="108">
        <v>71893.59</v>
      </c>
      <c r="G158" s="108">
        <v>68278.679999999993</v>
      </c>
      <c r="H158" s="108">
        <v>69382.25</v>
      </c>
      <c r="I158" s="108">
        <v>66486.97</v>
      </c>
      <c r="J158" s="108">
        <v>65410.48</v>
      </c>
      <c r="K158" s="108">
        <v>77853.13</v>
      </c>
      <c r="L158" s="108">
        <v>64145.25</v>
      </c>
      <c r="M158" s="108">
        <v>86072.5</v>
      </c>
      <c r="N158" s="108">
        <v>68803.75</v>
      </c>
      <c r="O158" s="108">
        <v>65074.36</v>
      </c>
      <c r="P158" s="106">
        <v>825237.71</v>
      </c>
    </row>
    <row r="159" spans="1:19" customFormat="1" ht="15" hidden="1" thickBot="1" x14ac:dyDescent="0.35">
      <c r="A159" s="123" t="s">
        <v>171</v>
      </c>
      <c r="B159" s="123" t="s">
        <v>155</v>
      </c>
      <c r="C159" s="123" t="s">
        <v>156</v>
      </c>
      <c r="D159" s="108">
        <v>166663.82999999999</v>
      </c>
      <c r="E159" s="108">
        <v>178728.6</v>
      </c>
      <c r="F159" s="108">
        <v>215905.64</v>
      </c>
      <c r="G159" s="108">
        <v>175006.27</v>
      </c>
      <c r="H159" s="108">
        <v>204690.53</v>
      </c>
      <c r="I159" s="108">
        <v>167884.81</v>
      </c>
      <c r="J159" s="108">
        <v>130129.15</v>
      </c>
      <c r="K159" s="108">
        <v>124463.58</v>
      </c>
      <c r="L159" s="108">
        <v>109694.18</v>
      </c>
      <c r="M159" s="108">
        <v>125830.53</v>
      </c>
      <c r="N159" s="108">
        <v>113085.16</v>
      </c>
      <c r="O159" s="108">
        <v>105197.8</v>
      </c>
      <c r="P159" s="124">
        <v>1817280.08</v>
      </c>
    </row>
    <row r="160" spans="1:19" ht="15" thickBot="1" x14ac:dyDescent="0.35">
      <c r="A160" s="128" t="s">
        <v>173</v>
      </c>
      <c r="B160" s="128" t="s">
        <v>155</v>
      </c>
      <c r="C160" s="130" t="s">
        <v>156</v>
      </c>
      <c r="D160" s="104">
        <v>1568.37</v>
      </c>
      <c r="E160" s="104">
        <v>2056.84</v>
      </c>
      <c r="F160" s="104">
        <v>1469.83</v>
      </c>
      <c r="G160" s="104">
        <v>883.42</v>
      </c>
      <c r="H160" s="104">
        <v>1367.1</v>
      </c>
      <c r="I160" s="104">
        <v>712.3</v>
      </c>
      <c r="J160" s="104">
        <v>442.46</v>
      </c>
      <c r="K160" s="104">
        <v>2403.86</v>
      </c>
      <c r="L160" s="104">
        <v>95.77</v>
      </c>
      <c r="M160" s="104">
        <v>890.41</v>
      </c>
      <c r="N160" s="104">
        <v>718.14</v>
      </c>
      <c r="O160" s="121">
        <v>1159.8499999999999</v>
      </c>
      <c r="P160" s="131">
        <v>13768.35</v>
      </c>
    </row>
    <row r="161" spans="1:16" ht="15" thickBot="1" x14ac:dyDescent="0.35">
      <c r="A161" s="128" t="s">
        <v>253</v>
      </c>
      <c r="B161" s="128" t="s">
        <v>155</v>
      </c>
      <c r="C161" s="130" t="s">
        <v>156</v>
      </c>
      <c r="D161" s="107"/>
      <c r="E161" s="107"/>
      <c r="F161" s="107"/>
      <c r="G161" s="108">
        <v>120</v>
      </c>
      <c r="H161" s="107"/>
      <c r="I161" s="107"/>
      <c r="J161" s="107"/>
      <c r="K161" s="107"/>
      <c r="L161" s="107"/>
      <c r="M161" s="107"/>
      <c r="N161" s="107"/>
      <c r="O161" s="122"/>
      <c r="P161" s="131">
        <v>120</v>
      </c>
    </row>
    <row r="162" spans="1:16" customFormat="1" ht="15" hidden="1" thickBot="1" x14ac:dyDescent="0.35">
      <c r="A162" s="125" t="s">
        <v>174</v>
      </c>
      <c r="B162" s="125" t="s">
        <v>155</v>
      </c>
      <c r="C162" s="125" t="s">
        <v>156</v>
      </c>
      <c r="D162" s="108">
        <v>24.95</v>
      </c>
      <c r="E162" s="107"/>
      <c r="F162" s="108">
        <v>57.82</v>
      </c>
      <c r="G162" s="108">
        <v>57.82</v>
      </c>
      <c r="H162" s="108">
        <v>57.82</v>
      </c>
      <c r="I162" s="107"/>
      <c r="J162" s="107"/>
      <c r="K162" s="107"/>
      <c r="L162" s="107"/>
      <c r="M162" s="107"/>
      <c r="N162" s="107"/>
      <c r="O162" s="107"/>
      <c r="P162" s="126">
        <v>198.41</v>
      </c>
    </row>
    <row r="163" spans="1:16" customFormat="1" ht="15" hidden="1" thickBot="1" x14ac:dyDescent="0.35">
      <c r="A163" s="123" t="s">
        <v>163</v>
      </c>
      <c r="B163" s="123" t="s">
        <v>158</v>
      </c>
      <c r="C163" s="123" t="s">
        <v>159</v>
      </c>
      <c r="D163" s="104">
        <v>206145.82</v>
      </c>
      <c r="E163" s="104">
        <v>203643.9</v>
      </c>
      <c r="F163" s="104">
        <v>175440.24</v>
      </c>
      <c r="G163" s="104">
        <v>203429.67</v>
      </c>
      <c r="H163" s="104">
        <v>192238.45</v>
      </c>
      <c r="I163" s="104">
        <v>195127.57</v>
      </c>
      <c r="J163" s="104">
        <v>197498.07</v>
      </c>
      <c r="K163" s="104">
        <v>183971.76</v>
      </c>
      <c r="L163" s="104">
        <v>206100.18</v>
      </c>
      <c r="M163" s="104">
        <v>188335</v>
      </c>
      <c r="N163" s="104">
        <v>188496.72</v>
      </c>
      <c r="O163" s="104">
        <v>189675.07</v>
      </c>
      <c r="P163" s="124">
        <v>2330102.4500000002</v>
      </c>
    </row>
    <row r="164" spans="1:16" ht="15" thickBot="1" x14ac:dyDescent="0.35">
      <c r="A164" s="128" t="s">
        <v>173</v>
      </c>
      <c r="B164" s="128" t="s">
        <v>158</v>
      </c>
      <c r="C164" s="130" t="s">
        <v>159</v>
      </c>
      <c r="D164" s="107"/>
      <c r="E164" s="108">
        <v>1533</v>
      </c>
      <c r="F164" s="108">
        <v>-1443.4</v>
      </c>
      <c r="G164" s="108">
        <v>-2886.8</v>
      </c>
      <c r="H164" s="107"/>
      <c r="I164" s="108">
        <v>64.09</v>
      </c>
      <c r="J164" s="107"/>
      <c r="K164" s="107"/>
      <c r="L164" s="107"/>
      <c r="M164" s="107"/>
      <c r="N164" s="108">
        <v>-3491.04</v>
      </c>
      <c r="O164" s="122"/>
      <c r="P164" s="131">
        <v>-6224.15</v>
      </c>
    </row>
    <row r="165" spans="1:16" customFormat="1" ht="15" hidden="1" thickBot="1" x14ac:dyDescent="0.35">
      <c r="A165" s="125" t="s">
        <v>163</v>
      </c>
      <c r="B165" s="125" t="s">
        <v>254</v>
      </c>
      <c r="C165" s="125" t="s">
        <v>255</v>
      </c>
      <c r="D165" s="107"/>
      <c r="E165" s="107"/>
      <c r="F165" s="107"/>
      <c r="G165" s="107"/>
      <c r="H165" s="108">
        <v>741.71</v>
      </c>
      <c r="I165" s="107"/>
      <c r="J165" s="107"/>
      <c r="K165" s="107"/>
      <c r="L165" s="108">
        <v>329.9</v>
      </c>
      <c r="M165" s="108">
        <v>228.5</v>
      </c>
      <c r="N165" s="107"/>
      <c r="O165" s="107"/>
      <c r="P165" s="126">
        <v>1300.1099999999999</v>
      </c>
    </row>
    <row r="166" spans="1:16" customFormat="1" ht="15" hidden="1" thickBot="1" x14ac:dyDescent="0.35">
      <c r="A166" s="103" t="s">
        <v>242</v>
      </c>
      <c r="B166" s="103" t="s">
        <v>254</v>
      </c>
      <c r="C166" s="103" t="s">
        <v>255</v>
      </c>
      <c r="D166" s="105"/>
      <c r="E166" s="105"/>
      <c r="F166" s="105"/>
      <c r="G166" s="104">
        <v>150</v>
      </c>
      <c r="H166" s="105"/>
      <c r="I166" s="104">
        <v>-150</v>
      </c>
      <c r="J166" s="105"/>
      <c r="K166" s="105"/>
      <c r="L166" s="105"/>
      <c r="M166" s="105"/>
      <c r="N166" s="105"/>
      <c r="O166" s="105"/>
      <c r="P166" s="109">
        <v>0</v>
      </c>
    </row>
    <row r="167" spans="1:16" customFormat="1" ht="15" hidden="1" thickBot="1" x14ac:dyDescent="0.35">
      <c r="A167" s="103" t="s">
        <v>199</v>
      </c>
      <c r="B167" s="103" t="s">
        <v>254</v>
      </c>
      <c r="C167" s="103" t="s">
        <v>255</v>
      </c>
      <c r="D167" s="107"/>
      <c r="E167" s="108">
        <v>33.96</v>
      </c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6">
        <v>33.96</v>
      </c>
    </row>
    <row r="168" spans="1:16" customFormat="1" ht="15" hidden="1" thickBot="1" x14ac:dyDescent="0.35">
      <c r="A168" s="103" t="s">
        <v>173</v>
      </c>
      <c r="B168" s="103" t="s">
        <v>254</v>
      </c>
      <c r="C168" s="103" t="s">
        <v>255</v>
      </c>
      <c r="D168" s="104">
        <v>38231.120000000003</v>
      </c>
      <c r="E168" s="104">
        <v>45398.080000000002</v>
      </c>
      <c r="F168" s="104">
        <v>75781.710000000006</v>
      </c>
      <c r="G168" s="104">
        <v>60764.01</v>
      </c>
      <c r="H168" s="104">
        <v>42009.04</v>
      </c>
      <c r="I168" s="104">
        <v>53250.9</v>
      </c>
      <c r="J168" s="104">
        <v>40071.35</v>
      </c>
      <c r="K168" s="104">
        <v>38365.760000000002</v>
      </c>
      <c r="L168" s="104">
        <v>46167.07</v>
      </c>
      <c r="M168" s="104">
        <v>41495.21</v>
      </c>
      <c r="N168" s="104">
        <v>54672.85</v>
      </c>
      <c r="O168" s="104">
        <v>59821.43</v>
      </c>
      <c r="P168" s="106">
        <v>596028.53</v>
      </c>
    </row>
    <row r="169" spans="1:16" customFormat="1" ht="15" hidden="1" thickBot="1" x14ac:dyDescent="0.35">
      <c r="A169" s="123" t="s">
        <v>171</v>
      </c>
      <c r="B169" s="123" t="s">
        <v>152</v>
      </c>
      <c r="C169" s="123" t="s">
        <v>153</v>
      </c>
      <c r="D169" s="104">
        <v>394781.22</v>
      </c>
      <c r="E169" s="104">
        <v>397049.99</v>
      </c>
      <c r="F169" s="104">
        <v>433175.53</v>
      </c>
      <c r="G169" s="104">
        <v>410280.74</v>
      </c>
      <c r="H169" s="104">
        <v>404771.71</v>
      </c>
      <c r="I169" s="104">
        <v>388435.4</v>
      </c>
      <c r="J169" s="104">
        <v>401624.37</v>
      </c>
      <c r="K169" s="104">
        <v>405143.75</v>
      </c>
      <c r="L169" s="104">
        <v>390558.02</v>
      </c>
      <c r="M169" s="104">
        <v>404924.29</v>
      </c>
      <c r="N169" s="104">
        <v>394351.63</v>
      </c>
      <c r="O169" s="104">
        <v>383403.37</v>
      </c>
      <c r="P169" s="124">
        <v>4808500.0199999996</v>
      </c>
    </row>
    <row r="170" spans="1:16" ht="15" thickBot="1" x14ac:dyDescent="0.35">
      <c r="A170" s="128" t="s">
        <v>173</v>
      </c>
      <c r="B170" s="128" t="s">
        <v>152</v>
      </c>
      <c r="C170" s="130" t="s">
        <v>153</v>
      </c>
      <c r="D170" s="107"/>
      <c r="E170" s="108">
        <v>1882</v>
      </c>
      <c r="F170" s="107"/>
      <c r="G170" s="107"/>
      <c r="H170" s="107"/>
      <c r="I170" s="107"/>
      <c r="J170" s="108">
        <v>1650</v>
      </c>
      <c r="K170" s="107"/>
      <c r="L170" s="107"/>
      <c r="M170" s="107"/>
      <c r="N170" s="107"/>
      <c r="O170" s="122"/>
      <c r="P170" s="131">
        <v>3532</v>
      </c>
    </row>
    <row r="171" spans="1:16" ht="15" thickBot="1" x14ac:dyDescent="0.35">
      <c r="A171" s="128" t="s">
        <v>247</v>
      </c>
      <c r="B171" s="128" t="s">
        <v>152</v>
      </c>
      <c r="C171" s="130" t="s">
        <v>153</v>
      </c>
      <c r="D171" s="107"/>
      <c r="E171" s="107"/>
      <c r="F171" s="108">
        <v>20.93</v>
      </c>
      <c r="G171" s="107"/>
      <c r="H171" s="107"/>
      <c r="I171" s="107"/>
      <c r="J171" s="107"/>
      <c r="K171" s="107"/>
      <c r="L171" s="107"/>
      <c r="M171" s="107"/>
      <c r="N171" s="108">
        <v>300</v>
      </c>
      <c r="O171" s="122"/>
      <c r="P171" s="131">
        <v>320.93</v>
      </c>
    </row>
    <row r="172" spans="1:16" customFormat="1" ht="15" hidden="1" thickBot="1" x14ac:dyDescent="0.35">
      <c r="A172" s="125" t="s">
        <v>184</v>
      </c>
      <c r="B172" s="125" t="s">
        <v>256</v>
      </c>
      <c r="C172" s="125" t="s">
        <v>257</v>
      </c>
      <c r="D172" s="107"/>
      <c r="E172" s="107"/>
      <c r="F172" s="107"/>
      <c r="G172" s="107"/>
      <c r="H172" s="107"/>
      <c r="I172" s="107"/>
      <c r="J172" s="108">
        <v>367.81</v>
      </c>
      <c r="K172" s="107"/>
      <c r="L172" s="107"/>
      <c r="M172" s="107"/>
      <c r="N172" s="107"/>
      <c r="O172" s="107"/>
      <c r="P172" s="126">
        <v>367.81</v>
      </c>
    </row>
    <row r="173" spans="1:16" customFormat="1" ht="15" hidden="1" thickBot="1" x14ac:dyDescent="0.35">
      <c r="A173" s="103" t="s">
        <v>151</v>
      </c>
      <c r="B173" s="103" t="s">
        <v>256</v>
      </c>
      <c r="C173" s="103" t="s">
        <v>257</v>
      </c>
      <c r="D173" s="108">
        <v>40217.31</v>
      </c>
      <c r="E173" s="108">
        <v>60195.45</v>
      </c>
      <c r="F173" s="108">
        <v>64427.8</v>
      </c>
      <c r="G173" s="108">
        <v>15506.64</v>
      </c>
      <c r="H173" s="108">
        <v>67645.62</v>
      </c>
      <c r="I173" s="108">
        <v>46806.7</v>
      </c>
      <c r="J173" s="108">
        <v>65195.26</v>
      </c>
      <c r="K173" s="108">
        <v>67080.850000000006</v>
      </c>
      <c r="L173" s="108">
        <v>35999.97</v>
      </c>
      <c r="M173" s="108">
        <v>145918.37</v>
      </c>
      <c r="N173" s="108">
        <v>125816.51</v>
      </c>
      <c r="O173" s="108">
        <v>151322.26</v>
      </c>
      <c r="P173" s="106">
        <v>886132.74</v>
      </c>
    </row>
    <row r="174" spans="1:16" customFormat="1" ht="15" hidden="1" thickBot="1" x14ac:dyDescent="0.35">
      <c r="A174" s="103" t="s">
        <v>157</v>
      </c>
      <c r="B174" s="103" t="s">
        <v>256</v>
      </c>
      <c r="C174" s="103" t="s">
        <v>257</v>
      </c>
      <c r="D174" s="104">
        <v>31519.29</v>
      </c>
      <c r="E174" s="104">
        <v>27717.360000000001</v>
      </c>
      <c r="F174" s="104">
        <v>28522.55</v>
      </c>
      <c r="G174" s="104">
        <v>-3957.47</v>
      </c>
      <c r="H174" s="104">
        <v>24473.43</v>
      </c>
      <c r="I174" s="104">
        <v>-14558.57</v>
      </c>
      <c r="J174" s="104">
        <v>24596.639999999999</v>
      </c>
      <c r="K174" s="104">
        <v>-2179.33</v>
      </c>
      <c r="L174" s="104">
        <v>2110.3000000000002</v>
      </c>
      <c r="M174" s="104">
        <v>22435.200000000001</v>
      </c>
      <c r="N174" s="104">
        <v>13957.25</v>
      </c>
      <c r="O174" s="104">
        <v>14846.23</v>
      </c>
      <c r="P174" s="106">
        <v>169482.88</v>
      </c>
    </row>
    <row r="175" spans="1:16" customFormat="1" ht="15" hidden="1" thickBot="1" x14ac:dyDescent="0.35">
      <c r="A175" s="103" t="s">
        <v>160</v>
      </c>
      <c r="B175" s="103" t="s">
        <v>256</v>
      </c>
      <c r="C175" s="103" t="s">
        <v>257</v>
      </c>
      <c r="D175" s="107"/>
      <c r="E175" s="107"/>
      <c r="F175" s="107"/>
      <c r="G175" s="107"/>
      <c r="H175" s="107"/>
      <c r="I175" s="107"/>
      <c r="J175" s="108">
        <v>-5692.15</v>
      </c>
      <c r="K175" s="108">
        <v>-160.32</v>
      </c>
      <c r="L175" s="107"/>
      <c r="M175" s="107"/>
      <c r="N175" s="107"/>
      <c r="O175" s="107"/>
      <c r="P175" s="106">
        <v>-5852.47</v>
      </c>
    </row>
    <row r="176" spans="1:16" customFormat="1" ht="15" hidden="1" thickBot="1" x14ac:dyDescent="0.35">
      <c r="A176" s="103" t="s">
        <v>161</v>
      </c>
      <c r="B176" s="103" t="s">
        <v>256</v>
      </c>
      <c r="C176" s="103" t="s">
        <v>257</v>
      </c>
      <c r="D176" s="105"/>
      <c r="E176" s="105"/>
      <c r="F176" s="105"/>
      <c r="G176" s="105"/>
      <c r="H176" s="104">
        <v>1132.1300000000001</v>
      </c>
      <c r="I176" s="104">
        <v>272</v>
      </c>
      <c r="J176" s="105"/>
      <c r="K176" s="105"/>
      <c r="L176" s="105"/>
      <c r="M176" s="105"/>
      <c r="N176" s="105"/>
      <c r="O176" s="105"/>
      <c r="P176" s="106">
        <v>1404.13</v>
      </c>
    </row>
    <row r="177" spans="1:16" customFormat="1" ht="15" hidden="1" thickBot="1" x14ac:dyDescent="0.35">
      <c r="A177" s="103" t="s">
        <v>162</v>
      </c>
      <c r="B177" s="103" t="s">
        <v>256</v>
      </c>
      <c r="C177" s="103" t="s">
        <v>257</v>
      </c>
      <c r="D177" s="107"/>
      <c r="E177" s="107"/>
      <c r="F177" s="108">
        <v>213.98</v>
      </c>
      <c r="G177" s="108">
        <v>17.670000000000002</v>
      </c>
      <c r="H177" s="108">
        <v>23.52</v>
      </c>
      <c r="I177" s="107"/>
      <c r="J177" s="107"/>
      <c r="K177" s="107"/>
      <c r="L177" s="108">
        <v>35.76</v>
      </c>
      <c r="M177" s="107"/>
      <c r="N177" s="107"/>
      <c r="O177" s="107"/>
      <c r="P177" s="106">
        <v>290.93</v>
      </c>
    </row>
    <row r="178" spans="1:16" customFormat="1" ht="15" hidden="1" thickBot="1" x14ac:dyDescent="0.35">
      <c r="A178" s="103" t="s">
        <v>164</v>
      </c>
      <c r="B178" s="103" t="s">
        <v>256</v>
      </c>
      <c r="C178" s="103" t="s">
        <v>257</v>
      </c>
      <c r="D178" s="104">
        <v>9458.11</v>
      </c>
      <c r="E178" s="104">
        <v>6460.61</v>
      </c>
      <c r="F178" s="104">
        <v>-1675.72</v>
      </c>
      <c r="G178" s="104">
        <v>3856.43</v>
      </c>
      <c r="H178" s="104">
        <v>1904.56</v>
      </c>
      <c r="I178" s="104">
        <v>3461.41</v>
      </c>
      <c r="J178" s="104">
        <v>3306.84</v>
      </c>
      <c r="K178" s="104">
        <v>1010.86</v>
      </c>
      <c r="L178" s="104">
        <v>1003.67</v>
      </c>
      <c r="M178" s="104">
        <v>1571.58</v>
      </c>
      <c r="N178" s="104">
        <v>2919.74</v>
      </c>
      <c r="O178" s="104">
        <v>3422.84</v>
      </c>
      <c r="P178" s="106">
        <v>36700.93</v>
      </c>
    </row>
    <row r="179" spans="1:16" customFormat="1" ht="15" hidden="1" thickBot="1" x14ac:dyDescent="0.35">
      <c r="A179" s="103" t="s">
        <v>165</v>
      </c>
      <c r="B179" s="103" t="s">
        <v>256</v>
      </c>
      <c r="C179" s="103" t="s">
        <v>257</v>
      </c>
      <c r="D179" s="104">
        <v>13232.22</v>
      </c>
      <c r="E179" s="104">
        <v>15490.2</v>
      </c>
      <c r="F179" s="104">
        <v>11483.44</v>
      </c>
      <c r="G179" s="104">
        <v>15024.72</v>
      </c>
      <c r="H179" s="104">
        <v>12299.79</v>
      </c>
      <c r="I179" s="104">
        <v>12909.57</v>
      </c>
      <c r="J179" s="104">
        <v>16907.5</v>
      </c>
      <c r="K179" s="104">
        <v>11356.25</v>
      </c>
      <c r="L179" s="104">
        <v>17343.669999999998</v>
      </c>
      <c r="M179" s="104">
        <v>13905.82</v>
      </c>
      <c r="N179" s="104">
        <v>19406.53</v>
      </c>
      <c r="O179" s="104">
        <v>17314.439999999999</v>
      </c>
      <c r="P179" s="106">
        <v>176674.15</v>
      </c>
    </row>
    <row r="180" spans="1:16" customFormat="1" ht="15" hidden="1" thickBot="1" x14ac:dyDescent="0.35">
      <c r="A180" s="103" t="s">
        <v>242</v>
      </c>
      <c r="B180" s="103" t="s">
        <v>256</v>
      </c>
      <c r="C180" s="103" t="s">
        <v>257</v>
      </c>
      <c r="D180" s="108">
        <v>1032.55</v>
      </c>
      <c r="E180" s="108">
        <v>18984.349999999999</v>
      </c>
      <c r="F180" s="108">
        <v>9573.33</v>
      </c>
      <c r="G180" s="108">
        <v>22333.63</v>
      </c>
      <c r="H180" s="108">
        <v>27736.6</v>
      </c>
      <c r="I180" s="108">
        <v>9556.64</v>
      </c>
      <c r="J180" s="108">
        <v>17975.849999999999</v>
      </c>
      <c r="K180" s="108">
        <v>6730.9</v>
      </c>
      <c r="L180" s="108">
        <v>706.21</v>
      </c>
      <c r="M180" s="108">
        <v>2075.29</v>
      </c>
      <c r="N180" s="108">
        <v>1332.23</v>
      </c>
      <c r="O180" s="108">
        <v>4095.71</v>
      </c>
      <c r="P180" s="106">
        <v>122133.29</v>
      </c>
    </row>
    <row r="181" spans="1:16" customFormat="1" ht="15" hidden="1" thickBot="1" x14ac:dyDescent="0.35">
      <c r="A181" s="103" t="s">
        <v>166</v>
      </c>
      <c r="B181" s="103" t="s">
        <v>256</v>
      </c>
      <c r="C181" s="103" t="s">
        <v>257</v>
      </c>
      <c r="D181" s="104">
        <v>332.38</v>
      </c>
      <c r="E181" s="105"/>
      <c r="F181" s="104">
        <v>635.94000000000005</v>
      </c>
      <c r="G181" s="105"/>
      <c r="H181" s="104">
        <v>706</v>
      </c>
      <c r="I181" s="104">
        <v>775.39</v>
      </c>
      <c r="J181" s="104">
        <v>8.8000000000000007</v>
      </c>
      <c r="K181" s="104">
        <v>1980.59</v>
      </c>
      <c r="L181" s="104">
        <v>120</v>
      </c>
      <c r="M181" s="105"/>
      <c r="N181" s="104">
        <v>126</v>
      </c>
      <c r="O181" s="104">
        <v>145.65</v>
      </c>
      <c r="P181" s="106">
        <v>4830.75</v>
      </c>
    </row>
    <row r="182" spans="1:16" customFormat="1" ht="15" hidden="1" thickBot="1" x14ac:dyDescent="0.35">
      <c r="A182" s="103" t="s">
        <v>167</v>
      </c>
      <c r="B182" s="103" t="s">
        <v>256</v>
      </c>
      <c r="C182" s="103" t="s">
        <v>257</v>
      </c>
      <c r="D182" s="107"/>
      <c r="E182" s="107"/>
      <c r="F182" s="107"/>
      <c r="G182" s="107"/>
      <c r="H182" s="107"/>
      <c r="I182" s="107"/>
      <c r="J182" s="108">
        <v>581.5</v>
      </c>
      <c r="K182" s="108">
        <v>-32.950000000000003</v>
      </c>
      <c r="L182" s="107"/>
      <c r="M182" s="107"/>
      <c r="N182" s="107"/>
      <c r="O182" s="107"/>
      <c r="P182" s="106">
        <v>548.54999999999995</v>
      </c>
    </row>
    <row r="183" spans="1:16" customFormat="1" ht="15" hidden="1" thickBot="1" x14ac:dyDescent="0.35">
      <c r="A183" s="103" t="s">
        <v>168</v>
      </c>
      <c r="B183" s="103" t="s">
        <v>256</v>
      </c>
      <c r="C183" s="103" t="s">
        <v>257</v>
      </c>
      <c r="D183" s="104">
        <v>2326.86</v>
      </c>
      <c r="E183" s="104">
        <v>2729.96</v>
      </c>
      <c r="F183" s="104">
        <v>1376.19</v>
      </c>
      <c r="G183" s="104">
        <v>2190.5700000000002</v>
      </c>
      <c r="H183" s="104">
        <v>6918.37</v>
      </c>
      <c r="I183" s="104">
        <v>2000.55</v>
      </c>
      <c r="J183" s="104">
        <v>2540.2399999999998</v>
      </c>
      <c r="K183" s="104">
        <v>2661.78</v>
      </c>
      <c r="L183" s="104">
        <v>2368.67</v>
      </c>
      <c r="M183" s="104">
        <v>4695.7</v>
      </c>
      <c r="N183" s="104">
        <v>4622.0200000000004</v>
      </c>
      <c r="O183" s="104">
        <v>8798.2999999999993</v>
      </c>
      <c r="P183" s="106">
        <v>43229.21</v>
      </c>
    </row>
    <row r="184" spans="1:16" customFormat="1" ht="15" hidden="1" thickBot="1" x14ac:dyDescent="0.35">
      <c r="A184" s="103" t="s">
        <v>169</v>
      </c>
      <c r="B184" s="103" t="s">
        <v>256</v>
      </c>
      <c r="C184" s="103" t="s">
        <v>257</v>
      </c>
      <c r="D184" s="104">
        <v>-940.03</v>
      </c>
      <c r="E184" s="104">
        <v>-1153.3</v>
      </c>
      <c r="F184" s="104">
        <v>-139.74</v>
      </c>
      <c r="G184" s="104">
        <v>-5080.92</v>
      </c>
      <c r="H184" s="104">
        <v>-652.13</v>
      </c>
      <c r="I184" s="104">
        <v>1094.6500000000001</v>
      </c>
      <c r="J184" s="104">
        <v>8382.3799999999992</v>
      </c>
      <c r="K184" s="104">
        <v>789.64</v>
      </c>
      <c r="L184" s="104">
        <v>7302.56</v>
      </c>
      <c r="M184" s="104">
        <v>2823.41</v>
      </c>
      <c r="N184" s="104">
        <v>8274.6299999999992</v>
      </c>
      <c r="O184" s="104">
        <v>-1286.72</v>
      </c>
      <c r="P184" s="106">
        <v>19414.43</v>
      </c>
    </row>
    <row r="185" spans="1:16" customFormat="1" ht="15" hidden="1" thickBot="1" x14ac:dyDescent="0.35">
      <c r="A185" s="103" t="s">
        <v>233</v>
      </c>
      <c r="B185" s="103" t="s">
        <v>256</v>
      </c>
      <c r="C185" s="103" t="s">
        <v>257</v>
      </c>
      <c r="D185" s="108">
        <v>201.04</v>
      </c>
      <c r="E185" s="108">
        <v>257.3</v>
      </c>
      <c r="F185" s="108">
        <v>1156.52</v>
      </c>
      <c r="G185" s="108">
        <v>341.32</v>
      </c>
      <c r="H185" s="108">
        <v>459.53</v>
      </c>
      <c r="I185" s="107"/>
      <c r="J185" s="108">
        <v>796.27</v>
      </c>
      <c r="K185" s="108">
        <v>395.39</v>
      </c>
      <c r="L185" s="108">
        <v>589.22</v>
      </c>
      <c r="M185" s="108">
        <v>1151.0899999999999</v>
      </c>
      <c r="N185" s="108">
        <v>807.69</v>
      </c>
      <c r="O185" s="108">
        <v>-101.78</v>
      </c>
      <c r="P185" s="106">
        <v>6053.59</v>
      </c>
    </row>
    <row r="186" spans="1:16" customFormat="1" ht="15" hidden="1" thickBot="1" x14ac:dyDescent="0.35">
      <c r="A186" s="103" t="s">
        <v>170</v>
      </c>
      <c r="B186" s="103" t="s">
        <v>256</v>
      </c>
      <c r="C186" s="103" t="s">
        <v>257</v>
      </c>
      <c r="D186" s="105"/>
      <c r="E186" s="105"/>
      <c r="F186" s="104">
        <v>626.83000000000004</v>
      </c>
      <c r="G186" s="105"/>
      <c r="H186" s="105"/>
      <c r="I186" s="105"/>
      <c r="J186" s="105"/>
      <c r="K186" s="105"/>
      <c r="L186" s="105"/>
      <c r="M186" s="105"/>
      <c r="N186" s="105"/>
      <c r="O186" s="105"/>
      <c r="P186" s="106">
        <v>626.83000000000004</v>
      </c>
    </row>
    <row r="187" spans="1:16" customFormat="1" ht="15" hidden="1" thickBot="1" x14ac:dyDescent="0.35">
      <c r="A187" s="103" t="s">
        <v>171</v>
      </c>
      <c r="B187" s="103" t="s">
        <v>256</v>
      </c>
      <c r="C187" s="103" t="s">
        <v>257</v>
      </c>
      <c r="D187" s="107"/>
      <c r="E187" s="108">
        <v>5.25</v>
      </c>
      <c r="F187" s="107"/>
      <c r="G187" s="107"/>
      <c r="H187" s="107"/>
      <c r="I187" s="107"/>
      <c r="J187" s="107"/>
      <c r="K187" s="108">
        <v>5.25</v>
      </c>
      <c r="L187" s="108">
        <v>252.28</v>
      </c>
      <c r="M187" s="108">
        <v>49.66</v>
      </c>
      <c r="N187" s="107"/>
      <c r="O187" s="108">
        <v>10.17</v>
      </c>
      <c r="P187" s="106">
        <v>322.61</v>
      </c>
    </row>
    <row r="188" spans="1:16" customFormat="1" ht="15" hidden="1" thickBot="1" x14ac:dyDescent="0.35">
      <c r="A188" s="103" t="s">
        <v>173</v>
      </c>
      <c r="B188" s="103" t="s">
        <v>256</v>
      </c>
      <c r="C188" s="103" t="s">
        <v>257</v>
      </c>
      <c r="D188" s="105"/>
      <c r="E188" s="104">
        <v>58.78</v>
      </c>
      <c r="F188" s="105"/>
      <c r="G188" s="105"/>
      <c r="H188" s="105"/>
      <c r="I188" s="105"/>
      <c r="J188" s="105"/>
      <c r="K188" s="104">
        <v>227.67</v>
      </c>
      <c r="L188" s="105"/>
      <c r="M188" s="105"/>
      <c r="N188" s="104">
        <v>4.29</v>
      </c>
      <c r="O188" s="104">
        <v>419.97</v>
      </c>
      <c r="P188" s="106">
        <v>710.71</v>
      </c>
    </row>
    <row r="189" spans="1:16" customFormat="1" ht="15" hidden="1" thickBot="1" x14ac:dyDescent="0.35">
      <c r="A189" s="103" t="s">
        <v>258</v>
      </c>
      <c r="B189" s="103" t="s">
        <v>256</v>
      </c>
      <c r="C189" s="103" t="s">
        <v>257</v>
      </c>
      <c r="D189" s="108">
        <v>754</v>
      </c>
      <c r="E189" s="108">
        <v>754</v>
      </c>
      <c r="F189" s="108">
        <v>754</v>
      </c>
      <c r="G189" s="108">
        <v>754</v>
      </c>
      <c r="H189" s="108">
        <v>754</v>
      </c>
      <c r="I189" s="108">
        <v>754</v>
      </c>
      <c r="J189" s="108">
        <v>754</v>
      </c>
      <c r="K189" s="108">
        <v>754</v>
      </c>
      <c r="L189" s="108">
        <v>754</v>
      </c>
      <c r="M189" s="108">
        <v>754</v>
      </c>
      <c r="N189" s="108">
        <v>754</v>
      </c>
      <c r="O189" s="108">
        <v>754</v>
      </c>
      <c r="P189" s="106">
        <v>9048</v>
      </c>
    </row>
    <row r="190" spans="1:16" customFormat="1" ht="15" hidden="1" thickBot="1" x14ac:dyDescent="0.35">
      <c r="A190" s="103" t="s">
        <v>174</v>
      </c>
      <c r="B190" s="103" t="s">
        <v>256</v>
      </c>
      <c r="C190" s="103" t="s">
        <v>257</v>
      </c>
      <c r="D190" s="104">
        <v>1089.21</v>
      </c>
      <c r="E190" s="104">
        <v>69.97</v>
      </c>
      <c r="F190" s="104">
        <v>188.23</v>
      </c>
      <c r="G190" s="104">
        <v>577.5</v>
      </c>
      <c r="H190" s="105"/>
      <c r="I190" s="105"/>
      <c r="J190" s="104">
        <v>26.9</v>
      </c>
      <c r="K190" s="105"/>
      <c r="L190" s="104">
        <v>327.58999999999997</v>
      </c>
      <c r="M190" s="105"/>
      <c r="N190" s="105"/>
      <c r="O190" s="104">
        <v>44.73</v>
      </c>
      <c r="P190" s="106">
        <v>2324.13</v>
      </c>
    </row>
    <row r="191" spans="1:16" customFormat="1" ht="15" hidden="1" thickBot="1" x14ac:dyDescent="0.35">
      <c r="A191" s="103" t="s">
        <v>151</v>
      </c>
      <c r="B191" s="103" t="s">
        <v>259</v>
      </c>
      <c r="C191" s="103" t="s">
        <v>260</v>
      </c>
      <c r="D191" s="105"/>
      <c r="E191" s="105"/>
      <c r="F191" s="105"/>
      <c r="G191" s="105"/>
      <c r="H191" s="104">
        <v>254.24</v>
      </c>
      <c r="I191" s="105"/>
      <c r="J191" s="105"/>
      <c r="K191" s="105"/>
      <c r="L191" s="105"/>
      <c r="M191" s="105"/>
      <c r="N191" s="105"/>
      <c r="O191" s="105"/>
      <c r="P191" s="106">
        <v>254.24</v>
      </c>
    </row>
    <row r="192" spans="1:16" customFormat="1" ht="15" hidden="1" thickBot="1" x14ac:dyDescent="0.35">
      <c r="A192" s="103" t="s">
        <v>157</v>
      </c>
      <c r="B192" s="103" t="s">
        <v>259</v>
      </c>
      <c r="C192" s="103" t="s">
        <v>260</v>
      </c>
      <c r="D192" s="108">
        <v>46628.68</v>
      </c>
      <c r="E192" s="108">
        <v>47344.95</v>
      </c>
      <c r="F192" s="108">
        <v>61186.77</v>
      </c>
      <c r="G192" s="108">
        <v>52275.42</v>
      </c>
      <c r="H192" s="108">
        <v>38250.839999999997</v>
      </c>
      <c r="I192" s="108">
        <v>30534.18</v>
      </c>
      <c r="J192" s="108">
        <v>30929.919999999998</v>
      </c>
      <c r="K192" s="108">
        <v>42713.16</v>
      </c>
      <c r="L192" s="108">
        <v>29867.17</v>
      </c>
      <c r="M192" s="108">
        <v>43249.9</v>
      </c>
      <c r="N192" s="108">
        <v>49368.28</v>
      </c>
      <c r="O192" s="108">
        <v>52541.99</v>
      </c>
      <c r="P192" s="106">
        <v>524891.26</v>
      </c>
    </row>
    <row r="193" spans="1:16" customFormat="1" ht="15" hidden="1" thickBot="1" x14ac:dyDescent="0.35">
      <c r="A193" s="103" t="s">
        <v>163</v>
      </c>
      <c r="B193" s="103" t="s">
        <v>259</v>
      </c>
      <c r="C193" s="103" t="s">
        <v>260</v>
      </c>
      <c r="D193" s="104">
        <v>1228.8399999999999</v>
      </c>
      <c r="E193" s="104">
        <v>2568.15</v>
      </c>
      <c r="F193" s="104">
        <v>1059.23</v>
      </c>
      <c r="G193" s="104">
        <v>960.2</v>
      </c>
      <c r="H193" s="104">
        <v>1489.67</v>
      </c>
      <c r="I193" s="104">
        <v>4137.28</v>
      </c>
      <c r="J193" s="104">
        <v>1725.95</v>
      </c>
      <c r="K193" s="104">
        <v>1853.81</v>
      </c>
      <c r="L193" s="104">
        <v>1823.09</v>
      </c>
      <c r="M193" s="104">
        <v>2528.23</v>
      </c>
      <c r="N193" s="104">
        <v>6334.55</v>
      </c>
      <c r="O193" s="104">
        <v>2010.74</v>
      </c>
      <c r="P193" s="106">
        <v>27719.74</v>
      </c>
    </row>
    <row r="194" spans="1:16" customFormat="1" ht="15" hidden="1" thickBot="1" x14ac:dyDescent="0.35">
      <c r="A194" s="103" t="s">
        <v>164</v>
      </c>
      <c r="B194" s="103" t="s">
        <v>259</v>
      </c>
      <c r="C194" s="103" t="s">
        <v>260</v>
      </c>
      <c r="D194" s="108">
        <v>5263.42</v>
      </c>
      <c r="E194" s="108">
        <v>3110.99</v>
      </c>
      <c r="F194" s="108">
        <v>1127.78</v>
      </c>
      <c r="G194" s="108">
        <v>289.60000000000002</v>
      </c>
      <c r="H194" s="108">
        <v>3294.19</v>
      </c>
      <c r="I194" s="108">
        <v>3187.1</v>
      </c>
      <c r="J194" s="108">
        <v>2532.67</v>
      </c>
      <c r="K194" s="108">
        <v>227.54</v>
      </c>
      <c r="L194" s="108">
        <v>1340.52</v>
      </c>
      <c r="M194" s="108">
        <v>1719.97</v>
      </c>
      <c r="N194" s="108">
        <v>2381.33</v>
      </c>
      <c r="O194" s="108">
        <v>4249.18</v>
      </c>
      <c r="P194" s="106">
        <v>28724.29</v>
      </c>
    </row>
    <row r="195" spans="1:16" customFormat="1" ht="15" hidden="1" thickBot="1" x14ac:dyDescent="0.35">
      <c r="A195" s="103" t="s">
        <v>165</v>
      </c>
      <c r="B195" s="103" t="s">
        <v>259</v>
      </c>
      <c r="C195" s="103" t="s">
        <v>260</v>
      </c>
      <c r="D195" s="108">
        <v>2777.91</v>
      </c>
      <c r="E195" s="108">
        <v>4911.7700000000004</v>
      </c>
      <c r="F195" s="108">
        <v>3626.59</v>
      </c>
      <c r="G195" s="108">
        <v>3909.84</v>
      </c>
      <c r="H195" s="108">
        <v>2706.09</v>
      </c>
      <c r="I195" s="108">
        <v>3088.94</v>
      </c>
      <c r="J195" s="108">
        <v>3705.26</v>
      </c>
      <c r="K195" s="108">
        <v>4224.21</v>
      </c>
      <c r="L195" s="108">
        <v>4470.97</v>
      </c>
      <c r="M195" s="108">
        <v>2536.88</v>
      </c>
      <c r="N195" s="108">
        <v>3626.58</v>
      </c>
      <c r="O195" s="108">
        <v>-3684.22</v>
      </c>
      <c r="P195" s="106">
        <v>35900.82</v>
      </c>
    </row>
    <row r="196" spans="1:16" customFormat="1" ht="15" hidden="1" thickBot="1" x14ac:dyDescent="0.35">
      <c r="A196" s="103" t="s">
        <v>242</v>
      </c>
      <c r="B196" s="103" t="s">
        <v>259</v>
      </c>
      <c r="C196" s="103" t="s">
        <v>260</v>
      </c>
      <c r="D196" s="104">
        <v>10898.95</v>
      </c>
      <c r="E196" s="104">
        <v>6953.36</v>
      </c>
      <c r="F196" s="104">
        <v>14410.49</v>
      </c>
      <c r="G196" s="104">
        <v>10361.83</v>
      </c>
      <c r="H196" s="104">
        <v>18172.830000000002</v>
      </c>
      <c r="I196" s="104">
        <v>5223.4399999999996</v>
      </c>
      <c r="J196" s="104">
        <v>34802.79</v>
      </c>
      <c r="K196" s="104">
        <v>15029.24</v>
      </c>
      <c r="L196" s="104">
        <v>13487.02</v>
      </c>
      <c r="M196" s="104">
        <v>13551.94</v>
      </c>
      <c r="N196" s="104">
        <v>3743.38</v>
      </c>
      <c r="O196" s="104">
        <v>-27820.6</v>
      </c>
      <c r="P196" s="106">
        <v>118814.67</v>
      </c>
    </row>
    <row r="197" spans="1:16" customFormat="1" ht="15" hidden="1" thickBot="1" x14ac:dyDescent="0.35">
      <c r="A197" s="103" t="s">
        <v>168</v>
      </c>
      <c r="B197" s="103" t="s">
        <v>259</v>
      </c>
      <c r="C197" s="103" t="s">
        <v>260</v>
      </c>
      <c r="D197" s="108">
        <v>1917.91</v>
      </c>
      <c r="E197" s="108">
        <v>19.86</v>
      </c>
      <c r="F197" s="108">
        <v>6046.52</v>
      </c>
      <c r="G197" s="108">
        <v>7483.33</v>
      </c>
      <c r="H197" s="108">
        <v>3744.31</v>
      </c>
      <c r="I197" s="108">
        <v>3274.29</v>
      </c>
      <c r="J197" s="108">
        <v>1561.13</v>
      </c>
      <c r="K197" s="108">
        <v>5787.63</v>
      </c>
      <c r="L197" s="108">
        <v>3242.19</v>
      </c>
      <c r="M197" s="108">
        <v>6404.77</v>
      </c>
      <c r="N197" s="108">
        <v>1068.53</v>
      </c>
      <c r="O197" s="108">
        <v>660.65</v>
      </c>
      <c r="P197" s="106">
        <v>41211.120000000003</v>
      </c>
    </row>
    <row r="198" spans="1:16" customFormat="1" ht="15" hidden="1" thickBot="1" x14ac:dyDescent="0.35">
      <c r="A198" s="103" t="s">
        <v>169</v>
      </c>
      <c r="B198" s="103" t="s">
        <v>259</v>
      </c>
      <c r="C198" s="103" t="s">
        <v>260</v>
      </c>
      <c r="D198" s="107"/>
      <c r="E198" s="107"/>
      <c r="F198" s="107"/>
      <c r="G198" s="107"/>
      <c r="H198" s="107"/>
      <c r="I198" s="107"/>
      <c r="J198" s="107"/>
      <c r="K198" s="107"/>
      <c r="L198" s="107"/>
      <c r="M198" s="107"/>
      <c r="N198" s="108">
        <v>549.01</v>
      </c>
      <c r="O198" s="107"/>
      <c r="P198" s="106">
        <v>549.01</v>
      </c>
    </row>
    <row r="199" spans="1:16" customFormat="1" ht="15" hidden="1" thickBot="1" x14ac:dyDescent="0.35">
      <c r="A199" s="103" t="s">
        <v>173</v>
      </c>
      <c r="B199" s="103" t="s">
        <v>259</v>
      </c>
      <c r="C199" s="103" t="s">
        <v>260</v>
      </c>
      <c r="D199" s="107"/>
      <c r="E199" s="107"/>
      <c r="F199" s="107"/>
      <c r="G199" s="107"/>
      <c r="H199" s="107"/>
      <c r="I199" s="107"/>
      <c r="J199" s="107"/>
      <c r="K199" s="108">
        <v>500</v>
      </c>
      <c r="L199" s="107"/>
      <c r="M199" s="107"/>
      <c r="N199" s="107"/>
      <c r="O199" s="107"/>
      <c r="P199" s="106">
        <v>500</v>
      </c>
    </row>
    <row r="200" spans="1:16" customFormat="1" ht="15" hidden="1" thickBot="1" x14ac:dyDescent="0.35">
      <c r="A200" s="103" t="s">
        <v>143</v>
      </c>
      <c r="B200" s="103" t="s">
        <v>261</v>
      </c>
      <c r="C200" s="103" t="s">
        <v>262</v>
      </c>
      <c r="D200" s="104">
        <v>703.44</v>
      </c>
      <c r="E200" s="104">
        <v>267.60000000000002</v>
      </c>
      <c r="F200" s="104">
        <v>582.07000000000005</v>
      </c>
      <c r="G200" s="104">
        <v>804.82</v>
      </c>
      <c r="H200" s="104">
        <v>235.89</v>
      </c>
      <c r="I200" s="104">
        <v>1317.42</v>
      </c>
      <c r="J200" s="104">
        <v>-2.12</v>
      </c>
      <c r="K200" s="104">
        <v>14.65</v>
      </c>
      <c r="L200" s="104">
        <v>804.83</v>
      </c>
      <c r="M200" s="104">
        <v>319.82</v>
      </c>
      <c r="N200" s="104">
        <v>661.77</v>
      </c>
      <c r="O200" s="104">
        <v>1509.09</v>
      </c>
      <c r="P200" s="106">
        <v>7219.28</v>
      </c>
    </row>
    <row r="201" spans="1:16" customFormat="1" ht="15" hidden="1" thickBot="1" x14ac:dyDescent="0.35">
      <c r="A201" s="103" t="s">
        <v>183</v>
      </c>
      <c r="B201" s="103" t="s">
        <v>261</v>
      </c>
      <c r="C201" s="103" t="s">
        <v>262</v>
      </c>
      <c r="D201" s="104">
        <v>1406.72</v>
      </c>
      <c r="E201" s="104">
        <v>535.05999999999995</v>
      </c>
      <c r="F201" s="104">
        <v>1164.1600000000001</v>
      </c>
      <c r="G201" s="104">
        <v>1609.63</v>
      </c>
      <c r="H201" s="104">
        <v>471.76</v>
      </c>
      <c r="I201" s="104">
        <v>2634.83</v>
      </c>
      <c r="J201" s="104">
        <v>-4.3099999999999996</v>
      </c>
      <c r="K201" s="104">
        <v>29.3</v>
      </c>
      <c r="L201" s="104">
        <v>1609.6</v>
      </c>
      <c r="M201" s="104">
        <v>639.67999999999995</v>
      </c>
      <c r="N201" s="104">
        <v>1323.58</v>
      </c>
      <c r="O201" s="104">
        <v>3018.19</v>
      </c>
      <c r="P201" s="106">
        <v>14438.2</v>
      </c>
    </row>
    <row r="202" spans="1:16" customFormat="1" ht="15" hidden="1" thickBot="1" x14ac:dyDescent="0.35">
      <c r="A202" s="103" t="s">
        <v>184</v>
      </c>
      <c r="B202" s="103" t="s">
        <v>261</v>
      </c>
      <c r="C202" s="103" t="s">
        <v>262</v>
      </c>
      <c r="D202" s="104">
        <v>1406.88</v>
      </c>
      <c r="E202" s="104">
        <v>535.20000000000005</v>
      </c>
      <c r="F202" s="104">
        <v>1164.1400000000001</v>
      </c>
      <c r="G202" s="104">
        <v>1609.64</v>
      </c>
      <c r="H202" s="104">
        <v>471.78</v>
      </c>
      <c r="I202" s="104">
        <v>2634.84</v>
      </c>
      <c r="J202" s="104">
        <v>-4.24</v>
      </c>
      <c r="K202" s="104">
        <v>29.3</v>
      </c>
      <c r="L202" s="104">
        <v>1609.66</v>
      </c>
      <c r="M202" s="104">
        <v>639.64</v>
      </c>
      <c r="N202" s="104">
        <v>1323.54</v>
      </c>
      <c r="O202" s="104">
        <v>3018.18</v>
      </c>
      <c r="P202" s="106">
        <v>14438.56</v>
      </c>
    </row>
    <row r="203" spans="1:16" customFormat="1" ht="15" hidden="1" thickBot="1" x14ac:dyDescent="0.35">
      <c r="A203" s="103" t="s">
        <v>151</v>
      </c>
      <c r="B203" s="103" t="s">
        <v>261</v>
      </c>
      <c r="C203" s="103" t="s">
        <v>262</v>
      </c>
      <c r="D203" s="108">
        <v>1719.54</v>
      </c>
      <c r="E203" s="107"/>
      <c r="F203" s="108">
        <v>875.32</v>
      </c>
      <c r="G203" s="108">
        <v>33761.9</v>
      </c>
      <c r="H203" s="108">
        <v>2139.7600000000002</v>
      </c>
      <c r="I203" s="108">
        <v>-3218.4</v>
      </c>
      <c r="J203" s="108">
        <v>1597.92</v>
      </c>
      <c r="K203" s="108">
        <v>4898.3500000000004</v>
      </c>
      <c r="L203" s="108">
        <v>2978.67</v>
      </c>
      <c r="M203" s="107"/>
      <c r="N203" s="107"/>
      <c r="O203" s="107"/>
      <c r="P203" s="106">
        <v>44753.06</v>
      </c>
    </row>
    <row r="204" spans="1:16" customFormat="1" ht="15" hidden="1" thickBot="1" x14ac:dyDescent="0.35">
      <c r="A204" s="103" t="s">
        <v>154</v>
      </c>
      <c r="B204" s="103" t="s">
        <v>261</v>
      </c>
      <c r="C204" s="103" t="s">
        <v>262</v>
      </c>
      <c r="D204" s="108">
        <v>155.33000000000001</v>
      </c>
      <c r="E204" s="107"/>
      <c r="F204" s="108">
        <v>11.37</v>
      </c>
      <c r="G204" s="108">
        <v>152</v>
      </c>
      <c r="H204" s="107"/>
      <c r="I204" s="107"/>
      <c r="J204" s="107"/>
      <c r="K204" s="107"/>
      <c r="L204" s="108">
        <v>185.17</v>
      </c>
      <c r="M204" s="107"/>
      <c r="N204" s="107"/>
      <c r="O204" s="108">
        <v>126</v>
      </c>
      <c r="P204" s="106">
        <v>629.87</v>
      </c>
    </row>
    <row r="205" spans="1:16" customFormat="1" ht="15" hidden="1" thickBot="1" x14ac:dyDescent="0.35">
      <c r="A205" s="103" t="s">
        <v>157</v>
      </c>
      <c r="B205" s="103" t="s">
        <v>261</v>
      </c>
      <c r="C205" s="103" t="s">
        <v>262</v>
      </c>
      <c r="D205" s="104">
        <v>548.95000000000005</v>
      </c>
      <c r="E205" s="104">
        <v>-543.24</v>
      </c>
      <c r="F205" s="104">
        <v>15501.7</v>
      </c>
      <c r="G205" s="104">
        <v>2986.36</v>
      </c>
      <c r="H205" s="104">
        <v>23968.62</v>
      </c>
      <c r="I205" s="104">
        <v>-4119.6400000000003</v>
      </c>
      <c r="J205" s="104">
        <v>9243.7199999999993</v>
      </c>
      <c r="K205" s="104">
        <v>7491.89</v>
      </c>
      <c r="L205" s="104">
        <v>2797.16</v>
      </c>
      <c r="M205" s="104">
        <v>25507.119999999999</v>
      </c>
      <c r="N205" s="104">
        <v>-11038.67</v>
      </c>
      <c r="O205" s="104">
        <v>3814.31</v>
      </c>
      <c r="P205" s="106">
        <v>76158.28</v>
      </c>
    </row>
    <row r="206" spans="1:16" customFormat="1" ht="15" hidden="1" thickBot="1" x14ac:dyDescent="0.35">
      <c r="A206" s="103" t="s">
        <v>162</v>
      </c>
      <c r="B206" s="103" t="s">
        <v>261</v>
      </c>
      <c r="C206" s="103" t="s">
        <v>262</v>
      </c>
      <c r="D206" s="105"/>
      <c r="E206" s="105"/>
      <c r="F206" s="105"/>
      <c r="G206" s="105"/>
      <c r="H206" s="104">
        <v>428.23</v>
      </c>
      <c r="I206" s="105"/>
      <c r="J206" s="105"/>
      <c r="K206" s="105"/>
      <c r="L206" s="105"/>
      <c r="M206" s="105"/>
      <c r="N206" s="105"/>
      <c r="O206" s="105"/>
      <c r="P206" s="106">
        <v>428.23</v>
      </c>
    </row>
    <row r="207" spans="1:16" customFormat="1" ht="15" hidden="1" thickBot="1" x14ac:dyDescent="0.35">
      <c r="A207" s="103" t="s">
        <v>163</v>
      </c>
      <c r="B207" s="103" t="s">
        <v>261</v>
      </c>
      <c r="C207" s="103" t="s">
        <v>262</v>
      </c>
      <c r="D207" s="108">
        <v>267.13</v>
      </c>
      <c r="E207" s="108">
        <v>786.14</v>
      </c>
      <c r="F207" s="108">
        <v>809.21</v>
      </c>
      <c r="G207" s="108">
        <v>-3897.2</v>
      </c>
      <c r="H207" s="108">
        <v>88.73</v>
      </c>
      <c r="I207" s="108">
        <v>-2263.64</v>
      </c>
      <c r="J207" s="107"/>
      <c r="K207" s="108">
        <v>120.73</v>
      </c>
      <c r="L207" s="108">
        <v>19.71</v>
      </c>
      <c r="M207" s="108">
        <v>128.36000000000001</v>
      </c>
      <c r="N207" s="107"/>
      <c r="O207" s="107"/>
      <c r="P207" s="106">
        <v>-3940.83</v>
      </c>
    </row>
    <row r="208" spans="1:16" customFormat="1" ht="15" hidden="1" thickBot="1" x14ac:dyDescent="0.35">
      <c r="A208" s="103" t="s">
        <v>164</v>
      </c>
      <c r="B208" s="103" t="s">
        <v>261</v>
      </c>
      <c r="C208" s="103" t="s">
        <v>262</v>
      </c>
      <c r="D208" s="104">
        <v>4694.8999999999996</v>
      </c>
      <c r="E208" s="104">
        <v>12254.29</v>
      </c>
      <c r="F208" s="104">
        <v>3987.02</v>
      </c>
      <c r="G208" s="104">
        <v>4558.38</v>
      </c>
      <c r="H208" s="104">
        <v>1892.29</v>
      </c>
      <c r="I208" s="104">
        <v>7750.81</v>
      </c>
      <c r="J208" s="104">
        <v>2669.12</v>
      </c>
      <c r="K208" s="104">
        <v>2821.2</v>
      </c>
      <c r="L208" s="104">
        <v>2700.74</v>
      </c>
      <c r="M208" s="104">
        <v>15848</v>
      </c>
      <c r="N208" s="104">
        <v>11542.94</v>
      </c>
      <c r="O208" s="104">
        <v>4828.7700000000004</v>
      </c>
      <c r="P208" s="106">
        <v>75548.460000000006</v>
      </c>
    </row>
    <row r="209" spans="1:16" customFormat="1" ht="15" hidden="1" thickBot="1" x14ac:dyDescent="0.35">
      <c r="A209" s="103" t="s">
        <v>165</v>
      </c>
      <c r="B209" s="103" t="s">
        <v>261</v>
      </c>
      <c r="C209" s="103" t="s">
        <v>262</v>
      </c>
      <c r="D209" s="104">
        <v>101504.28</v>
      </c>
      <c r="E209" s="104">
        <v>105210.06</v>
      </c>
      <c r="F209" s="104">
        <v>80988.100000000006</v>
      </c>
      <c r="G209" s="104">
        <v>77357.17</v>
      </c>
      <c r="H209" s="104">
        <v>104036.95</v>
      </c>
      <c r="I209" s="104">
        <v>93031.65</v>
      </c>
      <c r="J209" s="104">
        <v>101406.83</v>
      </c>
      <c r="K209" s="104">
        <v>50827.43</v>
      </c>
      <c r="L209" s="104">
        <v>122359.85</v>
      </c>
      <c r="M209" s="104">
        <v>121281.27</v>
      </c>
      <c r="N209" s="104">
        <v>20397.66</v>
      </c>
      <c r="O209" s="104">
        <v>94510.03</v>
      </c>
      <c r="P209" s="106">
        <v>1072911.28</v>
      </c>
    </row>
    <row r="210" spans="1:16" customFormat="1" ht="15" hidden="1" thickBot="1" x14ac:dyDescent="0.35">
      <c r="A210" s="103" t="s">
        <v>242</v>
      </c>
      <c r="B210" s="103" t="s">
        <v>261</v>
      </c>
      <c r="C210" s="103" t="s">
        <v>262</v>
      </c>
      <c r="D210" s="108">
        <v>107661.33</v>
      </c>
      <c r="E210" s="108">
        <v>110281.26</v>
      </c>
      <c r="F210" s="108">
        <v>62630.3</v>
      </c>
      <c r="G210" s="108">
        <v>106123.83</v>
      </c>
      <c r="H210" s="108">
        <v>104242.09</v>
      </c>
      <c r="I210" s="108">
        <v>94856.24</v>
      </c>
      <c r="J210" s="108">
        <v>95364.76</v>
      </c>
      <c r="K210" s="108">
        <v>108883.96</v>
      </c>
      <c r="L210" s="108">
        <v>79837.97</v>
      </c>
      <c r="M210" s="108">
        <v>106620.18</v>
      </c>
      <c r="N210" s="108">
        <v>109130.97</v>
      </c>
      <c r="O210" s="108">
        <v>86117.17</v>
      </c>
      <c r="P210" s="106">
        <v>1171750.06</v>
      </c>
    </row>
    <row r="211" spans="1:16" customFormat="1" ht="15" hidden="1" thickBot="1" x14ac:dyDescent="0.35">
      <c r="A211" s="103" t="s">
        <v>169</v>
      </c>
      <c r="B211" s="103" t="s">
        <v>261</v>
      </c>
      <c r="C211" s="103" t="s">
        <v>262</v>
      </c>
      <c r="D211" s="105"/>
      <c r="E211" s="105"/>
      <c r="F211" s="105"/>
      <c r="G211" s="105"/>
      <c r="H211" s="104">
        <v>96.94</v>
      </c>
      <c r="I211" s="105"/>
      <c r="J211" s="105"/>
      <c r="K211" s="105"/>
      <c r="L211" s="105"/>
      <c r="M211" s="105"/>
      <c r="N211" s="105"/>
      <c r="O211" s="105"/>
      <c r="P211" s="106">
        <v>96.94</v>
      </c>
    </row>
    <row r="212" spans="1:16" customFormat="1" ht="15" hidden="1" thickBot="1" x14ac:dyDescent="0.35">
      <c r="A212" s="103" t="s">
        <v>171</v>
      </c>
      <c r="B212" s="103" t="s">
        <v>261</v>
      </c>
      <c r="C212" s="103" t="s">
        <v>262</v>
      </c>
      <c r="D212" s="105"/>
      <c r="E212" s="104">
        <v>5.25</v>
      </c>
      <c r="F212" s="105"/>
      <c r="G212" s="105"/>
      <c r="H212" s="105"/>
      <c r="I212" s="105"/>
      <c r="J212" s="105"/>
      <c r="K212" s="104">
        <v>1.17</v>
      </c>
      <c r="L212" s="104">
        <v>58.71</v>
      </c>
      <c r="M212" s="104">
        <v>30.17</v>
      </c>
      <c r="N212" s="105"/>
      <c r="O212" s="104">
        <v>10.18</v>
      </c>
      <c r="P212" s="106">
        <v>105.48</v>
      </c>
    </row>
    <row r="213" spans="1:16" customFormat="1" ht="15" hidden="1" thickBot="1" x14ac:dyDescent="0.35">
      <c r="A213" s="103" t="s">
        <v>173</v>
      </c>
      <c r="B213" s="103" t="s">
        <v>261</v>
      </c>
      <c r="C213" s="103" t="s">
        <v>262</v>
      </c>
      <c r="D213" s="104">
        <v>150</v>
      </c>
      <c r="E213" s="104">
        <v>58.78</v>
      </c>
      <c r="F213" s="105"/>
      <c r="G213" s="104">
        <v>150</v>
      </c>
      <c r="H213" s="104">
        <v>150</v>
      </c>
      <c r="I213" s="104">
        <v>62.31</v>
      </c>
      <c r="J213" s="104">
        <v>780</v>
      </c>
      <c r="K213" s="104">
        <v>958</v>
      </c>
      <c r="L213" s="105"/>
      <c r="M213" s="104">
        <v>158</v>
      </c>
      <c r="N213" s="104">
        <v>158</v>
      </c>
      <c r="O213" s="104">
        <v>158</v>
      </c>
      <c r="P213" s="106">
        <v>2783.09</v>
      </c>
    </row>
    <row r="214" spans="1:16" customFormat="1" ht="15" hidden="1" thickBot="1" x14ac:dyDescent="0.35">
      <c r="A214" s="103" t="s">
        <v>165</v>
      </c>
      <c r="B214" s="103" t="s">
        <v>263</v>
      </c>
      <c r="C214" s="103" t="s">
        <v>264</v>
      </c>
      <c r="D214" s="108">
        <v>62881.36</v>
      </c>
      <c r="E214" s="108">
        <v>84901.53</v>
      </c>
      <c r="F214" s="108">
        <v>81999.34</v>
      </c>
      <c r="G214" s="108">
        <v>87850.68</v>
      </c>
      <c r="H214" s="108">
        <v>84460.32</v>
      </c>
      <c r="I214" s="108">
        <v>86835.92</v>
      </c>
      <c r="J214" s="108">
        <v>81780.55</v>
      </c>
      <c r="K214" s="108">
        <v>81254.97</v>
      </c>
      <c r="L214" s="108">
        <v>83171.58</v>
      </c>
      <c r="M214" s="108">
        <v>85351.41</v>
      </c>
      <c r="N214" s="108">
        <v>84177.83</v>
      </c>
      <c r="O214" s="108">
        <v>79665.77</v>
      </c>
      <c r="P214" s="106">
        <v>984331.26</v>
      </c>
    </row>
    <row r="215" spans="1:16" customFormat="1" ht="15" hidden="1" thickBot="1" x14ac:dyDescent="0.35">
      <c r="A215" s="103" t="s">
        <v>173</v>
      </c>
      <c r="B215" s="103" t="s">
        <v>263</v>
      </c>
      <c r="C215" s="103" t="s">
        <v>264</v>
      </c>
      <c r="D215" s="107"/>
      <c r="E215" s="107"/>
      <c r="F215" s="107"/>
      <c r="G215" s="107"/>
      <c r="H215" s="107"/>
      <c r="I215" s="107"/>
      <c r="J215" s="107"/>
      <c r="K215" s="107"/>
      <c r="L215" s="107"/>
      <c r="M215" s="107"/>
      <c r="N215" s="107"/>
      <c r="O215" s="108">
        <v>1140.43</v>
      </c>
      <c r="P215" s="106">
        <v>1140.43</v>
      </c>
    </row>
    <row r="216" spans="1:16" customFormat="1" ht="15" hidden="1" thickBot="1" x14ac:dyDescent="0.35">
      <c r="A216" s="103" t="s">
        <v>143</v>
      </c>
      <c r="B216" s="103" t="s">
        <v>265</v>
      </c>
      <c r="C216" s="103" t="s">
        <v>266</v>
      </c>
      <c r="D216" s="107"/>
      <c r="E216" s="108">
        <v>485.97</v>
      </c>
      <c r="F216" s="107"/>
      <c r="G216" s="107"/>
      <c r="H216" s="107"/>
      <c r="I216" s="107"/>
      <c r="J216" s="107"/>
      <c r="K216" s="107"/>
      <c r="L216" s="107"/>
      <c r="M216" s="107"/>
      <c r="N216" s="107"/>
      <c r="O216" s="107"/>
      <c r="P216" s="106">
        <v>485.97</v>
      </c>
    </row>
    <row r="217" spans="1:16" customFormat="1" ht="15" hidden="1" thickBot="1" x14ac:dyDescent="0.35">
      <c r="A217" s="103" t="s">
        <v>173</v>
      </c>
      <c r="B217" s="103" t="s">
        <v>265</v>
      </c>
      <c r="C217" s="103" t="s">
        <v>266</v>
      </c>
      <c r="D217" s="104">
        <v>50244.11</v>
      </c>
      <c r="E217" s="104">
        <v>69086.509999999995</v>
      </c>
      <c r="F217" s="104">
        <v>75228.289999999994</v>
      </c>
      <c r="G217" s="104">
        <v>36287.949999999997</v>
      </c>
      <c r="H217" s="104">
        <v>37349.949999999997</v>
      </c>
      <c r="I217" s="104">
        <v>29679.45</v>
      </c>
      <c r="J217" s="104">
        <v>39295.24</v>
      </c>
      <c r="K217" s="104">
        <v>48971.35</v>
      </c>
      <c r="L217" s="104">
        <v>33253.81</v>
      </c>
      <c r="M217" s="104">
        <v>50030.23</v>
      </c>
      <c r="N217" s="104">
        <v>49836.45</v>
      </c>
      <c r="O217" s="104">
        <v>83566.240000000005</v>
      </c>
      <c r="P217" s="106">
        <v>602829.57999999996</v>
      </c>
    </row>
    <row r="218" spans="1:16" customFormat="1" ht="15" hidden="1" thickBot="1" x14ac:dyDescent="0.35">
      <c r="A218" s="103" t="s">
        <v>188</v>
      </c>
      <c r="B218" s="103" t="s">
        <v>267</v>
      </c>
      <c r="C218" s="103" t="s">
        <v>268</v>
      </c>
      <c r="D218" s="104">
        <v>3795.8</v>
      </c>
      <c r="E218" s="104">
        <v>5786.95</v>
      </c>
      <c r="F218" s="104">
        <v>4379.0600000000004</v>
      </c>
      <c r="G218" s="104">
        <v>5689.56</v>
      </c>
      <c r="H218" s="104">
        <v>8602.4699999999993</v>
      </c>
      <c r="I218" s="104">
        <v>5113.68</v>
      </c>
      <c r="J218" s="104">
        <v>4712.66</v>
      </c>
      <c r="K218" s="104">
        <v>3987.42</v>
      </c>
      <c r="L218" s="104">
        <v>6278.31</v>
      </c>
      <c r="M218" s="104">
        <v>3976.56</v>
      </c>
      <c r="N218" s="104">
        <v>4893.53</v>
      </c>
      <c r="O218" s="104">
        <v>6705.75</v>
      </c>
      <c r="P218" s="106">
        <v>63921.75</v>
      </c>
    </row>
    <row r="219" spans="1:16" customFormat="1" ht="15" hidden="1" thickBot="1" x14ac:dyDescent="0.35">
      <c r="A219" s="103" t="s">
        <v>172</v>
      </c>
      <c r="B219" s="103" t="s">
        <v>267</v>
      </c>
      <c r="C219" s="103" t="s">
        <v>268</v>
      </c>
      <c r="D219" s="104">
        <v>6637.4</v>
      </c>
      <c r="E219" s="104">
        <v>5732.3</v>
      </c>
      <c r="F219" s="104">
        <v>6926.48</v>
      </c>
      <c r="G219" s="104">
        <v>5037.4399999999996</v>
      </c>
      <c r="H219" s="104">
        <v>4722.6000000000004</v>
      </c>
      <c r="I219" s="104">
        <v>6611.64</v>
      </c>
      <c r="J219" s="104">
        <v>6296.8</v>
      </c>
      <c r="K219" s="104">
        <v>6611.64</v>
      </c>
      <c r="L219" s="104">
        <v>6296.8</v>
      </c>
      <c r="M219" s="104">
        <v>7083.9</v>
      </c>
      <c r="N219" s="104">
        <v>5981.96</v>
      </c>
      <c r="O219" s="104">
        <v>4722.6000000000004</v>
      </c>
      <c r="P219" s="106">
        <v>72661.56</v>
      </c>
    </row>
    <row r="220" spans="1:16" customFormat="1" ht="15" hidden="1" thickBot="1" x14ac:dyDescent="0.35">
      <c r="A220" s="103" t="s">
        <v>173</v>
      </c>
      <c r="B220" s="103" t="s">
        <v>267</v>
      </c>
      <c r="C220" s="103" t="s">
        <v>268</v>
      </c>
      <c r="D220" s="108">
        <v>250.23</v>
      </c>
      <c r="E220" s="108">
        <v>3275.27</v>
      </c>
      <c r="F220" s="108">
        <v>2785.26</v>
      </c>
      <c r="G220" s="108">
        <v>94</v>
      </c>
      <c r="H220" s="108">
        <v>2702.87</v>
      </c>
      <c r="I220" s="108">
        <v>502.03</v>
      </c>
      <c r="J220" s="108">
        <v>1354.37</v>
      </c>
      <c r="K220" s="108">
        <v>1438.55</v>
      </c>
      <c r="L220" s="108">
        <v>1645.5</v>
      </c>
      <c r="M220" s="108">
        <v>1777.68</v>
      </c>
      <c r="N220" s="108">
        <v>1774.81</v>
      </c>
      <c r="O220" s="108">
        <v>866.67</v>
      </c>
      <c r="P220" s="106">
        <v>18467.240000000002</v>
      </c>
    </row>
    <row r="221" spans="1:16" customFormat="1" ht="15" hidden="1" thickBot="1" x14ac:dyDescent="0.35">
      <c r="A221" s="103" t="s">
        <v>173</v>
      </c>
      <c r="B221" s="103" t="s">
        <v>269</v>
      </c>
      <c r="C221" s="103" t="s">
        <v>270</v>
      </c>
      <c r="D221" s="104">
        <v>11592.24</v>
      </c>
      <c r="E221" s="104">
        <v>20829.34</v>
      </c>
      <c r="F221" s="104">
        <v>9432.02</v>
      </c>
      <c r="G221" s="104">
        <v>14159.59</v>
      </c>
      <c r="H221" s="104">
        <v>11434.13</v>
      </c>
      <c r="I221" s="104">
        <v>11548.82</v>
      </c>
      <c r="J221" s="104">
        <v>12840.21</v>
      </c>
      <c r="K221" s="104">
        <v>10327.24</v>
      </c>
      <c r="L221" s="104">
        <v>11807.7</v>
      </c>
      <c r="M221" s="104">
        <v>11174.8</v>
      </c>
      <c r="N221" s="104">
        <v>15680.79</v>
      </c>
      <c r="O221" s="104">
        <v>11602.82</v>
      </c>
      <c r="P221" s="106">
        <v>152429.70000000001</v>
      </c>
    </row>
    <row r="222" spans="1:16" customFormat="1" ht="15" hidden="1" thickBot="1" x14ac:dyDescent="0.35">
      <c r="A222" s="103" t="s">
        <v>183</v>
      </c>
      <c r="B222" s="103" t="s">
        <v>271</v>
      </c>
      <c r="C222" s="103" t="s">
        <v>272</v>
      </c>
      <c r="D222" s="107"/>
      <c r="E222" s="107"/>
      <c r="F222" s="107"/>
      <c r="G222" s="107"/>
      <c r="H222" s="107"/>
      <c r="I222" s="107"/>
      <c r="J222" s="107"/>
      <c r="K222" s="107"/>
      <c r="L222" s="107"/>
      <c r="M222" s="107"/>
      <c r="N222" s="107"/>
      <c r="O222" s="108">
        <v>780</v>
      </c>
      <c r="P222" s="106">
        <v>780</v>
      </c>
    </row>
    <row r="223" spans="1:16" customFormat="1" ht="15" hidden="1" thickBot="1" x14ac:dyDescent="0.35">
      <c r="A223" s="103" t="s">
        <v>165</v>
      </c>
      <c r="B223" s="103" t="s">
        <v>271</v>
      </c>
      <c r="C223" s="103" t="s">
        <v>272</v>
      </c>
      <c r="D223" s="104">
        <v>12574.28</v>
      </c>
      <c r="E223" s="104">
        <v>13791.34</v>
      </c>
      <c r="F223" s="104">
        <v>13676.74</v>
      </c>
      <c r="G223" s="104">
        <v>8771.51</v>
      </c>
      <c r="H223" s="104">
        <v>8287.7999999999993</v>
      </c>
      <c r="I223" s="104">
        <v>7969.9</v>
      </c>
      <c r="J223" s="104">
        <v>9751.89</v>
      </c>
      <c r="K223" s="104">
        <v>6830.01</v>
      </c>
      <c r="L223" s="104">
        <v>10413.64</v>
      </c>
      <c r="M223" s="104">
        <v>8549.92</v>
      </c>
      <c r="N223" s="104">
        <v>11088.14</v>
      </c>
      <c r="O223" s="104">
        <v>8617.06</v>
      </c>
      <c r="P223" s="106">
        <v>120322.23</v>
      </c>
    </row>
    <row r="224" spans="1:16" customFormat="1" ht="15" hidden="1" thickBot="1" x14ac:dyDescent="0.35">
      <c r="A224" s="103" t="s">
        <v>242</v>
      </c>
      <c r="B224" s="103" t="s">
        <v>271</v>
      </c>
      <c r="C224" s="103" t="s">
        <v>272</v>
      </c>
      <c r="D224" s="104">
        <v>1125.81</v>
      </c>
      <c r="E224" s="105"/>
      <c r="F224" s="105"/>
      <c r="G224" s="105"/>
      <c r="H224" s="105"/>
      <c r="I224" s="105"/>
      <c r="J224" s="105"/>
      <c r="K224" s="105"/>
      <c r="L224" s="105"/>
      <c r="M224" s="105"/>
      <c r="N224" s="105"/>
      <c r="O224" s="105"/>
      <c r="P224" s="106">
        <v>1125.81</v>
      </c>
    </row>
    <row r="225" spans="1:16" customFormat="1" ht="15" hidden="1" thickBot="1" x14ac:dyDescent="0.35">
      <c r="A225" s="103" t="s">
        <v>172</v>
      </c>
      <c r="B225" s="103" t="s">
        <v>271</v>
      </c>
      <c r="C225" s="103" t="s">
        <v>272</v>
      </c>
      <c r="D225" s="108">
        <v>182.08</v>
      </c>
      <c r="E225" s="107"/>
      <c r="F225" s="107"/>
      <c r="G225" s="107"/>
      <c r="H225" s="107"/>
      <c r="I225" s="107"/>
      <c r="J225" s="107"/>
      <c r="K225" s="107"/>
      <c r="L225" s="107"/>
      <c r="M225" s="107"/>
      <c r="N225" s="107"/>
      <c r="O225" s="107"/>
      <c r="P225" s="106">
        <v>182.08</v>
      </c>
    </row>
    <row r="226" spans="1:16" customFormat="1" ht="15" hidden="1" thickBot="1" x14ac:dyDescent="0.35">
      <c r="A226" s="103" t="s">
        <v>173</v>
      </c>
      <c r="B226" s="103" t="s">
        <v>271</v>
      </c>
      <c r="C226" s="103" t="s">
        <v>272</v>
      </c>
      <c r="D226" s="107"/>
      <c r="E226" s="107"/>
      <c r="F226" s="107"/>
      <c r="G226" s="107"/>
      <c r="H226" s="108">
        <v>650</v>
      </c>
      <c r="I226" s="108">
        <v>640</v>
      </c>
      <c r="J226" s="107"/>
      <c r="K226" s="107"/>
      <c r="L226" s="107"/>
      <c r="M226" s="107"/>
      <c r="N226" s="107"/>
      <c r="O226" s="107"/>
      <c r="P226" s="106">
        <v>1290</v>
      </c>
    </row>
    <row r="227" spans="1:16" customFormat="1" ht="15" hidden="1" thickBot="1" x14ac:dyDescent="0.35">
      <c r="A227" s="103" t="s">
        <v>157</v>
      </c>
      <c r="B227" s="103" t="s">
        <v>273</v>
      </c>
      <c r="C227" s="103" t="s">
        <v>274</v>
      </c>
      <c r="D227" s="107"/>
      <c r="E227" s="107"/>
      <c r="F227" s="107"/>
      <c r="G227" s="107"/>
      <c r="H227" s="107"/>
      <c r="I227" s="107"/>
      <c r="J227" s="107"/>
      <c r="K227" s="107"/>
      <c r="L227" s="107"/>
      <c r="M227" s="107"/>
      <c r="N227" s="108">
        <v>62.74</v>
      </c>
      <c r="O227" s="108">
        <v>-62.74</v>
      </c>
      <c r="P227" s="109">
        <v>0</v>
      </c>
    </row>
    <row r="228" spans="1:16" customFormat="1" ht="15" hidden="1" thickBot="1" x14ac:dyDescent="0.35">
      <c r="A228" s="103" t="s">
        <v>174</v>
      </c>
      <c r="B228" s="103" t="s">
        <v>273</v>
      </c>
      <c r="C228" s="103" t="s">
        <v>274</v>
      </c>
      <c r="D228" s="108">
        <v>33627.31</v>
      </c>
      <c r="E228" s="108">
        <v>34377.800000000003</v>
      </c>
      <c r="F228" s="108">
        <v>35700.49</v>
      </c>
      <c r="G228" s="108">
        <v>33680.6</v>
      </c>
      <c r="H228" s="108">
        <v>34944.93</v>
      </c>
      <c r="I228" s="108">
        <v>35442.239999999998</v>
      </c>
      <c r="J228" s="108">
        <v>30797.49</v>
      </c>
      <c r="K228" s="108">
        <v>36479.93</v>
      </c>
      <c r="L228" s="108">
        <v>30882.87</v>
      </c>
      <c r="M228" s="108">
        <v>31946.3</v>
      </c>
      <c r="N228" s="108">
        <v>35379.93</v>
      </c>
      <c r="O228" s="108">
        <v>30970.18</v>
      </c>
      <c r="P228" s="106">
        <v>404230.07</v>
      </c>
    </row>
    <row r="229" spans="1:16" customFormat="1" ht="15" hidden="1" thickBot="1" x14ac:dyDescent="0.35">
      <c r="A229" s="103" t="s">
        <v>151</v>
      </c>
      <c r="B229" s="103" t="s">
        <v>275</v>
      </c>
      <c r="C229" s="103" t="s">
        <v>276</v>
      </c>
      <c r="D229" s="104">
        <v>4889.71</v>
      </c>
      <c r="E229" s="104">
        <v>60244.53</v>
      </c>
      <c r="F229" s="104">
        <v>18373.580000000002</v>
      </c>
      <c r="G229" s="104">
        <v>63297.04</v>
      </c>
      <c r="H229" s="104">
        <v>130484.87</v>
      </c>
      <c r="I229" s="104">
        <v>153845.13</v>
      </c>
      <c r="J229" s="104">
        <v>71714.37</v>
      </c>
      <c r="K229" s="104">
        <v>185417.76</v>
      </c>
      <c r="L229" s="104">
        <v>310061.46000000002</v>
      </c>
      <c r="M229" s="104">
        <v>104659.51</v>
      </c>
      <c r="N229" s="104">
        <v>87786.95</v>
      </c>
      <c r="O229" s="104">
        <v>137315.23000000001</v>
      </c>
      <c r="P229" s="106">
        <v>1328090.1399999999</v>
      </c>
    </row>
    <row r="230" spans="1:16" customFormat="1" ht="15" hidden="1" thickBot="1" x14ac:dyDescent="0.35">
      <c r="A230" s="103" t="s">
        <v>277</v>
      </c>
      <c r="B230" s="103" t="s">
        <v>275</v>
      </c>
      <c r="C230" s="103" t="s">
        <v>276</v>
      </c>
      <c r="D230" s="104">
        <v>956.74</v>
      </c>
      <c r="E230" s="104">
        <v>228.66</v>
      </c>
      <c r="F230" s="104">
        <v>252.57</v>
      </c>
      <c r="G230" s="104">
        <v>784.4</v>
      </c>
      <c r="H230" s="104">
        <v>12799.77</v>
      </c>
      <c r="I230" s="105"/>
      <c r="J230" s="104">
        <v>811.39</v>
      </c>
      <c r="K230" s="104">
        <v>155.69999999999999</v>
      </c>
      <c r="L230" s="104">
        <v>51470.82</v>
      </c>
      <c r="M230" s="104">
        <v>114710.95</v>
      </c>
      <c r="N230" s="104">
        <v>17258.150000000001</v>
      </c>
      <c r="O230" s="104">
        <v>14767.04</v>
      </c>
      <c r="P230" s="106">
        <v>214196.19</v>
      </c>
    </row>
    <row r="231" spans="1:16" customFormat="1" ht="15" hidden="1" thickBot="1" x14ac:dyDescent="0.35">
      <c r="A231" s="103" t="s">
        <v>157</v>
      </c>
      <c r="B231" s="103" t="s">
        <v>275</v>
      </c>
      <c r="C231" s="103" t="s">
        <v>276</v>
      </c>
      <c r="D231" s="105"/>
      <c r="E231" s="105"/>
      <c r="F231" s="105"/>
      <c r="G231" s="105"/>
      <c r="H231" s="105"/>
      <c r="I231" s="104">
        <v>374.04</v>
      </c>
      <c r="J231" s="104">
        <v>18705.12</v>
      </c>
      <c r="K231" s="104">
        <v>47845.52</v>
      </c>
      <c r="L231" s="104">
        <v>13867.39</v>
      </c>
      <c r="M231" s="104">
        <v>1490.47</v>
      </c>
      <c r="N231" s="105"/>
      <c r="O231" s="105"/>
      <c r="P231" s="106">
        <v>82282.539999999994</v>
      </c>
    </row>
    <row r="232" spans="1:16" customFormat="1" ht="15" hidden="1" thickBot="1" x14ac:dyDescent="0.35">
      <c r="A232" s="103" t="s">
        <v>165</v>
      </c>
      <c r="B232" s="103" t="s">
        <v>275</v>
      </c>
      <c r="C232" s="103" t="s">
        <v>276</v>
      </c>
      <c r="D232" s="108">
        <v>109525.16</v>
      </c>
      <c r="E232" s="108">
        <v>129093.47</v>
      </c>
      <c r="F232" s="108">
        <v>176071.16</v>
      </c>
      <c r="G232" s="108">
        <v>220763.26</v>
      </c>
      <c r="H232" s="108">
        <v>414402.89</v>
      </c>
      <c r="I232" s="108">
        <v>269170.27</v>
      </c>
      <c r="J232" s="108">
        <v>259310.72</v>
      </c>
      <c r="K232" s="108">
        <v>282465.7</v>
      </c>
      <c r="L232" s="108">
        <v>390419.22</v>
      </c>
      <c r="M232" s="108">
        <v>152704.79</v>
      </c>
      <c r="N232" s="108">
        <v>166107.35</v>
      </c>
      <c r="O232" s="108">
        <v>335254.63</v>
      </c>
      <c r="P232" s="106">
        <v>2905288.62</v>
      </c>
    </row>
    <row r="233" spans="1:16" customFormat="1" ht="15" hidden="1" thickBot="1" x14ac:dyDescent="0.35">
      <c r="A233" s="103" t="s">
        <v>242</v>
      </c>
      <c r="B233" s="103" t="s">
        <v>275</v>
      </c>
      <c r="C233" s="103" t="s">
        <v>276</v>
      </c>
      <c r="D233" s="107"/>
      <c r="E233" s="107"/>
      <c r="F233" s="107"/>
      <c r="G233" s="107"/>
      <c r="H233" s="107"/>
      <c r="I233" s="107"/>
      <c r="J233" s="107"/>
      <c r="K233" s="107"/>
      <c r="L233" s="108">
        <v>5792.38</v>
      </c>
      <c r="M233" s="108">
        <v>824.38</v>
      </c>
      <c r="N233" s="107"/>
      <c r="O233" s="107"/>
      <c r="P233" s="106">
        <v>6616.76</v>
      </c>
    </row>
    <row r="234" spans="1:16" customFormat="1" ht="15" hidden="1" thickBot="1" x14ac:dyDescent="0.35">
      <c r="A234" s="103" t="s">
        <v>168</v>
      </c>
      <c r="B234" s="103" t="s">
        <v>275</v>
      </c>
      <c r="C234" s="103" t="s">
        <v>276</v>
      </c>
      <c r="D234" s="104">
        <v>609.91999999999996</v>
      </c>
      <c r="E234" s="104">
        <v>304.95999999999998</v>
      </c>
      <c r="F234" s="104">
        <v>233.13</v>
      </c>
      <c r="G234" s="105"/>
      <c r="H234" s="105"/>
      <c r="I234" s="105"/>
      <c r="J234" s="104">
        <v>155.41999999999999</v>
      </c>
      <c r="K234" s="105"/>
      <c r="L234" s="105"/>
      <c r="M234" s="105"/>
      <c r="N234" s="104">
        <v>155.41999999999999</v>
      </c>
      <c r="O234" s="104">
        <v>155.41999999999999</v>
      </c>
      <c r="P234" s="106">
        <v>1614.27</v>
      </c>
    </row>
    <row r="235" spans="1:16" customFormat="1" ht="15" hidden="1" thickBot="1" x14ac:dyDescent="0.35">
      <c r="A235" s="103" t="s">
        <v>173</v>
      </c>
      <c r="B235" s="103" t="s">
        <v>275</v>
      </c>
      <c r="C235" s="103" t="s">
        <v>276</v>
      </c>
      <c r="D235" s="105"/>
      <c r="E235" s="105"/>
      <c r="F235" s="105"/>
      <c r="G235" s="105"/>
      <c r="H235" s="105"/>
      <c r="I235" s="104">
        <v>790</v>
      </c>
      <c r="J235" s="105"/>
      <c r="K235" s="104">
        <v>400</v>
      </c>
      <c r="L235" s="105"/>
      <c r="M235" s="105"/>
      <c r="N235" s="105"/>
      <c r="O235" s="105"/>
      <c r="P235" s="106">
        <v>1190</v>
      </c>
    </row>
    <row r="236" spans="1:16" customFormat="1" ht="15" hidden="1" thickBot="1" x14ac:dyDescent="0.35">
      <c r="A236" s="103" t="s">
        <v>143</v>
      </c>
      <c r="B236" s="103" t="s">
        <v>278</v>
      </c>
      <c r="C236" s="103" t="s">
        <v>279</v>
      </c>
      <c r="D236" s="105"/>
      <c r="E236" s="105"/>
      <c r="F236" s="105"/>
      <c r="G236" s="105"/>
      <c r="H236" s="105"/>
      <c r="I236" s="105"/>
      <c r="J236" s="105"/>
      <c r="K236" s="105"/>
      <c r="L236" s="105"/>
      <c r="M236" s="105"/>
      <c r="N236" s="111">
        <v>0</v>
      </c>
      <c r="O236" s="105"/>
      <c r="P236" s="109">
        <v>0</v>
      </c>
    </row>
    <row r="237" spans="1:16" customFormat="1" ht="15" hidden="1" thickBot="1" x14ac:dyDescent="0.35">
      <c r="A237" s="103" t="s">
        <v>151</v>
      </c>
      <c r="B237" s="103" t="s">
        <v>278</v>
      </c>
      <c r="C237" s="103" t="s">
        <v>279</v>
      </c>
      <c r="D237" s="108">
        <v>5715.02</v>
      </c>
      <c r="E237" s="108">
        <v>19661.88</v>
      </c>
      <c r="F237" s="108">
        <v>8883.18</v>
      </c>
      <c r="G237" s="108">
        <v>9352.93</v>
      </c>
      <c r="H237" s="108">
        <v>13245.05</v>
      </c>
      <c r="I237" s="108">
        <v>-8922.2000000000007</v>
      </c>
      <c r="J237" s="108">
        <v>6232.41</v>
      </c>
      <c r="K237" s="108">
        <v>16027.51</v>
      </c>
      <c r="L237" s="108">
        <v>1685.97</v>
      </c>
      <c r="M237" s="108">
        <v>14652.67</v>
      </c>
      <c r="N237" s="108">
        <v>4784.8599999999997</v>
      </c>
      <c r="O237" s="108">
        <v>-11436.28</v>
      </c>
      <c r="P237" s="106">
        <v>79883</v>
      </c>
    </row>
    <row r="238" spans="1:16" customFormat="1" ht="15" hidden="1" thickBot="1" x14ac:dyDescent="0.35">
      <c r="A238" s="103" t="s">
        <v>157</v>
      </c>
      <c r="B238" s="103" t="s">
        <v>278</v>
      </c>
      <c r="C238" s="103" t="s">
        <v>279</v>
      </c>
      <c r="D238" s="108">
        <v>242021.45</v>
      </c>
      <c r="E238" s="108">
        <v>207897.46</v>
      </c>
      <c r="F238" s="108">
        <v>352073.3</v>
      </c>
      <c r="G238" s="108">
        <v>215572.59</v>
      </c>
      <c r="H238" s="108">
        <v>298395.18</v>
      </c>
      <c r="I238" s="108">
        <v>116161.94</v>
      </c>
      <c r="J238" s="108">
        <v>243074.69</v>
      </c>
      <c r="K238" s="108">
        <v>275026.7</v>
      </c>
      <c r="L238" s="108">
        <v>165155.87</v>
      </c>
      <c r="M238" s="108">
        <v>215281.06</v>
      </c>
      <c r="N238" s="108">
        <v>311036.52</v>
      </c>
      <c r="O238" s="108">
        <v>202136.95999999999</v>
      </c>
      <c r="P238" s="106">
        <v>2843833.72</v>
      </c>
    </row>
    <row r="239" spans="1:16" customFormat="1" ht="15" hidden="1" thickBot="1" x14ac:dyDescent="0.35">
      <c r="A239" s="103" t="s">
        <v>160</v>
      </c>
      <c r="B239" s="103" t="s">
        <v>278</v>
      </c>
      <c r="C239" s="103" t="s">
        <v>279</v>
      </c>
      <c r="D239" s="105"/>
      <c r="E239" s="105"/>
      <c r="F239" s="105"/>
      <c r="G239" s="105"/>
      <c r="H239" s="105"/>
      <c r="I239" s="105"/>
      <c r="J239" s="105"/>
      <c r="K239" s="105"/>
      <c r="L239" s="104">
        <v>73.16</v>
      </c>
      <c r="M239" s="104">
        <v>681.59</v>
      </c>
      <c r="N239" s="105"/>
      <c r="O239" s="105"/>
      <c r="P239" s="106">
        <v>754.75</v>
      </c>
    </row>
    <row r="240" spans="1:16" customFormat="1" ht="15" hidden="1" thickBot="1" x14ac:dyDescent="0.35">
      <c r="A240" s="103" t="s">
        <v>161</v>
      </c>
      <c r="B240" s="103" t="s">
        <v>278</v>
      </c>
      <c r="C240" s="103" t="s">
        <v>279</v>
      </c>
      <c r="D240" s="108">
        <v>593.75</v>
      </c>
      <c r="E240" s="107"/>
      <c r="F240" s="107"/>
      <c r="G240" s="107"/>
      <c r="H240" s="107"/>
      <c r="I240" s="107"/>
      <c r="J240" s="107"/>
      <c r="K240" s="107"/>
      <c r="L240" s="107"/>
      <c r="M240" s="107"/>
      <c r="N240" s="107"/>
      <c r="O240" s="107"/>
      <c r="P240" s="106">
        <v>593.75</v>
      </c>
    </row>
    <row r="241" spans="1:16" customFormat="1" ht="15" hidden="1" thickBot="1" x14ac:dyDescent="0.35">
      <c r="A241" s="103" t="s">
        <v>162</v>
      </c>
      <c r="B241" s="103" t="s">
        <v>278</v>
      </c>
      <c r="C241" s="103" t="s">
        <v>279</v>
      </c>
      <c r="D241" s="107"/>
      <c r="E241" s="107"/>
      <c r="F241" s="108">
        <v>195.85</v>
      </c>
      <c r="G241" s="107"/>
      <c r="H241" s="107"/>
      <c r="I241" s="108">
        <v>195.85</v>
      </c>
      <c r="J241" s="107"/>
      <c r="K241" s="107"/>
      <c r="L241" s="107"/>
      <c r="M241" s="107"/>
      <c r="N241" s="107"/>
      <c r="O241" s="107"/>
      <c r="P241" s="106">
        <v>391.7</v>
      </c>
    </row>
    <row r="242" spans="1:16" customFormat="1" ht="15" hidden="1" thickBot="1" x14ac:dyDescent="0.35">
      <c r="A242" s="103" t="s">
        <v>163</v>
      </c>
      <c r="B242" s="103" t="s">
        <v>278</v>
      </c>
      <c r="C242" s="103" t="s">
        <v>279</v>
      </c>
      <c r="D242" s="104">
        <v>15996.86</v>
      </c>
      <c r="E242" s="104">
        <v>14008.32</v>
      </c>
      <c r="F242" s="104">
        <v>19188.16</v>
      </c>
      <c r="G242" s="104">
        <v>9829.16</v>
      </c>
      <c r="H242" s="104">
        <v>16628.43</v>
      </c>
      <c r="I242" s="104">
        <v>12474.55</v>
      </c>
      <c r="J242" s="104">
        <v>19655.37</v>
      </c>
      <c r="K242" s="104">
        <v>10469.19</v>
      </c>
      <c r="L242" s="104">
        <v>17584.099999999999</v>
      </c>
      <c r="M242" s="104">
        <v>18682.900000000001</v>
      </c>
      <c r="N242" s="104">
        <v>15226.67</v>
      </c>
      <c r="O242" s="104">
        <v>15724.88</v>
      </c>
      <c r="P242" s="106">
        <v>185468.59</v>
      </c>
    </row>
    <row r="243" spans="1:16" customFormat="1" ht="15" hidden="1" thickBot="1" x14ac:dyDescent="0.35">
      <c r="A243" s="103" t="s">
        <v>164</v>
      </c>
      <c r="B243" s="103" t="s">
        <v>278</v>
      </c>
      <c r="C243" s="103" t="s">
        <v>279</v>
      </c>
      <c r="D243" s="108">
        <v>16657.580000000002</v>
      </c>
      <c r="E243" s="108">
        <v>20934.599999999999</v>
      </c>
      <c r="F243" s="108">
        <v>22610.11</v>
      </c>
      <c r="G243" s="108">
        <v>13325.96</v>
      </c>
      <c r="H243" s="108">
        <v>18410</v>
      </c>
      <c r="I243" s="108">
        <v>6973.4</v>
      </c>
      <c r="J243" s="108">
        <v>13773.33</v>
      </c>
      <c r="K243" s="108">
        <v>8461.14</v>
      </c>
      <c r="L243" s="108">
        <v>10034.15</v>
      </c>
      <c r="M243" s="108">
        <v>13209.83</v>
      </c>
      <c r="N243" s="108">
        <v>27194.81</v>
      </c>
      <c r="O243" s="108">
        <v>10217.620000000001</v>
      </c>
      <c r="P243" s="106">
        <v>181802.53</v>
      </c>
    </row>
    <row r="244" spans="1:16" customFormat="1" ht="15" hidden="1" thickBot="1" x14ac:dyDescent="0.35">
      <c r="A244" s="103" t="s">
        <v>165</v>
      </c>
      <c r="B244" s="103" t="s">
        <v>278</v>
      </c>
      <c r="C244" s="103" t="s">
        <v>279</v>
      </c>
      <c r="D244" s="104">
        <v>10611.32</v>
      </c>
      <c r="E244" s="104">
        <v>46762.39</v>
      </c>
      <c r="F244" s="104">
        <v>25889.119999999999</v>
      </c>
      <c r="G244" s="104">
        <v>48010.96</v>
      </c>
      <c r="H244" s="104">
        <v>23554</v>
      </c>
      <c r="I244" s="104">
        <v>42824.37</v>
      </c>
      <c r="J244" s="104">
        <v>41391.050000000003</v>
      </c>
      <c r="K244" s="104">
        <v>37147.54</v>
      </c>
      <c r="L244" s="104">
        <v>79918.42</v>
      </c>
      <c r="M244" s="104">
        <v>-1258.3399999999999</v>
      </c>
      <c r="N244" s="104">
        <v>47236.95</v>
      </c>
      <c r="O244" s="104">
        <v>57676.9</v>
      </c>
      <c r="P244" s="106">
        <v>459764.68</v>
      </c>
    </row>
    <row r="245" spans="1:16" customFormat="1" ht="15" hidden="1" thickBot="1" x14ac:dyDescent="0.35">
      <c r="A245" s="103" t="s">
        <v>242</v>
      </c>
      <c r="B245" s="103" t="s">
        <v>278</v>
      </c>
      <c r="C245" s="103" t="s">
        <v>279</v>
      </c>
      <c r="D245" s="104">
        <v>117778.86</v>
      </c>
      <c r="E245" s="104">
        <v>224162.54</v>
      </c>
      <c r="F245" s="104">
        <v>41447.86</v>
      </c>
      <c r="G245" s="104">
        <v>94086.86</v>
      </c>
      <c r="H245" s="104">
        <v>78121.460000000006</v>
      </c>
      <c r="I245" s="104">
        <v>143732.23000000001</v>
      </c>
      <c r="J245" s="104">
        <v>158029.64000000001</v>
      </c>
      <c r="K245" s="104">
        <v>171127.36</v>
      </c>
      <c r="L245" s="104">
        <v>178432.48</v>
      </c>
      <c r="M245" s="104">
        <v>191360.81</v>
      </c>
      <c r="N245" s="104">
        <v>136972.72</v>
      </c>
      <c r="O245" s="104">
        <v>-77890.39</v>
      </c>
      <c r="P245" s="106">
        <v>1457362.43</v>
      </c>
    </row>
    <row r="246" spans="1:16" customFormat="1" ht="15" hidden="1" thickBot="1" x14ac:dyDescent="0.35">
      <c r="A246" s="103" t="s">
        <v>166</v>
      </c>
      <c r="B246" s="103" t="s">
        <v>278</v>
      </c>
      <c r="C246" s="103" t="s">
        <v>279</v>
      </c>
      <c r="D246" s="107"/>
      <c r="E246" s="108">
        <v>92</v>
      </c>
      <c r="F246" s="107"/>
      <c r="G246" s="107"/>
      <c r="H246" s="108">
        <v>141.47</v>
      </c>
      <c r="I246" s="108">
        <v>880</v>
      </c>
      <c r="J246" s="107"/>
      <c r="K246" s="108">
        <v>1522.14</v>
      </c>
      <c r="L246" s="108">
        <v>660.9</v>
      </c>
      <c r="M246" s="108">
        <v>2459.17</v>
      </c>
      <c r="N246" s="108">
        <v>2351.6</v>
      </c>
      <c r="O246" s="108">
        <v>8678.2900000000009</v>
      </c>
      <c r="P246" s="106">
        <v>16785.57</v>
      </c>
    </row>
    <row r="247" spans="1:16" customFormat="1" ht="15" hidden="1" thickBot="1" x14ac:dyDescent="0.35">
      <c r="A247" s="103" t="s">
        <v>167</v>
      </c>
      <c r="B247" s="103" t="s">
        <v>278</v>
      </c>
      <c r="C247" s="103" t="s">
        <v>279</v>
      </c>
      <c r="D247" s="104">
        <v>18.170000000000002</v>
      </c>
      <c r="E247" s="104">
        <v>5858.33</v>
      </c>
      <c r="F247" s="104">
        <v>5424.5</v>
      </c>
      <c r="G247" s="104">
        <v>4064.3</v>
      </c>
      <c r="H247" s="104">
        <v>4543.78</v>
      </c>
      <c r="I247" s="104">
        <v>11289.64</v>
      </c>
      <c r="J247" s="104">
        <v>3064.97</v>
      </c>
      <c r="K247" s="104">
        <v>294.81</v>
      </c>
      <c r="L247" s="105"/>
      <c r="M247" s="104">
        <v>7017.98</v>
      </c>
      <c r="N247" s="104">
        <v>11345.54</v>
      </c>
      <c r="O247" s="105"/>
      <c r="P247" s="106">
        <v>52922.02</v>
      </c>
    </row>
    <row r="248" spans="1:16" customFormat="1" ht="15" hidden="1" thickBot="1" x14ac:dyDescent="0.35">
      <c r="A248" s="103" t="s">
        <v>168</v>
      </c>
      <c r="B248" s="103" t="s">
        <v>278</v>
      </c>
      <c r="C248" s="103" t="s">
        <v>279</v>
      </c>
      <c r="D248" s="108">
        <v>49935.19</v>
      </c>
      <c r="E248" s="108">
        <v>25694.04</v>
      </c>
      <c r="F248" s="108">
        <v>44981.97</v>
      </c>
      <c r="G248" s="108">
        <v>35403.69</v>
      </c>
      <c r="H248" s="108">
        <v>64842.36</v>
      </c>
      <c r="I248" s="108">
        <v>29299.34</v>
      </c>
      <c r="J248" s="108">
        <v>32887.550000000003</v>
      </c>
      <c r="K248" s="108">
        <v>55472.61</v>
      </c>
      <c r="L248" s="108">
        <v>56066.61</v>
      </c>
      <c r="M248" s="108">
        <v>63764.45</v>
      </c>
      <c r="N248" s="108">
        <v>64132.91</v>
      </c>
      <c r="O248" s="108">
        <v>-65898.87</v>
      </c>
      <c r="P248" s="106">
        <v>456581.85</v>
      </c>
    </row>
    <row r="249" spans="1:16" customFormat="1" ht="15" hidden="1" thickBot="1" x14ac:dyDescent="0.35">
      <c r="A249" s="103" t="s">
        <v>169</v>
      </c>
      <c r="B249" s="103" t="s">
        <v>278</v>
      </c>
      <c r="C249" s="103" t="s">
        <v>279</v>
      </c>
      <c r="D249" s="108">
        <v>782.79</v>
      </c>
      <c r="E249" s="108">
        <v>64</v>
      </c>
      <c r="F249" s="108">
        <v>51.2</v>
      </c>
      <c r="G249" s="108">
        <v>51.2</v>
      </c>
      <c r="H249" s="108">
        <v>1620.79</v>
      </c>
      <c r="I249" s="108">
        <v>1261.01</v>
      </c>
      <c r="J249" s="107"/>
      <c r="K249" s="108">
        <v>185.23</v>
      </c>
      <c r="L249" s="108">
        <v>53.6</v>
      </c>
      <c r="M249" s="108">
        <v>437.79</v>
      </c>
      <c r="N249" s="108">
        <v>351.4</v>
      </c>
      <c r="O249" s="108">
        <v>-14995.54</v>
      </c>
      <c r="P249" s="106">
        <v>-10136.530000000001</v>
      </c>
    </row>
    <row r="250" spans="1:16" customFormat="1" ht="15" hidden="1" thickBot="1" x14ac:dyDescent="0.35">
      <c r="A250" s="103" t="s">
        <v>171</v>
      </c>
      <c r="B250" s="103" t="s">
        <v>278</v>
      </c>
      <c r="C250" s="103" t="s">
        <v>279</v>
      </c>
      <c r="D250" s="108">
        <v>989.44</v>
      </c>
      <c r="E250" s="108">
        <v>803.44</v>
      </c>
      <c r="F250" s="107"/>
      <c r="G250" s="107"/>
      <c r="H250" s="107"/>
      <c r="I250" s="108">
        <v>145.77000000000001</v>
      </c>
      <c r="J250" s="108">
        <v>762</v>
      </c>
      <c r="K250" s="110">
        <v>0</v>
      </c>
      <c r="L250" s="107"/>
      <c r="M250" s="107"/>
      <c r="N250" s="107"/>
      <c r="O250" s="108">
        <v>-15.59</v>
      </c>
      <c r="P250" s="106">
        <v>2685.06</v>
      </c>
    </row>
    <row r="251" spans="1:16" customFormat="1" ht="15" hidden="1" thickBot="1" x14ac:dyDescent="0.35">
      <c r="A251" s="103" t="s">
        <v>173</v>
      </c>
      <c r="B251" s="103" t="s">
        <v>278</v>
      </c>
      <c r="C251" s="103" t="s">
        <v>279</v>
      </c>
      <c r="D251" s="107"/>
      <c r="E251" s="107"/>
      <c r="F251" s="108">
        <v>458.7</v>
      </c>
      <c r="G251" s="107"/>
      <c r="H251" s="107"/>
      <c r="I251" s="108">
        <v>3180</v>
      </c>
      <c r="J251" s="107"/>
      <c r="K251" s="108">
        <v>500</v>
      </c>
      <c r="L251" s="107"/>
      <c r="M251" s="107"/>
      <c r="N251" s="107"/>
      <c r="O251" s="107"/>
      <c r="P251" s="106">
        <v>4138.7</v>
      </c>
    </row>
    <row r="252" spans="1:16" customFormat="1" ht="15" hidden="1" thickBot="1" x14ac:dyDescent="0.35">
      <c r="A252" s="103" t="s">
        <v>174</v>
      </c>
      <c r="B252" s="103" t="s">
        <v>278</v>
      </c>
      <c r="C252" s="103" t="s">
        <v>279</v>
      </c>
      <c r="D252" s="104">
        <v>966.47</v>
      </c>
      <c r="E252" s="104">
        <v>540.77</v>
      </c>
      <c r="F252" s="104">
        <v>1262.1400000000001</v>
      </c>
      <c r="G252" s="104">
        <v>878.47</v>
      </c>
      <c r="H252" s="104">
        <v>1378.96</v>
      </c>
      <c r="I252" s="104">
        <v>750</v>
      </c>
      <c r="J252" s="104">
        <v>750</v>
      </c>
      <c r="K252" s="104">
        <v>750</v>
      </c>
      <c r="L252" s="104">
        <v>750</v>
      </c>
      <c r="M252" s="104">
        <v>750</v>
      </c>
      <c r="N252" s="104">
        <v>750</v>
      </c>
      <c r="O252" s="104">
        <v>750</v>
      </c>
      <c r="P252" s="106">
        <v>10276.81</v>
      </c>
    </row>
    <row r="253" spans="1:16" customFormat="1" ht="15" hidden="1" thickBot="1" x14ac:dyDescent="0.35">
      <c r="A253" s="103" t="s">
        <v>151</v>
      </c>
      <c r="B253" s="103" t="s">
        <v>280</v>
      </c>
      <c r="C253" s="103" t="s">
        <v>281</v>
      </c>
      <c r="D253" s="105"/>
      <c r="E253" s="104">
        <v>260</v>
      </c>
      <c r="F253" s="104">
        <v>122.48</v>
      </c>
      <c r="G253" s="105"/>
      <c r="H253" s="105"/>
      <c r="I253" s="105"/>
      <c r="J253" s="104">
        <v>647.96</v>
      </c>
      <c r="K253" s="104">
        <v>412.92</v>
      </c>
      <c r="L253" s="105"/>
      <c r="M253" s="105"/>
      <c r="N253" s="105"/>
      <c r="O253" s="104">
        <v>2242.48</v>
      </c>
      <c r="P253" s="106">
        <v>3685.84</v>
      </c>
    </row>
    <row r="254" spans="1:16" customFormat="1" ht="15" hidden="1" thickBot="1" x14ac:dyDescent="0.35">
      <c r="A254" s="103" t="s">
        <v>157</v>
      </c>
      <c r="B254" s="103" t="s">
        <v>280</v>
      </c>
      <c r="C254" s="103" t="s">
        <v>281</v>
      </c>
      <c r="D254" s="104">
        <v>56210.12</v>
      </c>
      <c r="E254" s="104">
        <v>30578.53</v>
      </c>
      <c r="F254" s="104">
        <v>44879.87</v>
      </c>
      <c r="G254" s="104">
        <v>54683.57</v>
      </c>
      <c r="H254" s="104">
        <v>66230.13</v>
      </c>
      <c r="I254" s="104">
        <v>27203.19</v>
      </c>
      <c r="J254" s="104">
        <v>52664.61</v>
      </c>
      <c r="K254" s="104">
        <v>38717.550000000003</v>
      </c>
      <c r="L254" s="104">
        <v>41876.879999999997</v>
      </c>
      <c r="M254" s="104">
        <v>37352.550000000003</v>
      </c>
      <c r="N254" s="104">
        <v>43260.36</v>
      </c>
      <c r="O254" s="104">
        <v>34195.24</v>
      </c>
      <c r="P254" s="106">
        <v>527852.6</v>
      </c>
    </row>
    <row r="255" spans="1:16" customFormat="1" ht="15" hidden="1" thickBot="1" x14ac:dyDescent="0.35">
      <c r="A255" s="103" t="s">
        <v>161</v>
      </c>
      <c r="B255" s="103" t="s">
        <v>280</v>
      </c>
      <c r="C255" s="103" t="s">
        <v>281</v>
      </c>
      <c r="D255" s="105"/>
      <c r="E255" s="105"/>
      <c r="F255" s="105"/>
      <c r="G255" s="105"/>
      <c r="H255" s="104">
        <v>540</v>
      </c>
      <c r="I255" s="105"/>
      <c r="J255" s="105"/>
      <c r="K255" s="105"/>
      <c r="L255" s="105"/>
      <c r="M255" s="105"/>
      <c r="N255" s="105"/>
      <c r="O255" s="105"/>
      <c r="P255" s="106">
        <v>540</v>
      </c>
    </row>
    <row r="256" spans="1:16" customFormat="1" ht="15" hidden="1" thickBot="1" x14ac:dyDescent="0.35">
      <c r="A256" s="103" t="s">
        <v>162</v>
      </c>
      <c r="B256" s="103" t="s">
        <v>280</v>
      </c>
      <c r="C256" s="103" t="s">
        <v>281</v>
      </c>
      <c r="D256" s="104">
        <v>600.97</v>
      </c>
      <c r="E256" s="105"/>
      <c r="F256" s="105"/>
      <c r="G256" s="105"/>
      <c r="H256" s="105"/>
      <c r="I256" s="105"/>
      <c r="J256" s="105"/>
      <c r="K256" s="105"/>
      <c r="L256" s="105"/>
      <c r="M256" s="105"/>
      <c r="N256" s="105"/>
      <c r="O256" s="105"/>
      <c r="P256" s="106">
        <v>600.97</v>
      </c>
    </row>
    <row r="257" spans="1:16" customFormat="1" ht="15" hidden="1" thickBot="1" x14ac:dyDescent="0.35">
      <c r="A257" s="103" t="s">
        <v>163</v>
      </c>
      <c r="B257" s="103" t="s">
        <v>280</v>
      </c>
      <c r="C257" s="103" t="s">
        <v>281</v>
      </c>
      <c r="D257" s="108">
        <v>4676.08</v>
      </c>
      <c r="E257" s="108">
        <v>5069.1400000000003</v>
      </c>
      <c r="F257" s="108">
        <v>3593.5</v>
      </c>
      <c r="G257" s="108">
        <v>5592.08</v>
      </c>
      <c r="H257" s="108">
        <v>5189.5</v>
      </c>
      <c r="I257" s="108">
        <v>3396.81</v>
      </c>
      <c r="J257" s="108">
        <v>6892</v>
      </c>
      <c r="K257" s="108">
        <v>1926.13</v>
      </c>
      <c r="L257" s="108">
        <v>5969.14</v>
      </c>
      <c r="M257" s="108">
        <v>2521.48</v>
      </c>
      <c r="N257" s="108">
        <v>4305.8900000000003</v>
      </c>
      <c r="O257" s="108">
        <v>4326.96</v>
      </c>
      <c r="P257" s="106">
        <v>53458.71</v>
      </c>
    </row>
    <row r="258" spans="1:16" customFormat="1" ht="15" hidden="1" thickBot="1" x14ac:dyDescent="0.35">
      <c r="A258" s="103" t="s">
        <v>164</v>
      </c>
      <c r="B258" s="103" t="s">
        <v>280</v>
      </c>
      <c r="C258" s="103" t="s">
        <v>281</v>
      </c>
      <c r="D258" s="104">
        <v>4667.18</v>
      </c>
      <c r="E258" s="104">
        <v>6859.34</v>
      </c>
      <c r="F258" s="104">
        <v>4317.95</v>
      </c>
      <c r="G258" s="104">
        <v>2868.46</v>
      </c>
      <c r="H258" s="104">
        <v>4919.79</v>
      </c>
      <c r="I258" s="104">
        <v>1721.84</v>
      </c>
      <c r="J258" s="104">
        <v>2704.5</v>
      </c>
      <c r="K258" s="104">
        <v>2619.0500000000002</v>
      </c>
      <c r="L258" s="104">
        <v>1320.28</v>
      </c>
      <c r="M258" s="104">
        <v>3242.26</v>
      </c>
      <c r="N258" s="104">
        <v>6220.88</v>
      </c>
      <c r="O258" s="104">
        <v>2827.64</v>
      </c>
      <c r="P258" s="106">
        <v>44289.17</v>
      </c>
    </row>
    <row r="259" spans="1:16" customFormat="1" ht="15" hidden="1" thickBot="1" x14ac:dyDescent="0.35">
      <c r="A259" s="103" t="s">
        <v>165</v>
      </c>
      <c r="B259" s="103" t="s">
        <v>280</v>
      </c>
      <c r="C259" s="103" t="s">
        <v>281</v>
      </c>
      <c r="D259" s="108">
        <v>6011.47</v>
      </c>
      <c r="E259" s="108">
        <v>12830.19</v>
      </c>
      <c r="F259" s="108">
        <v>9654.06</v>
      </c>
      <c r="G259" s="108">
        <v>13181.55</v>
      </c>
      <c r="H259" s="108">
        <v>9354.5</v>
      </c>
      <c r="I259" s="108">
        <v>8490.7199999999993</v>
      </c>
      <c r="J259" s="108">
        <v>9703.0499999999993</v>
      </c>
      <c r="K259" s="108">
        <v>13852.64</v>
      </c>
      <c r="L259" s="108">
        <v>25895.03</v>
      </c>
      <c r="M259" s="108">
        <v>-5545.5</v>
      </c>
      <c r="N259" s="108">
        <v>11499.53</v>
      </c>
      <c r="O259" s="108">
        <v>12866.61</v>
      </c>
      <c r="P259" s="106">
        <v>127793.85</v>
      </c>
    </row>
    <row r="260" spans="1:16" customFormat="1" ht="15" hidden="1" thickBot="1" x14ac:dyDescent="0.35">
      <c r="A260" s="103" t="s">
        <v>242</v>
      </c>
      <c r="B260" s="103" t="s">
        <v>280</v>
      </c>
      <c r="C260" s="103" t="s">
        <v>281</v>
      </c>
      <c r="D260" s="108">
        <v>10523.14</v>
      </c>
      <c r="E260" s="108">
        <v>14330.27</v>
      </c>
      <c r="F260" s="108">
        <v>11717.03</v>
      </c>
      <c r="G260" s="108">
        <v>5351.52</v>
      </c>
      <c r="H260" s="108">
        <v>15928.99</v>
      </c>
      <c r="I260" s="108">
        <v>22529.33</v>
      </c>
      <c r="J260" s="108">
        <v>37109.22</v>
      </c>
      <c r="K260" s="108">
        <v>10837.75</v>
      </c>
      <c r="L260" s="108">
        <v>5540.86</v>
      </c>
      <c r="M260" s="108">
        <v>2588.25</v>
      </c>
      <c r="N260" s="108">
        <v>6154.53</v>
      </c>
      <c r="O260" s="108">
        <v>-10698.44</v>
      </c>
      <c r="P260" s="106">
        <v>131912.45000000001</v>
      </c>
    </row>
    <row r="261" spans="1:16" customFormat="1" ht="15" hidden="1" thickBot="1" x14ac:dyDescent="0.35">
      <c r="A261" s="103" t="s">
        <v>166</v>
      </c>
      <c r="B261" s="103" t="s">
        <v>280</v>
      </c>
      <c r="C261" s="103" t="s">
        <v>281</v>
      </c>
      <c r="D261" s="104">
        <v>1040</v>
      </c>
      <c r="E261" s="105"/>
      <c r="F261" s="105"/>
      <c r="G261" s="105"/>
      <c r="H261" s="105"/>
      <c r="I261" s="105"/>
      <c r="J261" s="105"/>
      <c r="K261" s="104">
        <v>180</v>
      </c>
      <c r="L261" s="104">
        <v>1320</v>
      </c>
      <c r="M261" s="105"/>
      <c r="N261" s="104">
        <v>126</v>
      </c>
      <c r="O261" s="105"/>
      <c r="P261" s="106">
        <v>2666</v>
      </c>
    </row>
    <row r="262" spans="1:16" customFormat="1" ht="15" hidden="1" thickBot="1" x14ac:dyDescent="0.35">
      <c r="A262" s="103" t="s">
        <v>168</v>
      </c>
      <c r="B262" s="103" t="s">
        <v>280</v>
      </c>
      <c r="C262" s="103" t="s">
        <v>281</v>
      </c>
      <c r="D262" s="104">
        <v>4523.95</v>
      </c>
      <c r="E262" s="104">
        <v>-206.89</v>
      </c>
      <c r="F262" s="104">
        <v>4659.07</v>
      </c>
      <c r="G262" s="104">
        <v>160.58000000000001</v>
      </c>
      <c r="H262" s="104">
        <v>3672.36</v>
      </c>
      <c r="I262" s="104">
        <v>257.62</v>
      </c>
      <c r="J262" s="104">
        <v>1162.6500000000001</v>
      </c>
      <c r="K262" s="104">
        <v>3209.16</v>
      </c>
      <c r="L262" s="104">
        <v>3163.87</v>
      </c>
      <c r="M262" s="104">
        <v>825.88</v>
      </c>
      <c r="N262" s="104">
        <v>1843.58</v>
      </c>
      <c r="O262" s="104">
        <v>-1687.29</v>
      </c>
      <c r="P262" s="106">
        <v>21584.54</v>
      </c>
    </row>
    <row r="263" spans="1:16" customFormat="1" ht="15" hidden="1" thickBot="1" x14ac:dyDescent="0.35">
      <c r="A263" s="103" t="s">
        <v>169</v>
      </c>
      <c r="B263" s="103" t="s">
        <v>280</v>
      </c>
      <c r="C263" s="103" t="s">
        <v>281</v>
      </c>
      <c r="D263" s="104">
        <v>122.42</v>
      </c>
      <c r="E263" s="104">
        <v>102.87</v>
      </c>
      <c r="F263" s="105"/>
      <c r="G263" s="105"/>
      <c r="H263" s="104">
        <v>161.74</v>
      </c>
      <c r="I263" s="104">
        <v>240</v>
      </c>
      <c r="J263" s="104">
        <v>480</v>
      </c>
      <c r="K263" s="104">
        <v>326.45999999999998</v>
      </c>
      <c r="L263" s="105"/>
      <c r="M263" s="105"/>
      <c r="N263" s="104">
        <v>295.45999999999998</v>
      </c>
      <c r="O263" s="105"/>
      <c r="P263" s="106">
        <v>1728.95</v>
      </c>
    </row>
    <row r="264" spans="1:16" customFormat="1" ht="15" hidden="1" thickBot="1" x14ac:dyDescent="0.35">
      <c r="A264" s="103" t="s">
        <v>170</v>
      </c>
      <c r="B264" s="103" t="s">
        <v>280</v>
      </c>
      <c r="C264" s="103" t="s">
        <v>281</v>
      </c>
      <c r="D264" s="107"/>
      <c r="E264" s="107"/>
      <c r="F264" s="107"/>
      <c r="G264" s="107"/>
      <c r="H264" s="108">
        <v>577.79999999999995</v>
      </c>
      <c r="I264" s="107"/>
      <c r="J264" s="107"/>
      <c r="K264" s="108">
        <v>344.1</v>
      </c>
      <c r="L264" s="108">
        <v>924.48</v>
      </c>
      <c r="M264" s="107"/>
      <c r="N264" s="107"/>
      <c r="O264" s="107"/>
      <c r="P264" s="106">
        <v>1846.38</v>
      </c>
    </row>
    <row r="265" spans="1:16" customFormat="1" ht="15" hidden="1" thickBot="1" x14ac:dyDescent="0.35">
      <c r="A265" s="103" t="s">
        <v>171</v>
      </c>
      <c r="B265" s="103" t="s">
        <v>280</v>
      </c>
      <c r="C265" s="103" t="s">
        <v>281</v>
      </c>
      <c r="D265" s="104">
        <v>612.1</v>
      </c>
      <c r="E265" s="105"/>
      <c r="F265" s="105"/>
      <c r="G265" s="105"/>
      <c r="H265" s="105"/>
      <c r="I265" s="105"/>
      <c r="J265" s="105"/>
      <c r="K265" s="105"/>
      <c r="L265" s="105"/>
      <c r="M265" s="105"/>
      <c r="N265" s="105"/>
      <c r="O265" s="105"/>
      <c r="P265" s="106">
        <v>612.1</v>
      </c>
    </row>
    <row r="266" spans="1:16" customFormat="1" ht="15" hidden="1" thickBot="1" x14ac:dyDescent="0.35">
      <c r="A266" s="103" t="s">
        <v>188</v>
      </c>
      <c r="B266" s="103" t="s">
        <v>282</v>
      </c>
      <c r="C266" s="103" t="s">
        <v>283</v>
      </c>
      <c r="D266" s="107"/>
      <c r="E266" s="107"/>
      <c r="F266" s="108">
        <v>3</v>
      </c>
      <c r="G266" s="108">
        <v>26</v>
      </c>
      <c r="H266" s="107"/>
      <c r="I266" s="107"/>
      <c r="J266" s="107"/>
      <c r="K266" s="107"/>
      <c r="L266" s="108">
        <v>724.38</v>
      </c>
      <c r="M266" s="107"/>
      <c r="N266" s="107"/>
      <c r="O266" s="107"/>
      <c r="P266" s="106">
        <v>753.38</v>
      </c>
    </row>
    <row r="267" spans="1:16" customFormat="1" ht="15" hidden="1" thickBot="1" x14ac:dyDescent="0.35">
      <c r="A267" s="103" t="s">
        <v>173</v>
      </c>
      <c r="B267" s="103" t="s">
        <v>282</v>
      </c>
      <c r="C267" s="103" t="s">
        <v>283</v>
      </c>
      <c r="D267" s="104">
        <v>48694.080000000002</v>
      </c>
      <c r="E267" s="104">
        <v>52631.31</v>
      </c>
      <c r="F267" s="104">
        <v>52488.74</v>
      </c>
      <c r="G267" s="104">
        <v>51774.51</v>
      </c>
      <c r="H267" s="104">
        <v>49700.9</v>
      </c>
      <c r="I267" s="104">
        <v>52662.86</v>
      </c>
      <c r="J267" s="104">
        <v>54083.32</v>
      </c>
      <c r="K267" s="104">
        <v>47632.04</v>
      </c>
      <c r="L267" s="104">
        <v>58515.37</v>
      </c>
      <c r="M267" s="104">
        <v>49063.839999999997</v>
      </c>
      <c r="N267" s="104">
        <v>50260.34</v>
      </c>
      <c r="O267" s="104">
        <v>55834.9</v>
      </c>
      <c r="P267" s="106">
        <v>623342.21</v>
      </c>
    </row>
    <row r="268" spans="1:16" customFormat="1" ht="15" hidden="1" thickBot="1" x14ac:dyDescent="0.35">
      <c r="A268" s="103" t="s">
        <v>157</v>
      </c>
      <c r="B268" s="103" t="s">
        <v>284</v>
      </c>
      <c r="C268" s="103" t="s">
        <v>285</v>
      </c>
      <c r="D268" s="108">
        <v>310738.84000000003</v>
      </c>
      <c r="E268" s="108">
        <v>345523.06</v>
      </c>
      <c r="F268" s="108">
        <v>437068.05</v>
      </c>
      <c r="G268" s="108">
        <v>319140.45</v>
      </c>
      <c r="H268" s="108">
        <v>498986.01</v>
      </c>
      <c r="I268" s="108">
        <v>550898.4</v>
      </c>
      <c r="J268" s="108">
        <v>415254.53</v>
      </c>
      <c r="K268" s="108">
        <v>467354.48</v>
      </c>
      <c r="L268" s="108">
        <v>390065.79</v>
      </c>
      <c r="M268" s="108">
        <v>399976.11</v>
      </c>
      <c r="N268" s="108">
        <v>363060.87</v>
      </c>
      <c r="O268" s="108">
        <v>411701.36</v>
      </c>
      <c r="P268" s="106">
        <v>4909767.95</v>
      </c>
    </row>
    <row r="269" spans="1:16" customFormat="1" ht="15" hidden="1" thickBot="1" x14ac:dyDescent="0.35">
      <c r="A269" s="103" t="s">
        <v>163</v>
      </c>
      <c r="B269" s="103" t="s">
        <v>284</v>
      </c>
      <c r="C269" s="103" t="s">
        <v>285</v>
      </c>
      <c r="D269" s="104">
        <v>-836.79</v>
      </c>
      <c r="E269" s="104">
        <v>5932.63</v>
      </c>
      <c r="F269" s="104">
        <v>16017.72</v>
      </c>
      <c r="G269" s="104">
        <v>1575.94</v>
      </c>
      <c r="H269" s="104">
        <v>-11231.25</v>
      </c>
      <c r="I269" s="104">
        <v>13995.68</v>
      </c>
      <c r="J269" s="104">
        <v>-5592.85</v>
      </c>
      <c r="K269" s="104">
        <v>-8722.73</v>
      </c>
      <c r="L269" s="104">
        <v>7068.86</v>
      </c>
      <c r="M269" s="104">
        <v>3451.26</v>
      </c>
      <c r="N269" s="104">
        <v>7360.49</v>
      </c>
      <c r="O269" s="104">
        <v>28082.38</v>
      </c>
      <c r="P269" s="106">
        <v>57101.34</v>
      </c>
    </row>
    <row r="270" spans="1:16" customFormat="1" ht="15" hidden="1" thickBot="1" x14ac:dyDescent="0.35">
      <c r="A270" s="103" t="s">
        <v>165</v>
      </c>
      <c r="B270" s="103" t="s">
        <v>284</v>
      </c>
      <c r="C270" s="103" t="s">
        <v>285</v>
      </c>
      <c r="D270" s="104">
        <v>40.75</v>
      </c>
      <c r="E270" s="105"/>
      <c r="F270" s="105"/>
      <c r="G270" s="111">
        <v>0</v>
      </c>
      <c r="H270" s="105"/>
      <c r="I270" s="105"/>
      <c r="J270" s="105"/>
      <c r="K270" s="105"/>
      <c r="L270" s="105"/>
      <c r="M270" s="105"/>
      <c r="N270" s="104">
        <v>176.35</v>
      </c>
      <c r="O270" s="104">
        <v>21.45</v>
      </c>
      <c r="P270" s="106">
        <v>238.55</v>
      </c>
    </row>
    <row r="271" spans="1:16" customFormat="1" ht="15" hidden="1" thickBot="1" x14ac:dyDescent="0.35">
      <c r="A271" s="103" t="s">
        <v>242</v>
      </c>
      <c r="B271" s="103" t="s">
        <v>284</v>
      </c>
      <c r="C271" s="103" t="s">
        <v>285</v>
      </c>
      <c r="D271" s="105"/>
      <c r="E271" s="105"/>
      <c r="F271" s="105"/>
      <c r="G271" s="105"/>
      <c r="H271" s="105"/>
      <c r="I271" s="105"/>
      <c r="J271" s="105"/>
      <c r="K271" s="105"/>
      <c r="L271" s="105"/>
      <c r="M271" s="105"/>
      <c r="N271" s="105"/>
      <c r="O271" s="104">
        <v>80.78</v>
      </c>
      <c r="P271" s="106">
        <v>80.78</v>
      </c>
    </row>
    <row r="272" spans="1:16" customFormat="1" ht="15" hidden="1" thickBot="1" x14ac:dyDescent="0.35">
      <c r="A272" s="103" t="s">
        <v>173</v>
      </c>
      <c r="B272" s="103" t="s">
        <v>284</v>
      </c>
      <c r="C272" s="103" t="s">
        <v>285</v>
      </c>
      <c r="D272" s="107"/>
      <c r="E272" s="107"/>
      <c r="F272" s="107"/>
      <c r="G272" s="107"/>
      <c r="H272" s="107"/>
      <c r="I272" s="107"/>
      <c r="J272" s="108">
        <v>2500</v>
      </c>
      <c r="K272" s="107"/>
      <c r="L272" s="107"/>
      <c r="M272" s="107"/>
      <c r="N272" s="107"/>
      <c r="O272" s="107"/>
      <c r="P272" s="106">
        <v>2500</v>
      </c>
    </row>
    <row r="273" spans="1:16" customFormat="1" ht="15" hidden="1" thickBot="1" x14ac:dyDescent="0.35">
      <c r="A273" s="103" t="s">
        <v>163</v>
      </c>
      <c r="B273" s="103" t="s">
        <v>286</v>
      </c>
      <c r="C273" s="103" t="s">
        <v>287</v>
      </c>
      <c r="D273" s="108">
        <v>100.5</v>
      </c>
      <c r="E273" s="108">
        <v>1977.37</v>
      </c>
      <c r="F273" s="108">
        <v>1051.43</v>
      </c>
      <c r="G273" s="108">
        <v>1503.69</v>
      </c>
      <c r="H273" s="107"/>
      <c r="I273" s="108">
        <v>1194.6099999999999</v>
      </c>
      <c r="J273" s="107"/>
      <c r="K273" s="107"/>
      <c r="L273" s="107"/>
      <c r="M273" s="108">
        <v>6279.78</v>
      </c>
      <c r="N273" s="107"/>
      <c r="O273" s="108">
        <v>4009.47</v>
      </c>
      <c r="P273" s="106">
        <v>16116.85</v>
      </c>
    </row>
    <row r="274" spans="1:16" customFormat="1" ht="15" hidden="1" thickBot="1" x14ac:dyDescent="0.35">
      <c r="A274" s="103" t="s">
        <v>165</v>
      </c>
      <c r="B274" s="103" t="s">
        <v>286</v>
      </c>
      <c r="C274" s="103" t="s">
        <v>287</v>
      </c>
      <c r="D274" s="108">
        <v>101535.67</v>
      </c>
      <c r="E274" s="108">
        <v>114446.58</v>
      </c>
      <c r="F274" s="108">
        <v>101941.58</v>
      </c>
      <c r="G274" s="108">
        <v>119439.81</v>
      </c>
      <c r="H274" s="108">
        <v>106106.54</v>
      </c>
      <c r="I274" s="108">
        <v>130302.18</v>
      </c>
      <c r="J274" s="108">
        <v>116905.54</v>
      </c>
      <c r="K274" s="108">
        <v>112051.26</v>
      </c>
      <c r="L274" s="108">
        <v>130760.71</v>
      </c>
      <c r="M274" s="108">
        <v>15501.12</v>
      </c>
      <c r="N274" s="108">
        <v>95944.01</v>
      </c>
      <c r="O274" s="108">
        <v>128776</v>
      </c>
      <c r="P274" s="106">
        <v>1273711</v>
      </c>
    </row>
    <row r="275" spans="1:16" customFormat="1" ht="15" hidden="1" thickBot="1" x14ac:dyDescent="0.35">
      <c r="A275" s="103" t="s">
        <v>173</v>
      </c>
      <c r="B275" s="103" t="s">
        <v>286</v>
      </c>
      <c r="C275" s="103" t="s">
        <v>287</v>
      </c>
      <c r="D275" s="105"/>
      <c r="E275" s="105"/>
      <c r="F275" s="104">
        <v>10.3</v>
      </c>
      <c r="G275" s="105"/>
      <c r="H275" s="105"/>
      <c r="I275" s="104">
        <v>27.97</v>
      </c>
      <c r="J275" s="105"/>
      <c r="K275" s="105"/>
      <c r="L275" s="104">
        <v>4.8899999999999997</v>
      </c>
      <c r="M275" s="111">
        <v>0</v>
      </c>
      <c r="N275" s="105"/>
      <c r="O275" s="105"/>
      <c r="P275" s="106">
        <v>43.16</v>
      </c>
    </row>
    <row r="276" spans="1:16" customFormat="1" ht="15" hidden="1" thickBot="1" x14ac:dyDescent="0.35">
      <c r="A276" s="103" t="s">
        <v>151</v>
      </c>
      <c r="B276" s="103" t="s">
        <v>288</v>
      </c>
      <c r="C276" s="103" t="s">
        <v>289</v>
      </c>
      <c r="D276" s="108">
        <v>3798.53</v>
      </c>
      <c r="E276" s="108">
        <v>4837.1899999999996</v>
      </c>
      <c r="F276" s="108">
        <v>1115.01</v>
      </c>
      <c r="G276" s="107"/>
      <c r="H276" s="107"/>
      <c r="I276" s="107"/>
      <c r="J276" s="107"/>
      <c r="K276" s="107"/>
      <c r="L276" s="107"/>
      <c r="M276" s="107"/>
      <c r="N276" s="108">
        <v>660.87</v>
      </c>
      <c r="O276" s="107"/>
      <c r="P276" s="106">
        <v>10411.6</v>
      </c>
    </row>
    <row r="277" spans="1:16" customFormat="1" ht="15" hidden="1" thickBot="1" x14ac:dyDescent="0.35">
      <c r="A277" s="103" t="s">
        <v>157</v>
      </c>
      <c r="B277" s="103" t="s">
        <v>288</v>
      </c>
      <c r="C277" s="103" t="s">
        <v>289</v>
      </c>
      <c r="D277" s="104">
        <v>232578.45</v>
      </c>
      <c r="E277" s="104">
        <v>200623.88</v>
      </c>
      <c r="F277" s="104">
        <v>253371.16</v>
      </c>
      <c r="G277" s="104">
        <v>206515.96</v>
      </c>
      <c r="H277" s="104">
        <v>215482.5</v>
      </c>
      <c r="I277" s="104">
        <v>184101.37</v>
      </c>
      <c r="J277" s="104">
        <v>211881.34</v>
      </c>
      <c r="K277" s="104">
        <v>214566.99</v>
      </c>
      <c r="L277" s="104">
        <v>181783.7</v>
      </c>
      <c r="M277" s="104">
        <v>210987.01</v>
      </c>
      <c r="N277" s="104">
        <v>187318.38</v>
      </c>
      <c r="O277" s="104">
        <v>162902.34</v>
      </c>
      <c r="P277" s="106">
        <v>2462113.08</v>
      </c>
    </row>
    <row r="278" spans="1:16" customFormat="1" ht="15" hidden="1" thickBot="1" x14ac:dyDescent="0.35">
      <c r="A278" s="103" t="s">
        <v>161</v>
      </c>
      <c r="B278" s="103" t="s">
        <v>288</v>
      </c>
      <c r="C278" s="103" t="s">
        <v>289</v>
      </c>
      <c r="D278" s="107"/>
      <c r="E278" s="107"/>
      <c r="F278" s="107"/>
      <c r="G278" s="107"/>
      <c r="H278" s="107"/>
      <c r="I278" s="107"/>
      <c r="J278" s="107"/>
      <c r="K278" s="107"/>
      <c r="L278" s="108">
        <v>186.94</v>
      </c>
      <c r="M278" s="107"/>
      <c r="N278" s="107"/>
      <c r="O278" s="107"/>
      <c r="P278" s="106">
        <v>186.94</v>
      </c>
    </row>
    <row r="279" spans="1:16" customFormat="1" ht="15" hidden="1" thickBot="1" x14ac:dyDescent="0.35">
      <c r="A279" s="103" t="s">
        <v>162</v>
      </c>
      <c r="B279" s="103" t="s">
        <v>288</v>
      </c>
      <c r="C279" s="103" t="s">
        <v>289</v>
      </c>
      <c r="D279" s="107"/>
      <c r="E279" s="107"/>
      <c r="F279" s="107"/>
      <c r="G279" s="107"/>
      <c r="H279" s="107"/>
      <c r="I279" s="107"/>
      <c r="J279" s="108">
        <v>62.16</v>
      </c>
      <c r="K279" s="107"/>
      <c r="L279" s="107"/>
      <c r="M279" s="108">
        <v>69.84</v>
      </c>
      <c r="N279" s="107"/>
      <c r="O279" s="107"/>
      <c r="P279" s="106">
        <v>132</v>
      </c>
    </row>
    <row r="280" spans="1:16" customFormat="1" ht="15" hidden="1" thickBot="1" x14ac:dyDescent="0.35">
      <c r="A280" s="103" t="s">
        <v>163</v>
      </c>
      <c r="B280" s="103" t="s">
        <v>288</v>
      </c>
      <c r="C280" s="103" t="s">
        <v>289</v>
      </c>
      <c r="D280" s="104">
        <v>8276.2000000000007</v>
      </c>
      <c r="E280" s="104">
        <v>6075.98</v>
      </c>
      <c r="F280" s="104">
        <v>11834.27</v>
      </c>
      <c r="G280" s="104">
        <v>13211.8</v>
      </c>
      <c r="H280" s="104">
        <v>11446.53</v>
      </c>
      <c r="I280" s="104">
        <v>11877.91</v>
      </c>
      <c r="J280" s="104">
        <v>9570.61</v>
      </c>
      <c r="K280" s="104">
        <v>13594.6</v>
      </c>
      <c r="L280" s="104">
        <v>10497.9</v>
      </c>
      <c r="M280" s="104">
        <v>18284.28</v>
      </c>
      <c r="N280" s="104">
        <v>12852.42</v>
      </c>
      <c r="O280" s="104">
        <v>12263.75</v>
      </c>
      <c r="P280" s="106">
        <v>139786.25</v>
      </c>
    </row>
    <row r="281" spans="1:16" customFormat="1" ht="15" hidden="1" thickBot="1" x14ac:dyDescent="0.35">
      <c r="A281" s="103" t="s">
        <v>164</v>
      </c>
      <c r="B281" s="103" t="s">
        <v>288</v>
      </c>
      <c r="C281" s="103" t="s">
        <v>289</v>
      </c>
      <c r="D281" s="108">
        <v>902.61</v>
      </c>
      <c r="E281" s="108">
        <v>12636.32</v>
      </c>
      <c r="F281" s="108">
        <v>2703.8</v>
      </c>
      <c r="G281" s="108">
        <v>1489.74</v>
      </c>
      <c r="H281" s="108">
        <v>2140.6999999999998</v>
      </c>
      <c r="I281" s="108">
        <v>3915.92</v>
      </c>
      <c r="J281" s="108">
        <v>1638.77</v>
      </c>
      <c r="K281" s="108">
        <v>373.39</v>
      </c>
      <c r="L281" s="108">
        <v>417.71</v>
      </c>
      <c r="M281" s="108">
        <v>1316.45</v>
      </c>
      <c r="N281" s="108">
        <v>3453.93</v>
      </c>
      <c r="O281" s="108">
        <v>681.06</v>
      </c>
      <c r="P281" s="106">
        <v>31670.400000000001</v>
      </c>
    </row>
    <row r="282" spans="1:16" customFormat="1" ht="15" hidden="1" thickBot="1" x14ac:dyDescent="0.35">
      <c r="A282" s="103" t="s">
        <v>165</v>
      </c>
      <c r="B282" s="103" t="s">
        <v>288</v>
      </c>
      <c r="C282" s="103" t="s">
        <v>289</v>
      </c>
      <c r="D282" s="104">
        <v>2568.9499999999998</v>
      </c>
      <c r="E282" s="104">
        <v>3013.68</v>
      </c>
      <c r="F282" s="104">
        <v>2615.08</v>
      </c>
      <c r="G282" s="104">
        <v>2246.5100000000002</v>
      </c>
      <c r="H282" s="104">
        <v>2186.94</v>
      </c>
      <c r="I282" s="104">
        <v>2364.4499999999998</v>
      </c>
      <c r="J282" s="104">
        <v>2229.3000000000002</v>
      </c>
      <c r="K282" s="104">
        <v>2621.23</v>
      </c>
      <c r="L282" s="104">
        <v>2607.71</v>
      </c>
      <c r="M282" s="104">
        <v>2246.5100000000002</v>
      </c>
      <c r="N282" s="104">
        <v>2025.38</v>
      </c>
      <c r="O282" s="104">
        <v>2467.65</v>
      </c>
      <c r="P282" s="106">
        <v>29193.39</v>
      </c>
    </row>
    <row r="283" spans="1:16" customFormat="1" ht="15" hidden="1" thickBot="1" x14ac:dyDescent="0.35">
      <c r="A283" s="103" t="s">
        <v>242</v>
      </c>
      <c r="B283" s="103" t="s">
        <v>288</v>
      </c>
      <c r="C283" s="103" t="s">
        <v>289</v>
      </c>
      <c r="D283" s="108">
        <v>165.64</v>
      </c>
      <c r="E283" s="108">
        <v>236.45</v>
      </c>
      <c r="F283" s="108">
        <v>566.39</v>
      </c>
      <c r="G283" s="108">
        <v>138.66</v>
      </c>
      <c r="H283" s="108">
        <v>312.79000000000002</v>
      </c>
      <c r="I283" s="108">
        <v>1053.46</v>
      </c>
      <c r="J283" s="108">
        <v>1013.82</v>
      </c>
      <c r="K283" s="108">
        <v>438.32</v>
      </c>
      <c r="L283" s="108">
        <v>-58.15</v>
      </c>
      <c r="M283" s="108">
        <v>316.2</v>
      </c>
      <c r="N283" s="108">
        <v>680.02</v>
      </c>
      <c r="O283" s="108">
        <v>282.70999999999998</v>
      </c>
      <c r="P283" s="106">
        <v>5146.3100000000004</v>
      </c>
    </row>
    <row r="284" spans="1:16" customFormat="1" ht="15" hidden="1" thickBot="1" x14ac:dyDescent="0.35">
      <c r="A284" s="103" t="s">
        <v>168</v>
      </c>
      <c r="B284" s="103" t="s">
        <v>288</v>
      </c>
      <c r="C284" s="103" t="s">
        <v>289</v>
      </c>
      <c r="D284" s="107"/>
      <c r="E284" s="107"/>
      <c r="F284" s="107"/>
      <c r="G284" s="107"/>
      <c r="H284" s="107"/>
      <c r="I284" s="107"/>
      <c r="J284" s="107"/>
      <c r="K284" s="107"/>
      <c r="L284" s="107"/>
      <c r="M284" s="108">
        <v>113.49</v>
      </c>
      <c r="N284" s="107"/>
      <c r="O284" s="107"/>
      <c r="P284" s="106">
        <v>113.49</v>
      </c>
    </row>
    <row r="285" spans="1:16" customFormat="1" ht="15" hidden="1" thickBot="1" x14ac:dyDescent="0.35">
      <c r="A285" s="103" t="s">
        <v>169</v>
      </c>
      <c r="B285" s="103" t="s">
        <v>288</v>
      </c>
      <c r="C285" s="103" t="s">
        <v>289</v>
      </c>
      <c r="D285" s="107"/>
      <c r="E285" s="107"/>
      <c r="F285" s="107"/>
      <c r="G285" s="107"/>
      <c r="H285" s="107"/>
      <c r="I285" s="108">
        <v>34.26</v>
      </c>
      <c r="J285" s="107"/>
      <c r="K285" s="107"/>
      <c r="L285" s="107"/>
      <c r="M285" s="108">
        <v>68.510000000000005</v>
      </c>
      <c r="N285" s="108">
        <v>17.13</v>
      </c>
      <c r="O285" s="107"/>
      <c r="P285" s="106">
        <v>119.9</v>
      </c>
    </row>
    <row r="286" spans="1:16" customFormat="1" ht="15" hidden="1" thickBot="1" x14ac:dyDescent="0.35">
      <c r="A286" s="103" t="s">
        <v>173</v>
      </c>
      <c r="B286" s="103" t="s">
        <v>288</v>
      </c>
      <c r="C286" s="103" t="s">
        <v>289</v>
      </c>
      <c r="D286" s="107"/>
      <c r="E286" s="107"/>
      <c r="F286" s="107"/>
      <c r="G286" s="107"/>
      <c r="H286" s="107"/>
      <c r="I286" s="108">
        <v>600</v>
      </c>
      <c r="J286" s="108">
        <v>180</v>
      </c>
      <c r="K286" s="107"/>
      <c r="L286" s="107"/>
      <c r="M286" s="107"/>
      <c r="N286" s="107"/>
      <c r="O286" s="107"/>
      <c r="P286" s="106">
        <v>780</v>
      </c>
    </row>
    <row r="287" spans="1:16" customFormat="1" ht="15" hidden="1" thickBot="1" x14ac:dyDescent="0.35">
      <c r="A287" s="103" t="s">
        <v>174</v>
      </c>
      <c r="B287" s="103" t="s">
        <v>288</v>
      </c>
      <c r="C287" s="103" t="s">
        <v>289</v>
      </c>
      <c r="D287" s="107"/>
      <c r="E287" s="107"/>
      <c r="F287" s="107"/>
      <c r="G287" s="107"/>
      <c r="H287" s="107"/>
      <c r="I287" s="107"/>
      <c r="J287" s="107"/>
      <c r="K287" s="107"/>
      <c r="L287" s="107"/>
      <c r="M287" s="107"/>
      <c r="N287" s="108">
        <v>223.36</v>
      </c>
      <c r="O287" s="107"/>
      <c r="P287" s="106">
        <v>223.36</v>
      </c>
    </row>
    <row r="288" spans="1:16" customFormat="1" ht="15" hidden="1" thickBot="1" x14ac:dyDescent="0.35">
      <c r="A288" s="103" t="s">
        <v>173</v>
      </c>
      <c r="B288" s="103" t="s">
        <v>290</v>
      </c>
      <c r="C288" s="103" t="s">
        <v>291</v>
      </c>
      <c r="D288" s="105"/>
      <c r="E288" s="105"/>
      <c r="F288" s="105"/>
      <c r="G288" s="104">
        <v>-88375</v>
      </c>
      <c r="H288" s="104">
        <v>4000</v>
      </c>
      <c r="I288" s="104">
        <v>4000</v>
      </c>
      <c r="J288" s="104">
        <v>4000</v>
      </c>
      <c r="K288" s="104">
        <v>4000</v>
      </c>
      <c r="L288" s="104">
        <v>4000</v>
      </c>
      <c r="M288" s="104">
        <v>4000</v>
      </c>
      <c r="N288" s="104">
        <v>4000</v>
      </c>
      <c r="O288" s="104">
        <v>4000</v>
      </c>
      <c r="P288" s="106">
        <v>-56375</v>
      </c>
    </row>
    <row r="289" spans="1:16" customFormat="1" ht="15" hidden="1" thickBot="1" x14ac:dyDescent="0.35">
      <c r="A289" s="103" t="s">
        <v>174</v>
      </c>
      <c r="B289" s="103" t="s">
        <v>290</v>
      </c>
      <c r="C289" s="103" t="s">
        <v>291</v>
      </c>
      <c r="D289" s="105"/>
      <c r="E289" s="105"/>
      <c r="F289" s="105"/>
      <c r="G289" s="105"/>
      <c r="H289" s="105"/>
      <c r="I289" s="105"/>
      <c r="J289" s="105"/>
      <c r="K289" s="105"/>
      <c r="L289" s="105"/>
      <c r="M289" s="105"/>
      <c r="N289" s="105"/>
      <c r="O289" s="104">
        <v>1313.77</v>
      </c>
      <c r="P289" s="106">
        <v>1313.77</v>
      </c>
    </row>
    <row r="290" spans="1:16" customFormat="1" ht="15" hidden="1" thickBot="1" x14ac:dyDescent="0.35">
      <c r="A290" s="103" t="s">
        <v>175</v>
      </c>
      <c r="B290" s="103" t="s">
        <v>292</v>
      </c>
      <c r="C290" s="103" t="s">
        <v>293</v>
      </c>
      <c r="D290" s="107"/>
      <c r="E290" s="107"/>
      <c r="F290" s="107"/>
      <c r="G290" s="107"/>
      <c r="H290" s="107"/>
      <c r="I290" s="107"/>
      <c r="J290" s="107"/>
      <c r="K290" s="108">
        <v>57.78</v>
      </c>
      <c r="L290" s="107"/>
      <c r="M290" s="107"/>
      <c r="N290" s="107"/>
      <c r="O290" s="107"/>
      <c r="P290" s="106">
        <v>57.78</v>
      </c>
    </row>
    <row r="291" spans="1:16" customFormat="1" ht="15" hidden="1" thickBot="1" x14ac:dyDescent="0.35">
      <c r="A291" s="103" t="s">
        <v>160</v>
      </c>
      <c r="B291" s="103" t="s">
        <v>292</v>
      </c>
      <c r="C291" s="103" t="s">
        <v>293</v>
      </c>
      <c r="D291" s="108">
        <v>1731.95</v>
      </c>
      <c r="E291" s="108">
        <v>2301.8200000000002</v>
      </c>
      <c r="F291" s="108">
        <v>2348.08</v>
      </c>
      <c r="G291" s="108">
        <v>2089.56</v>
      </c>
      <c r="H291" s="108">
        <v>2144.92</v>
      </c>
      <c r="I291" s="108">
        <v>2304.5700000000002</v>
      </c>
      <c r="J291" s="108">
        <v>1486.25</v>
      </c>
      <c r="K291" s="108">
        <v>2564.25</v>
      </c>
      <c r="L291" s="108">
        <v>1837.94</v>
      </c>
      <c r="M291" s="108">
        <v>2262.36</v>
      </c>
      <c r="N291" s="108">
        <v>2122.73</v>
      </c>
      <c r="O291" s="108">
        <v>2018.32</v>
      </c>
      <c r="P291" s="106">
        <v>25212.75</v>
      </c>
    </row>
    <row r="292" spans="1:16" customFormat="1" ht="15" hidden="1" thickBot="1" x14ac:dyDescent="0.35">
      <c r="A292" s="103" t="s">
        <v>167</v>
      </c>
      <c r="B292" s="103" t="s">
        <v>292</v>
      </c>
      <c r="C292" s="103" t="s">
        <v>293</v>
      </c>
      <c r="D292" s="108">
        <v>55.17</v>
      </c>
      <c r="E292" s="108">
        <v>55.08</v>
      </c>
      <c r="F292" s="108">
        <v>54.99</v>
      </c>
      <c r="G292" s="108">
        <v>36.56</v>
      </c>
      <c r="H292" s="108">
        <v>868.88</v>
      </c>
      <c r="I292" s="108">
        <v>1571.56</v>
      </c>
      <c r="J292" s="108">
        <v>1461.55</v>
      </c>
      <c r="K292" s="108">
        <v>73.510000000000005</v>
      </c>
      <c r="L292" s="108">
        <v>36.65</v>
      </c>
      <c r="M292" s="108">
        <v>1891.08</v>
      </c>
      <c r="N292" s="108">
        <v>54.99</v>
      </c>
      <c r="O292" s="108">
        <v>57.68</v>
      </c>
      <c r="P292" s="106">
        <v>6217.7</v>
      </c>
    </row>
    <row r="293" spans="1:16" customFormat="1" ht="15" hidden="1" thickBot="1" x14ac:dyDescent="0.35">
      <c r="A293" s="103" t="s">
        <v>173</v>
      </c>
      <c r="B293" s="103" t="s">
        <v>292</v>
      </c>
      <c r="C293" s="103" t="s">
        <v>293</v>
      </c>
      <c r="D293" s="108">
        <v>1298.27</v>
      </c>
      <c r="E293" s="108">
        <v>1502.68</v>
      </c>
      <c r="F293" s="108">
        <v>6099.5</v>
      </c>
      <c r="G293" s="108">
        <v>292</v>
      </c>
      <c r="H293" s="108">
        <v>1793.62</v>
      </c>
      <c r="I293" s="108">
        <v>3041.49</v>
      </c>
      <c r="J293" s="108">
        <v>-3343.61</v>
      </c>
      <c r="K293" s="108">
        <v>6159.78</v>
      </c>
      <c r="L293" s="108">
        <v>3523.36</v>
      </c>
      <c r="M293" s="108">
        <v>4094.27</v>
      </c>
      <c r="N293" s="108">
        <v>2554.81</v>
      </c>
      <c r="O293" s="108">
        <v>-56.64</v>
      </c>
      <c r="P293" s="106">
        <v>26959.53</v>
      </c>
    </row>
    <row r="294" spans="1:16" customFormat="1" ht="15" hidden="1" thickBot="1" x14ac:dyDescent="0.35">
      <c r="A294" s="103" t="s">
        <v>258</v>
      </c>
      <c r="B294" s="103" t="s">
        <v>292</v>
      </c>
      <c r="C294" s="103" t="s">
        <v>293</v>
      </c>
      <c r="D294" s="104">
        <v>1.86</v>
      </c>
      <c r="E294" s="104">
        <v>200.67</v>
      </c>
      <c r="F294" s="105"/>
      <c r="G294" s="105"/>
      <c r="H294" s="105"/>
      <c r="I294" s="105"/>
      <c r="J294" s="105"/>
      <c r="K294" s="105"/>
      <c r="L294" s="105"/>
      <c r="M294" s="105"/>
      <c r="N294" s="105"/>
      <c r="O294" s="105"/>
      <c r="P294" s="106">
        <v>202.53</v>
      </c>
    </row>
    <row r="295" spans="1:16" customFormat="1" ht="15" hidden="1" thickBot="1" x14ac:dyDescent="0.35">
      <c r="A295" s="103" t="s">
        <v>219</v>
      </c>
      <c r="B295" s="103" t="s">
        <v>292</v>
      </c>
      <c r="C295" s="103" t="s">
        <v>293</v>
      </c>
      <c r="D295" s="108">
        <v>385368.88</v>
      </c>
      <c r="E295" s="108">
        <v>385368.88</v>
      </c>
      <c r="F295" s="108">
        <v>385368.88</v>
      </c>
      <c r="G295" s="108">
        <v>387678.77</v>
      </c>
      <c r="H295" s="108">
        <v>385368.88</v>
      </c>
      <c r="I295" s="108">
        <v>397829.25</v>
      </c>
      <c r="J295" s="108">
        <v>397829.25</v>
      </c>
      <c r="K295" s="108">
        <v>398602.01</v>
      </c>
      <c r="L295" s="108">
        <v>398602.01</v>
      </c>
      <c r="M295" s="108">
        <v>400164.51</v>
      </c>
      <c r="N295" s="108">
        <v>379581.93</v>
      </c>
      <c r="O295" s="108">
        <v>379581.93</v>
      </c>
      <c r="P295" s="106">
        <v>4681345.18</v>
      </c>
    </row>
    <row r="296" spans="1:16" customFormat="1" ht="15" hidden="1" thickBot="1" x14ac:dyDescent="0.35">
      <c r="A296" s="103" t="s">
        <v>174</v>
      </c>
      <c r="B296" s="103" t="s">
        <v>292</v>
      </c>
      <c r="C296" s="103" t="s">
        <v>293</v>
      </c>
      <c r="D296" s="108">
        <v>80327.8</v>
      </c>
      <c r="E296" s="108">
        <v>-6848.84</v>
      </c>
      <c r="F296" s="108">
        <v>91171.05</v>
      </c>
      <c r="G296" s="108">
        <v>96838.16</v>
      </c>
      <c r="H296" s="108">
        <v>83975.3</v>
      </c>
      <c r="I296" s="108">
        <v>68830.09</v>
      </c>
      <c r="J296" s="108">
        <v>60431.28</v>
      </c>
      <c r="K296" s="108">
        <v>55692.29</v>
      </c>
      <c r="L296" s="108">
        <v>72842.649999999994</v>
      </c>
      <c r="M296" s="108">
        <v>52697.84</v>
      </c>
      <c r="N296" s="108">
        <v>74292.42</v>
      </c>
      <c r="O296" s="108">
        <v>99750.94</v>
      </c>
      <c r="P296" s="106">
        <v>830000.98</v>
      </c>
    </row>
    <row r="297" spans="1:16" customFormat="1" ht="15" hidden="1" thickBot="1" x14ac:dyDescent="0.35">
      <c r="A297" s="103" t="s">
        <v>174</v>
      </c>
      <c r="B297" s="103" t="s">
        <v>294</v>
      </c>
      <c r="C297" s="103" t="s">
        <v>295</v>
      </c>
      <c r="D297" s="104">
        <v>9805.82</v>
      </c>
      <c r="E297" s="104">
        <v>4447.13</v>
      </c>
      <c r="F297" s="104">
        <v>2859.13</v>
      </c>
      <c r="G297" s="104">
        <v>3707.12</v>
      </c>
      <c r="H297" s="104">
        <v>2978.76</v>
      </c>
      <c r="I297" s="104">
        <v>7054.91</v>
      </c>
      <c r="J297" s="104">
        <v>3288.78</v>
      </c>
      <c r="K297" s="104">
        <v>2895.51</v>
      </c>
      <c r="L297" s="104">
        <v>6622.35</v>
      </c>
      <c r="M297" s="104">
        <v>7591.82</v>
      </c>
      <c r="N297" s="104">
        <v>6074.7</v>
      </c>
      <c r="O297" s="104">
        <v>8935.7199999999993</v>
      </c>
      <c r="P297" s="106">
        <v>66261.75</v>
      </c>
    </row>
    <row r="298" spans="1:16" customFormat="1" ht="15" hidden="1" thickBot="1" x14ac:dyDescent="0.35">
      <c r="A298" s="103" t="s">
        <v>172</v>
      </c>
      <c r="B298" s="103" t="s">
        <v>296</v>
      </c>
      <c r="C298" s="103" t="s">
        <v>297</v>
      </c>
      <c r="D298" s="105"/>
      <c r="E298" s="105"/>
      <c r="F298" s="105"/>
      <c r="G298" s="105"/>
      <c r="H298" s="105"/>
      <c r="I298" s="105"/>
      <c r="J298" s="105"/>
      <c r="K298" s="105"/>
      <c r="L298" s="105"/>
      <c r="M298" s="105"/>
      <c r="N298" s="105"/>
      <c r="O298" s="104">
        <v>13.53</v>
      </c>
      <c r="P298" s="106">
        <v>13.53</v>
      </c>
    </row>
    <row r="299" spans="1:16" customFormat="1" ht="15" hidden="1" thickBot="1" x14ac:dyDescent="0.35">
      <c r="A299" s="103" t="s">
        <v>174</v>
      </c>
      <c r="B299" s="103" t="s">
        <v>296</v>
      </c>
      <c r="C299" s="103" t="s">
        <v>297</v>
      </c>
      <c r="D299" s="108">
        <v>1471.72</v>
      </c>
      <c r="E299" s="108">
        <v>1403.27</v>
      </c>
      <c r="F299" s="108">
        <v>3697.45</v>
      </c>
      <c r="G299" s="108">
        <v>912.81</v>
      </c>
      <c r="H299" s="108">
        <v>2447.21</v>
      </c>
      <c r="I299" s="108">
        <v>1345.44</v>
      </c>
      <c r="J299" s="108">
        <v>904.34</v>
      </c>
      <c r="K299" s="108">
        <v>1581.69</v>
      </c>
      <c r="L299" s="108">
        <v>2376.6</v>
      </c>
      <c r="M299" s="108">
        <v>4873.4799999999996</v>
      </c>
      <c r="N299" s="108">
        <v>1115.01</v>
      </c>
      <c r="O299" s="108">
        <v>3382.58</v>
      </c>
      <c r="P299" s="106">
        <v>25511.599999999999</v>
      </c>
    </row>
    <row r="300" spans="1:16" customFormat="1" ht="15" hidden="1" thickBot="1" x14ac:dyDescent="0.35">
      <c r="A300" s="103" t="s">
        <v>157</v>
      </c>
      <c r="B300" s="103" t="s">
        <v>298</v>
      </c>
      <c r="C300" s="103" t="s">
        <v>299</v>
      </c>
      <c r="D300" s="107"/>
      <c r="E300" s="108">
        <v>124.04</v>
      </c>
      <c r="F300" s="107"/>
      <c r="G300" s="107"/>
      <c r="H300" s="107"/>
      <c r="I300" s="107"/>
      <c r="J300" s="107"/>
      <c r="K300" s="107"/>
      <c r="L300" s="107"/>
      <c r="M300" s="107"/>
      <c r="N300" s="107"/>
      <c r="O300" s="107"/>
      <c r="P300" s="106">
        <v>124.04</v>
      </c>
    </row>
    <row r="301" spans="1:16" customFormat="1" ht="15" hidden="1" thickBot="1" x14ac:dyDescent="0.35">
      <c r="A301" s="103" t="s">
        <v>174</v>
      </c>
      <c r="B301" s="103" t="s">
        <v>298</v>
      </c>
      <c r="C301" s="103" t="s">
        <v>299</v>
      </c>
      <c r="D301" s="104">
        <v>2747.87</v>
      </c>
      <c r="E301" s="104">
        <v>1271.3399999999999</v>
      </c>
      <c r="F301" s="104">
        <v>3190.74</v>
      </c>
      <c r="G301" s="104">
        <v>3341.71</v>
      </c>
      <c r="H301" s="104">
        <v>5050.6400000000003</v>
      </c>
      <c r="I301" s="104">
        <v>-54.53</v>
      </c>
      <c r="J301" s="104">
        <v>350</v>
      </c>
      <c r="K301" s="104">
        <v>1773.37</v>
      </c>
      <c r="L301" s="104">
        <v>1964.18</v>
      </c>
      <c r="M301" s="104">
        <v>2817.23</v>
      </c>
      <c r="N301" s="104">
        <v>1282.3900000000001</v>
      </c>
      <c r="O301" s="104">
        <v>2910.4</v>
      </c>
      <c r="P301" s="106">
        <v>26645.34</v>
      </c>
    </row>
    <row r="302" spans="1:16" customFormat="1" ht="15" hidden="1" thickBot="1" x14ac:dyDescent="0.35">
      <c r="A302" s="103" t="s">
        <v>174</v>
      </c>
      <c r="B302" s="103" t="s">
        <v>300</v>
      </c>
      <c r="C302" s="103" t="s">
        <v>301</v>
      </c>
      <c r="D302" s="108">
        <v>2652.95</v>
      </c>
      <c r="E302" s="108">
        <v>3766.76</v>
      </c>
      <c r="F302" s="108">
        <v>2275.2399999999998</v>
      </c>
      <c r="G302" s="108">
        <v>1933.41</v>
      </c>
      <c r="H302" s="108">
        <v>2743.44</v>
      </c>
      <c r="I302" s="108">
        <v>2385.15</v>
      </c>
      <c r="J302" s="108">
        <v>1531.87</v>
      </c>
      <c r="K302" s="108">
        <v>2212.7800000000002</v>
      </c>
      <c r="L302" s="108">
        <v>2132.6999999999998</v>
      </c>
      <c r="M302" s="108">
        <v>2612.86</v>
      </c>
      <c r="N302" s="108">
        <v>2749.07</v>
      </c>
      <c r="O302" s="108">
        <v>7196.59</v>
      </c>
      <c r="P302" s="106">
        <v>34192.82</v>
      </c>
    </row>
    <row r="303" spans="1:16" customFormat="1" ht="15" hidden="1" thickBot="1" x14ac:dyDescent="0.35">
      <c r="A303" s="103" t="s">
        <v>174</v>
      </c>
      <c r="B303" s="103" t="s">
        <v>302</v>
      </c>
      <c r="C303" s="103" t="s">
        <v>303</v>
      </c>
      <c r="D303" s="105"/>
      <c r="E303" s="105"/>
      <c r="F303" s="105"/>
      <c r="G303" s="105"/>
      <c r="H303" s="105"/>
      <c r="I303" s="104">
        <v>11.25</v>
      </c>
      <c r="J303" s="105"/>
      <c r="K303" s="105"/>
      <c r="L303" s="105"/>
      <c r="M303" s="105"/>
      <c r="N303" s="105"/>
      <c r="O303" s="105"/>
      <c r="P303" s="106">
        <v>11.25</v>
      </c>
    </row>
    <row r="304" spans="1:16" customFormat="1" ht="15" hidden="1" thickBot="1" x14ac:dyDescent="0.35">
      <c r="A304" s="103" t="s">
        <v>174</v>
      </c>
      <c r="B304" s="103" t="s">
        <v>304</v>
      </c>
      <c r="C304" s="103" t="s">
        <v>305</v>
      </c>
      <c r="D304" s="108">
        <v>49719.11</v>
      </c>
      <c r="E304" s="108">
        <v>33839.82</v>
      </c>
      <c r="F304" s="108">
        <v>34049.21</v>
      </c>
      <c r="G304" s="108">
        <v>39066.82</v>
      </c>
      <c r="H304" s="108">
        <v>30071.84</v>
      </c>
      <c r="I304" s="108">
        <v>61012.54</v>
      </c>
      <c r="J304" s="108">
        <v>40075.03</v>
      </c>
      <c r="K304" s="108">
        <v>58063.78</v>
      </c>
      <c r="L304" s="108">
        <v>30524.3</v>
      </c>
      <c r="M304" s="108">
        <v>55283.040000000001</v>
      </c>
      <c r="N304" s="108">
        <v>52138.07</v>
      </c>
      <c r="O304" s="108">
        <v>42073.8</v>
      </c>
      <c r="P304" s="106">
        <v>525917.36</v>
      </c>
    </row>
    <row r="305" spans="1:16" customFormat="1" ht="15" hidden="1" thickBot="1" x14ac:dyDescent="0.35">
      <c r="A305" s="103" t="s">
        <v>174</v>
      </c>
      <c r="B305" s="103" t="s">
        <v>306</v>
      </c>
      <c r="C305" s="103" t="s">
        <v>307</v>
      </c>
      <c r="D305" s="104">
        <v>4397.1099999999997</v>
      </c>
      <c r="E305" s="104">
        <v>5190.33</v>
      </c>
      <c r="F305" s="104">
        <v>5602.03</v>
      </c>
      <c r="G305" s="104">
        <v>4548.0600000000004</v>
      </c>
      <c r="H305" s="104">
        <v>4591.8599999999997</v>
      </c>
      <c r="I305" s="104">
        <v>6265.59</v>
      </c>
      <c r="J305" s="104">
        <v>3391.36</v>
      </c>
      <c r="K305" s="104">
        <v>7097.05</v>
      </c>
      <c r="L305" s="104">
        <v>5467.63</v>
      </c>
      <c r="M305" s="104">
        <v>5422.4</v>
      </c>
      <c r="N305" s="104">
        <v>2997.64</v>
      </c>
      <c r="O305" s="104">
        <v>5836.03</v>
      </c>
      <c r="P305" s="106">
        <v>60807.09</v>
      </c>
    </row>
    <row r="306" spans="1:16" customFormat="1" ht="15" hidden="1" thickBot="1" x14ac:dyDescent="0.35">
      <c r="A306" s="103" t="s">
        <v>174</v>
      </c>
      <c r="B306" s="103" t="s">
        <v>308</v>
      </c>
      <c r="C306" s="103" t="s">
        <v>309</v>
      </c>
      <c r="D306" s="108">
        <v>11362.53</v>
      </c>
      <c r="E306" s="108">
        <v>13057</v>
      </c>
      <c r="F306" s="108">
        <v>6891.47</v>
      </c>
      <c r="G306" s="108">
        <v>10057.64</v>
      </c>
      <c r="H306" s="108">
        <v>11036.78</v>
      </c>
      <c r="I306" s="108">
        <v>12672.11</v>
      </c>
      <c r="J306" s="108">
        <v>5677.27</v>
      </c>
      <c r="K306" s="108">
        <v>13751.64</v>
      </c>
      <c r="L306" s="108">
        <v>9543.14</v>
      </c>
      <c r="M306" s="108">
        <v>11806.76</v>
      </c>
      <c r="N306" s="108">
        <v>12368.24</v>
      </c>
      <c r="O306" s="108">
        <v>12030.31</v>
      </c>
      <c r="P306" s="106">
        <v>130254.89</v>
      </c>
    </row>
    <row r="307" spans="1:16" customFormat="1" ht="15" hidden="1" thickBot="1" x14ac:dyDescent="0.35">
      <c r="A307" s="103" t="s">
        <v>162</v>
      </c>
      <c r="B307" s="103" t="s">
        <v>310</v>
      </c>
      <c r="C307" s="103" t="s">
        <v>311</v>
      </c>
      <c r="D307" s="104">
        <v>16</v>
      </c>
      <c r="E307" s="105"/>
      <c r="F307" s="105"/>
      <c r="G307" s="105"/>
      <c r="H307" s="105"/>
      <c r="I307" s="105"/>
      <c r="J307" s="105"/>
      <c r="K307" s="105"/>
      <c r="L307" s="105"/>
      <c r="M307" s="105"/>
      <c r="N307" s="105"/>
      <c r="O307" s="105"/>
      <c r="P307" s="106">
        <v>16</v>
      </c>
    </row>
    <row r="308" spans="1:16" customFormat="1" ht="15" hidden="1" thickBot="1" x14ac:dyDescent="0.35">
      <c r="A308" s="103" t="s">
        <v>174</v>
      </c>
      <c r="B308" s="103" t="s">
        <v>310</v>
      </c>
      <c r="C308" s="103" t="s">
        <v>311</v>
      </c>
      <c r="D308" s="104">
        <v>5042.8599999999997</v>
      </c>
      <c r="E308" s="104">
        <v>3296.65</v>
      </c>
      <c r="F308" s="104">
        <v>2403.21</v>
      </c>
      <c r="G308" s="104">
        <v>2922.89</v>
      </c>
      <c r="H308" s="104">
        <v>7255.3</v>
      </c>
      <c r="I308" s="104">
        <v>920.4</v>
      </c>
      <c r="J308" s="104">
        <v>2854.75</v>
      </c>
      <c r="K308" s="104">
        <v>4606.63</v>
      </c>
      <c r="L308" s="104">
        <v>4386.03</v>
      </c>
      <c r="M308" s="104">
        <v>4310.1400000000003</v>
      </c>
      <c r="N308" s="104">
        <v>2486.5100000000002</v>
      </c>
      <c r="O308" s="104">
        <v>4296.42</v>
      </c>
      <c r="P308" s="106">
        <v>44781.79</v>
      </c>
    </row>
    <row r="309" spans="1:16" customFormat="1" ht="15" hidden="1" thickBot="1" x14ac:dyDescent="0.35">
      <c r="A309" s="103" t="s">
        <v>219</v>
      </c>
      <c r="B309" s="103" t="s">
        <v>312</v>
      </c>
      <c r="C309" s="103" t="s">
        <v>313</v>
      </c>
      <c r="D309" s="104">
        <v>7978.36</v>
      </c>
      <c r="E309" s="105"/>
      <c r="F309" s="104">
        <v>3989.18</v>
      </c>
      <c r="G309" s="104">
        <v>3989.18</v>
      </c>
      <c r="H309" s="104">
        <v>3989.18</v>
      </c>
      <c r="I309" s="104">
        <v>3989.18</v>
      </c>
      <c r="J309" s="104">
        <v>3989.18</v>
      </c>
      <c r="K309" s="104">
        <v>3989.18</v>
      </c>
      <c r="L309" s="104">
        <v>3989.18</v>
      </c>
      <c r="M309" s="105"/>
      <c r="N309" s="104">
        <v>-398.92</v>
      </c>
      <c r="O309" s="105"/>
      <c r="P309" s="106">
        <v>35503.699999999997</v>
      </c>
    </row>
    <row r="310" spans="1:16" customFormat="1" ht="15" hidden="1" thickBot="1" x14ac:dyDescent="0.35">
      <c r="A310" s="103" t="s">
        <v>174</v>
      </c>
      <c r="B310" s="103" t="s">
        <v>312</v>
      </c>
      <c r="C310" s="103" t="s">
        <v>313</v>
      </c>
      <c r="D310" s="108">
        <v>4520.1899999999996</v>
      </c>
      <c r="E310" s="108">
        <v>4396.82</v>
      </c>
      <c r="F310" s="108">
        <v>2639.39</v>
      </c>
      <c r="G310" s="108">
        <v>3200.07</v>
      </c>
      <c r="H310" s="108">
        <v>2723.65</v>
      </c>
      <c r="I310" s="108">
        <v>4118.0200000000004</v>
      </c>
      <c r="J310" s="108">
        <v>6996.89</v>
      </c>
      <c r="K310" s="108">
        <v>3196.23</v>
      </c>
      <c r="L310" s="108">
        <v>3505.7</v>
      </c>
      <c r="M310" s="108">
        <v>2874</v>
      </c>
      <c r="N310" s="108">
        <v>2827.02</v>
      </c>
      <c r="O310" s="108">
        <v>5142.47</v>
      </c>
      <c r="P310" s="106">
        <v>46140.45</v>
      </c>
    </row>
    <row r="311" spans="1:16" customFormat="1" ht="15" hidden="1" thickBot="1" x14ac:dyDescent="0.35">
      <c r="A311" s="103" t="s">
        <v>174</v>
      </c>
      <c r="B311" s="103" t="s">
        <v>314</v>
      </c>
      <c r="C311" s="103" t="s">
        <v>315</v>
      </c>
      <c r="D311" s="104">
        <v>17081.77</v>
      </c>
      <c r="E311" s="104">
        <v>-13852.74</v>
      </c>
      <c r="F311" s="104">
        <v>856.66</v>
      </c>
      <c r="G311" s="104">
        <v>1829.83</v>
      </c>
      <c r="H311" s="104">
        <v>2377.66</v>
      </c>
      <c r="I311" s="104">
        <v>3014.65</v>
      </c>
      <c r="J311" s="104">
        <v>2241.73</v>
      </c>
      <c r="K311" s="104">
        <v>1351.32</v>
      </c>
      <c r="L311" s="104">
        <v>895.66</v>
      </c>
      <c r="M311" s="104">
        <v>1305.6600000000001</v>
      </c>
      <c r="N311" s="104">
        <v>629.57000000000005</v>
      </c>
      <c r="O311" s="104">
        <v>1489.66</v>
      </c>
      <c r="P311" s="106">
        <v>19221.43</v>
      </c>
    </row>
    <row r="312" spans="1:16" customFormat="1" ht="15" hidden="1" thickBot="1" x14ac:dyDescent="0.35">
      <c r="A312" s="103" t="s">
        <v>173</v>
      </c>
      <c r="B312" s="103" t="s">
        <v>316</v>
      </c>
      <c r="C312" s="103" t="s">
        <v>317</v>
      </c>
      <c r="D312" s="105"/>
      <c r="E312" s="105"/>
      <c r="F312" s="105"/>
      <c r="G312" s="105"/>
      <c r="H312" s="105"/>
      <c r="I312" s="105"/>
      <c r="J312" s="105"/>
      <c r="K312" s="105"/>
      <c r="L312" s="105"/>
      <c r="M312" s="105"/>
      <c r="N312" s="104">
        <v>27</v>
      </c>
      <c r="O312" s="105"/>
      <c r="P312" s="106">
        <v>27</v>
      </c>
    </row>
    <row r="313" spans="1:16" customFormat="1" ht="15" hidden="1" thickBot="1" x14ac:dyDescent="0.35">
      <c r="A313" s="103" t="s">
        <v>174</v>
      </c>
      <c r="B313" s="103" t="s">
        <v>316</v>
      </c>
      <c r="C313" s="103" t="s">
        <v>317</v>
      </c>
      <c r="D313" s="108">
        <v>5163.47</v>
      </c>
      <c r="E313" s="108">
        <v>4244.6099999999997</v>
      </c>
      <c r="F313" s="108">
        <v>4315.5</v>
      </c>
      <c r="G313" s="108">
        <v>4378.8900000000003</v>
      </c>
      <c r="H313" s="108">
        <v>3128.25</v>
      </c>
      <c r="I313" s="108">
        <v>3745.35</v>
      </c>
      <c r="J313" s="108">
        <v>3703.3</v>
      </c>
      <c r="K313" s="108">
        <v>2343.84</v>
      </c>
      <c r="L313" s="108">
        <v>2387.63</v>
      </c>
      <c r="M313" s="108">
        <v>3010.76</v>
      </c>
      <c r="N313" s="108">
        <v>3430.8</v>
      </c>
      <c r="O313" s="108">
        <v>5544.67</v>
      </c>
      <c r="P313" s="106">
        <v>45397.07</v>
      </c>
    </row>
    <row r="314" spans="1:16" customFormat="1" ht="15" hidden="1" thickBot="1" x14ac:dyDescent="0.35">
      <c r="A314" s="103" t="s">
        <v>174</v>
      </c>
      <c r="B314" s="103" t="s">
        <v>318</v>
      </c>
      <c r="C314" s="103" t="s">
        <v>319</v>
      </c>
      <c r="D314" s="104">
        <v>718.93</v>
      </c>
      <c r="E314" s="104">
        <v>605.45000000000005</v>
      </c>
      <c r="F314" s="105"/>
      <c r="G314" s="105"/>
      <c r="H314" s="104">
        <v>650</v>
      </c>
      <c r="I314" s="105"/>
      <c r="J314" s="104">
        <v>350</v>
      </c>
      <c r="K314" s="105"/>
      <c r="L314" s="105"/>
      <c r="M314" s="104">
        <v>696</v>
      </c>
      <c r="N314" s="105"/>
      <c r="O314" s="104">
        <v>4008</v>
      </c>
      <c r="P314" s="106">
        <v>7028.38</v>
      </c>
    </row>
    <row r="315" spans="1:16" customFormat="1" ht="15" hidden="1" thickBot="1" x14ac:dyDescent="0.35">
      <c r="A315" s="103" t="s">
        <v>320</v>
      </c>
      <c r="B315" s="103" t="s">
        <v>321</v>
      </c>
      <c r="C315" s="103" t="s">
        <v>322</v>
      </c>
      <c r="D315" s="104">
        <v>4901.9799999999996</v>
      </c>
      <c r="E315" s="105"/>
      <c r="F315" s="104">
        <v>2450.9899999999998</v>
      </c>
      <c r="G315" s="104">
        <v>2450.9899999999998</v>
      </c>
      <c r="H315" s="104">
        <v>2450.9899999999998</v>
      </c>
      <c r="I315" s="104">
        <v>2450.9899999999998</v>
      </c>
      <c r="J315" s="104">
        <v>2450.9899999999998</v>
      </c>
      <c r="K315" s="104">
        <v>2450.9899999999998</v>
      </c>
      <c r="L315" s="104">
        <v>2450.9899999999998</v>
      </c>
      <c r="M315" s="104">
        <v>2450.9899999999998</v>
      </c>
      <c r="N315" s="104">
        <v>2450.9899999999998</v>
      </c>
      <c r="O315" s="104">
        <v>3410.93</v>
      </c>
      <c r="P315" s="106">
        <v>30371.82</v>
      </c>
    </row>
    <row r="316" spans="1:16" customFormat="1" ht="15" hidden="1" thickBot="1" x14ac:dyDescent="0.35">
      <c r="A316" s="103" t="s">
        <v>174</v>
      </c>
      <c r="B316" s="103" t="s">
        <v>321</v>
      </c>
      <c r="C316" s="103" t="s">
        <v>322</v>
      </c>
      <c r="D316" s="108">
        <v>1536.9</v>
      </c>
      <c r="E316" s="108">
        <v>1355.06</v>
      </c>
      <c r="F316" s="108">
        <v>1632.22</v>
      </c>
      <c r="G316" s="108">
        <v>1363.84</v>
      </c>
      <c r="H316" s="108">
        <v>697.54</v>
      </c>
      <c r="I316" s="108">
        <v>1499.89</v>
      </c>
      <c r="J316" s="108">
        <v>1752.65</v>
      </c>
      <c r="K316" s="108">
        <v>2085.8000000000002</v>
      </c>
      <c r="L316" s="108">
        <v>801.93</v>
      </c>
      <c r="M316" s="108">
        <v>328.16</v>
      </c>
      <c r="N316" s="108">
        <v>474.26</v>
      </c>
      <c r="O316" s="108">
        <v>2314.21</v>
      </c>
      <c r="P316" s="106">
        <v>15842.46</v>
      </c>
    </row>
    <row r="317" spans="1:16" customFormat="1" ht="15" hidden="1" thickBot="1" x14ac:dyDescent="0.35">
      <c r="A317" s="103" t="s">
        <v>173</v>
      </c>
      <c r="B317" s="103" t="s">
        <v>323</v>
      </c>
      <c r="C317" s="103" t="s">
        <v>324</v>
      </c>
      <c r="D317" s="107"/>
      <c r="E317" s="107"/>
      <c r="F317" s="107"/>
      <c r="G317" s="107"/>
      <c r="H317" s="107"/>
      <c r="I317" s="107"/>
      <c r="J317" s="107"/>
      <c r="K317" s="108">
        <v>145</v>
      </c>
      <c r="L317" s="107"/>
      <c r="M317" s="107"/>
      <c r="N317" s="107"/>
      <c r="O317" s="107"/>
      <c r="P317" s="106">
        <v>145</v>
      </c>
    </row>
    <row r="318" spans="1:16" customFormat="1" ht="15" hidden="1" thickBot="1" x14ac:dyDescent="0.35">
      <c r="A318" s="103" t="s">
        <v>174</v>
      </c>
      <c r="B318" s="103" t="s">
        <v>323</v>
      </c>
      <c r="C318" s="103" t="s">
        <v>324</v>
      </c>
      <c r="D318" s="104">
        <v>1736</v>
      </c>
      <c r="E318" s="104">
        <v>2299</v>
      </c>
      <c r="F318" s="104">
        <v>2512</v>
      </c>
      <c r="G318" s="104">
        <v>1535.5</v>
      </c>
      <c r="H318" s="104">
        <v>3558</v>
      </c>
      <c r="I318" s="104">
        <v>1786</v>
      </c>
      <c r="J318" s="104">
        <v>7393.2</v>
      </c>
      <c r="K318" s="104">
        <v>2378</v>
      </c>
      <c r="L318" s="104">
        <v>1652</v>
      </c>
      <c r="M318" s="104">
        <v>6243</v>
      </c>
      <c r="N318" s="104">
        <v>4088</v>
      </c>
      <c r="O318" s="104">
        <v>8972.82</v>
      </c>
      <c r="P318" s="106">
        <v>44153.52</v>
      </c>
    </row>
    <row r="319" spans="1:16" customFormat="1" ht="15" hidden="1" thickBot="1" x14ac:dyDescent="0.35">
      <c r="A319" s="103" t="s">
        <v>174</v>
      </c>
      <c r="B319" s="103" t="s">
        <v>325</v>
      </c>
      <c r="C319" s="103" t="s">
        <v>326</v>
      </c>
      <c r="D319" s="108">
        <v>6290.56</v>
      </c>
      <c r="E319" s="108">
        <v>344.06</v>
      </c>
      <c r="F319" s="108">
        <v>105.56</v>
      </c>
      <c r="G319" s="108">
        <v>105.56</v>
      </c>
      <c r="H319" s="108">
        <v>5176.62</v>
      </c>
      <c r="I319" s="108">
        <v>266.62</v>
      </c>
      <c r="J319" s="108">
        <v>476.62</v>
      </c>
      <c r="K319" s="108">
        <v>251.64</v>
      </c>
      <c r="L319" s="108">
        <v>125.82</v>
      </c>
      <c r="M319" s="108">
        <v>314.2</v>
      </c>
      <c r="N319" s="108">
        <v>4835.82</v>
      </c>
      <c r="O319" s="108">
        <v>8481.1200000000008</v>
      </c>
      <c r="P319" s="106">
        <v>26774.2</v>
      </c>
    </row>
    <row r="320" spans="1:16" customFormat="1" ht="15" hidden="1" thickBot="1" x14ac:dyDescent="0.35">
      <c r="A320" s="103" t="s">
        <v>174</v>
      </c>
      <c r="B320" s="103" t="s">
        <v>327</v>
      </c>
      <c r="C320" s="103" t="s">
        <v>328</v>
      </c>
      <c r="D320" s="104">
        <v>4600.67</v>
      </c>
      <c r="E320" s="104">
        <v>-2345.21</v>
      </c>
      <c r="F320" s="104">
        <v>1673.39</v>
      </c>
      <c r="G320" s="104">
        <v>699.83</v>
      </c>
      <c r="H320" s="104">
        <v>1157.4000000000001</v>
      </c>
      <c r="I320" s="104">
        <v>4035.89</v>
      </c>
      <c r="J320" s="104">
        <v>2292.1799999999998</v>
      </c>
      <c r="K320" s="104">
        <v>1415.82</v>
      </c>
      <c r="L320" s="104">
        <v>2108.89</v>
      </c>
      <c r="M320" s="104">
        <v>1600.18</v>
      </c>
      <c r="N320" s="104">
        <v>1801.77</v>
      </c>
      <c r="O320" s="104">
        <v>3557.38</v>
      </c>
      <c r="P320" s="106">
        <v>22598.19</v>
      </c>
    </row>
    <row r="321" spans="1:16" customFormat="1" ht="15" hidden="1" thickBot="1" x14ac:dyDescent="0.35">
      <c r="A321" s="103" t="s">
        <v>157</v>
      </c>
      <c r="B321" s="103" t="s">
        <v>329</v>
      </c>
      <c r="C321" s="103" t="s">
        <v>330</v>
      </c>
      <c r="D321" s="104">
        <v>1742.92</v>
      </c>
      <c r="E321" s="104">
        <v>1508.3</v>
      </c>
      <c r="F321" s="104">
        <v>2158.27</v>
      </c>
      <c r="G321" s="104">
        <v>1722.1</v>
      </c>
      <c r="H321" s="104">
        <v>1855.82</v>
      </c>
      <c r="I321" s="104">
        <v>1653.89</v>
      </c>
      <c r="J321" s="104">
        <v>2006</v>
      </c>
      <c r="K321" s="104">
        <v>1776.8</v>
      </c>
      <c r="L321" s="104">
        <v>1338.35</v>
      </c>
      <c r="M321" s="104">
        <v>1720.95</v>
      </c>
      <c r="N321" s="104">
        <v>1066.79</v>
      </c>
      <c r="O321" s="104">
        <v>1409.29</v>
      </c>
      <c r="P321" s="106">
        <v>19959.48</v>
      </c>
    </row>
    <row r="322" spans="1:16" customFormat="1" ht="15" hidden="1" thickBot="1" x14ac:dyDescent="0.35">
      <c r="A322" s="103" t="s">
        <v>163</v>
      </c>
      <c r="B322" s="103" t="s">
        <v>329</v>
      </c>
      <c r="C322" s="103" t="s">
        <v>330</v>
      </c>
      <c r="D322" s="108">
        <v>8936.5300000000007</v>
      </c>
      <c r="E322" s="108">
        <v>7739.18</v>
      </c>
      <c r="F322" s="108">
        <v>11019.12</v>
      </c>
      <c r="G322" s="108">
        <v>8820.89</v>
      </c>
      <c r="H322" s="108">
        <v>9497.09</v>
      </c>
      <c r="I322" s="108">
        <v>8484.35</v>
      </c>
      <c r="J322" s="108">
        <v>10270.25</v>
      </c>
      <c r="K322" s="108">
        <v>9117.75</v>
      </c>
      <c r="L322" s="108">
        <v>6884.86</v>
      </c>
      <c r="M322" s="108">
        <v>8828.7900000000009</v>
      </c>
      <c r="N322" s="108">
        <v>5544.06</v>
      </c>
      <c r="O322" s="108">
        <v>7231.21</v>
      </c>
      <c r="P322" s="106">
        <v>102374.08</v>
      </c>
    </row>
    <row r="323" spans="1:16" customFormat="1" ht="15" hidden="1" thickBot="1" x14ac:dyDescent="0.35">
      <c r="A323" s="103" t="s">
        <v>164</v>
      </c>
      <c r="B323" s="103" t="s">
        <v>329</v>
      </c>
      <c r="C323" s="103" t="s">
        <v>330</v>
      </c>
      <c r="D323" s="104">
        <v>30873.52</v>
      </c>
      <c r="E323" s="104">
        <v>2233.15</v>
      </c>
      <c r="F323" s="104">
        <v>12361.43</v>
      </c>
      <c r="G323" s="104">
        <v>16042.46</v>
      </c>
      <c r="H323" s="104">
        <v>13677.15</v>
      </c>
      <c r="I323" s="104">
        <v>-2845.13</v>
      </c>
      <c r="J323" s="104">
        <v>10050.950000000001</v>
      </c>
      <c r="K323" s="104">
        <v>7671.13</v>
      </c>
      <c r="L323" s="104">
        <v>6900.82</v>
      </c>
      <c r="M323" s="104">
        <v>3658.82</v>
      </c>
      <c r="N323" s="104">
        <v>954.22</v>
      </c>
      <c r="O323" s="104">
        <v>-1009.84</v>
      </c>
      <c r="P323" s="106">
        <v>100568.68</v>
      </c>
    </row>
    <row r="324" spans="1:16" customFormat="1" ht="15" hidden="1" thickBot="1" x14ac:dyDescent="0.35">
      <c r="A324" s="103" t="s">
        <v>242</v>
      </c>
      <c r="B324" s="103" t="s">
        <v>329</v>
      </c>
      <c r="C324" s="103" t="s">
        <v>330</v>
      </c>
      <c r="D324" s="104">
        <v>1781.55</v>
      </c>
      <c r="E324" s="104">
        <v>1542.71</v>
      </c>
      <c r="F324" s="104">
        <v>2197.94</v>
      </c>
      <c r="G324" s="104">
        <v>1758.74</v>
      </c>
      <c r="H324" s="104">
        <v>1893.76</v>
      </c>
      <c r="I324" s="104">
        <v>1691.31</v>
      </c>
      <c r="J324" s="104">
        <v>2047.84</v>
      </c>
      <c r="K324" s="104">
        <v>1817.5</v>
      </c>
      <c r="L324" s="104">
        <v>1371.98</v>
      </c>
      <c r="M324" s="104">
        <v>1759.97</v>
      </c>
      <c r="N324" s="104">
        <v>1103.3699999999999</v>
      </c>
      <c r="O324" s="104">
        <v>1441.46</v>
      </c>
      <c r="P324" s="106">
        <v>20408.13</v>
      </c>
    </row>
    <row r="325" spans="1:16" customFormat="1" ht="15" hidden="1" thickBot="1" x14ac:dyDescent="0.35">
      <c r="A325" s="103" t="s">
        <v>166</v>
      </c>
      <c r="B325" s="103" t="s">
        <v>329</v>
      </c>
      <c r="C325" s="103" t="s">
        <v>330</v>
      </c>
      <c r="D325" s="108">
        <v>1726.86</v>
      </c>
      <c r="E325" s="108">
        <v>1494</v>
      </c>
      <c r="F325" s="108">
        <v>2141.79</v>
      </c>
      <c r="G325" s="108">
        <v>1706.87</v>
      </c>
      <c r="H325" s="108">
        <v>1840.06</v>
      </c>
      <c r="I325" s="108">
        <v>1638.34</v>
      </c>
      <c r="J325" s="108">
        <v>1988.62</v>
      </c>
      <c r="K325" s="108">
        <v>1759.88</v>
      </c>
      <c r="L325" s="108">
        <v>1324.38</v>
      </c>
      <c r="M325" s="108">
        <v>1704.73</v>
      </c>
      <c r="N325" s="108">
        <v>1051.5899999999999</v>
      </c>
      <c r="O325" s="108">
        <v>1395.92</v>
      </c>
      <c r="P325" s="106">
        <v>19773.04</v>
      </c>
    </row>
    <row r="326" spans="1:16" customFormat="1" ht="15" hidden="1" thickBot="1" x14ac:dyDescent="0.35">
      <c r="A326" s="103" t="s">
        <v>233</v>
      </c>
      <c r="B326" s="103" t="s">
        <v>329</v>
      </c>
      <c r="C326" s="103" t="s">
        <v>330</v>
      </c>
      <c r="D326" s="104">
        <v>1634.38</v>
      </c>
      <c r="E326" s="104">
        <v>1411.62</v>
      </c>
      <c r="F326" s="104">
        <v>2046.82</v>
      </c>
      <c r="G326" s="104">
        <v>1619.15</v>
      </c>
      <c r="H326" s="104">
        <v>1749.24</v>
      </c>
      <c r="I326" s="104">
        <v>1548.75</v>
      </c>
      <c r="J326" s="104">
        <v>1888.45</v>
      </c>
      <c r="K326" s="104">
        <v>1662.45</v>
      </c>
      <c r="L326" s="104">
        <v>1243.8699999999999</v>
      </c>
      <c r="M326" s="104">
        <v>1611.32</v>
      </c>
      <c r="N326" s="104">
        <v>964</v>
      </c>
      <c r="O326" s="104">
        <v>1318.88</v>
      </c>
      <c r="P326" s="106">
        <v>18698.93</v>
      </c>
    </row>
    <row r="327" spans="1:16" customFormat="1" ht="15" hidden="1" thickBot="1" x14ac:dyDescent="0.35">
      <c r="A327" s="103" t="s">
        <v>171</v>
      </c>
      <c r="B327" s="103" t="s">
        <v>329</v>
      </c>
      <c r="C327" s="103" t="s">
        <v>330</v>
      </c>
      <c r="D327" s="107"/>
      <c r="E327" s="107"/>
      <c r="F327" s="107"/>
      <c r="G327" s="107"/>
      <c r="H327" s="107"/>
      <c r="I327" s="107"/>
      <c r="J327" s="107"/>
      <c r="K327" s="107"/>
      <c r="L327" s="107"/>
      <c r="M327" s="107"/>
      <c r="N327" s="107"/>
      <c r="O327" s="108">
        <v>393.29</v>
      </c>
      <c r="P327" s="106">
        <v>393.29</v>
      </c>
    </row>
    <row r="328" spans="1:16" customFormat="1" ht="15" hidden="1" thickBot="1" x14ac:dyDescent="0.35">
      <c r="A328" s="103" t="s">
        <v>173</v>
      </c>
      <c r="B328" s="103" t="s">
        <v>329</v>
      </c>
      <c r="C328" s="103" t="s">
        <v>330</v>
      </c>
      <c r="D328" s="104">
        <v>-565.15</v>
      </c>
      <c r="E328" s="104">
        <v>-2891.64</v>
      </c>
      <c r="F328" s="104">
        <v>386.23</v>
      </c>
      <c r="G328" s="104">
        <v>-994.15</v>
      </c>
      <c r="H328" s="104">
        <v>-279.06</v>
      </c>
      <c r="I328" s="104">
        <v>-51.16</v>
      </c>
      <c r="J328" s="104">
        <v>2482.8200000000002</v>
      </c>
      <c r="K328" s="104">
        <v>-4553.99</v>
      </c>
      <c r="L328" s="104">
        <v>7866.07</v>
      </c>
      <c r="M328" s="104">
        <v>4351.51</v>
      </c>
      <c r="N328" s="104">
        <v>42643.68</v>
      </c>
      <c r="O328" s="104">
        <v>1384.32</v>
      </c>
      <c r="P328" s="106">
        <v>49779.48</v>
      </c>
    </row>
    <row r="329" spans="1:16" customFormat="1" ht="15" hidden="1" thickBot="1" x14ac:dyDescent="0.35">
      <c r="A329" s="103" t="s">
        <v>174</v>
      </c>
      <c r="B329" s="103" t="s">
        <v>329</v>
      </c>
      <c r="C329" s="103" t="s">
        <v>330</v>
      </c>
      <c r="D329" s="108">
        <v>1682.92</v>
      </c>
      <c r="E329" s="108">
        <v>1454.73</v>
      </c>
      <c r="F329" s="108">
        <v>2096.2199999999998</v>
      </c>
      <c r="G329" s="108">
        <v>1664.9</v>
      </c>
      <c r="H329" s="108">
        <v>1796.96</v>
      </c>
      <c r="I329" s="108">
        <v>1595.44</v>
      </c>
      <c r="J329" s="108">
        <v>1940.76</v>
      </c>
      <c r="K329" s="108">
        <v>1713.38</v>
      </c>
      <c r="L329" s="108">
        <v>1286.03</v>
      </c>
      <c r="M329" s="108">
        <v>1660.19</v>
      </c>
      <c r="N329" s="108">
        <v>1009.75</v>
      </c>
      <c r="O329" s="108">
        <v>1359.35</v>
      </c>
      <c r="P329" s="106">
        <v>19260.63</v>
      </c>
    </row>
    <row r="330" spans="1:16" customFormat="1" ht="15" hidden="1" thickBot="1" x14ac:dyDescent="0.35">
      <c r="A330" s="103" t="s">
        <v>173</v>
      </c>
      <c r="B330" s="103" t="s">
        <v>331</v>
      </c>
      <c r="C330" s="103" t="s">
        <v>332</v>
      </c>
      <c r="D330" s="108">
        <v>3561.55</v>
      </c>
      <c r="E330" s="108">
        <v>3793.65</v>
      </c>
      <c r="F330" s="108">
        <v>35686.370000000003</v>
      </c>
      <c r="G330" s="108">
        <v>1102.54</v>
      </c>
      <c r="H330" s="108">
        <v>720.89</v>
      </c>
      <c r="I330" s="108">
        <v>5577.99</v>
      </c>
      <c r="J330" s="108">
        <v>1768.61</v>
      </c>
      <c r="K330" s="108">
        <v>-2212.06</v>
      </c>
      <c r="L330" s="108">
        <v>80402.59</v>
      </c>
      <c r="M330" s="108">
        <v>8618.68</v>
      </c>
      <c r="N330" s="108">
        <v>-46870.49</v>
      </c>
      <c r="O330" s="108">
        <v>190016.99</v>
      </c>
      <c r="P330" s="106">
        <v>282167.31</v>
      </c>
    </row>
    <row r="331" spans="1:16" customFormat="1" ht="15" hidden="1" thickBot="1" x14ac:dyDescent="0.35">
      <c r="A331" s="103" t="s">
        <v>173</v>
      </c>
      <c r="B331" s="103" t="s">
        <v>333</v>
      </c>
      <c r="C331" s="103" t="s">
        <v>334</v>
      </c>
      <c r="D331" s="104">
        <v>21151.82</v>
      </c>
      <c r="E331" s="104">
        <v>59339.45</v>
      </c>
      <c r="F331" s="104">
        <v>-12368.4</v>
      </c>
      <c r="G331" s="104">
        <v>28323.24</v>
      </c>
      <c r="H331" s="104">
        <v>22107.03</v>
      </c>
      <c r="I331" s="104">
        <v>37651.120000000003</v>
      </c>
      <c r="J331" s="104">
        <v>22024.41</v>
      </c>
      <c r="K331" s="104">
        <v>44635.51</v>
      </c>
      <c r="L331" s="104">
        <v>63099.15</v>
      </c>
      <c r="M331" s="104">
        <v>49442.94</v>
      </c>
      <c r="N331" s="104">
        <v>43652.19</v>
      </c>
      <c r="O331" s="104">
        <v>-2440.54</v>
      </c>
      <c r="P331" s="106">
        <v>376617.92</v>
      </c>
    </row>
    <row r="332" spans="1:16" customFormat="1" ht="15" hidden="1" thickBot="1" x14ac:dyDescent="0.35">
      <c r="A332" s="103" t="s">
        <v>165</v>
      </c>
      <c r="B332" s="103" t="s">
        <v>335</v>
      </c>
      <c r="C332" s="103" t="s">
        <v>336</v>
      </c>
      <c r="D332" s="107"/>
      <c r="E332" s="107"/>
      <c r="F332" s="107"/>
      <c r="G332" s="107"/>
      <c r="H332" s="107"/>
      <c r="I332" s="107"/>
      <c r="J332" s="107"/>
      <c r="K332" s="108">
        <v>-1222.56</v>
      </c>
      <c r="L332" s="110">
        <v>0</v>
      </c>
      <c r="M332" s="107"/>
      <c r="N332" s="107"/>
      <c r="O332" s="107"/>
      <c r="P332" s="106">
        <v>-1222.56</v>
      </c>
    </row>
    <row r="333" spans="1:16" customFormat="1" ht="15" hidden="1" thickBot="1" x14ac:dyDescent="0.35">
      <c r="A333" s="103" t="s">
        <v>171</v>
      </c>
      <c r="B333" s="103" t="s">
        <v>335</v>
      </c>
      <c r="C333" s="103" t="s">
        <v>336</v>
      </c>
      <c r="D333" s="105"/>
      <c r="E333" s="105"/>
      <c r="F333" s="105"/>
      <c r="G333" s="104">
        <v>1684.8</v>
      </c>
      <c r="H333" s="105"/>
      <c r="I333" s="105"/>
      <c r="J333" s="105"/>
      <c r="K333" s="105"/>
      <c r="L333" s="105"/>
      <c r="M333" s="105"/>
      <c r="N333" s="105"/>
      <c r="O333" s="105"/>
      <c r="P333" s="106">
        <v>1684.8</v>
      </c>
    </row>
    <row r="334" spans="1:16" customFormat="1" ht="15" hidden="1" thickBot="1" x14ac:dyDescent="0.35">
      <c r="A334" s="103" t="s">
        <v>173</v>
      </c>
      <c r="B334" s="103" t="s">
        <v>335</v>
      </c>
      <c r="C334" s="103" t="s">
        <v>336</v>
      </c>
      <c r="D334" s="108">
        <v>125674.8</v>
      </c>
      <c r="E334" s="108">
        <v>110872.27</v>
      </c>
      <c r="F334" s="108">
        <v>122406.25</v>
      </c>
      <c r="G334" s="108">
        <v>113324.81</v>
      </c>
      <c r="H334" s="108">
        <v>123631.31</v>
      </c>
      <c r="I334" s="108">
        <v>108118.47</v>
      </c>
      <c r="J334" s="108">
        <v>106918.19</v>
      </c>
      <c r="K334" s="108">
        <v>117684.51</v>
      </c>
      <c r="L334" s="108">
        <v>100881.67</v>
      </c>
      <c r="M334" s="108">
        <v>39027.879999999997</v>
      </c>
      <c r="N334" s="108">
        <v>102946.28</v>
      </c>
      <c r="O334" s="108">
        <v>114153.31</v>
      </c>
      <c r="P334" s="106">
        <v>1285639.75</v>
      </c>
    </row>
    <row r="335" spans="1:16" customFormat="1" ht="15" hidden="1" thickBot="1" x14ac:dyDescent="0.35">
      <c r="A335" s="103" t="s">
        <v>253</v>
      </c>
      <c r="B335" s="103" t="s">
        <v>335</v>
      </c>
      <c r="C335" s="103" t="s">
        <v>336</v>
      </c>
      <c r="D335" s="105"/>
      <c r="E335" s="105"/>
      <c r="F335" s="105"/>
      <c r="G335" s="105"/>
      <c r="H335" s="105"/>
      <c r="I335" s="105"/>
      <c r="J335" s="105"/>
      <c r="K335" s="105"/>
      <c r="L335" s="105"/>
      <c r="M335" s="105"/>
      <c r="N335" s="105"/>
      <c r="O335" s="104">
        <v>-68.400000000000006</v>
      </c>
      <c r="P335" s="106">
        <v>-68.400000000000006</v>
      </c>
    </row>
    <row r="336" spans="1:16" customFormat="1" ht="15" hidden="1" thickBot="1" x14ac:dyDescent="0.35">
      <c r="A336" s="103" t="s">
        <v>173</v>
      </c>
      <c r="B336" s="103" t="s">
        <v>337</v>
      </c>
      <c r="C336" s="103" t="s">
        <v>338</v>
      </c>
      <c r="D336" s="104">
        <v>26174.21</v>
      </c>
      <c r="E336" s="104">
        <v>58155.42</v>
      </c>
      <c r="F336" s="104">
        <v>36847.910000000003</v>
      </c>
      <c r="G336" s="104">
        <v>53630.77</v>
      </c>
      <c r="H336" s="104">
        <v>32982.74</v>
      </c>
      <c r="I336" s="104">
        <v>32395.19</v>
      </c>
      <c r="J336" s="104">
        <v>37915.94</v>
      </c>
      <c r="K336" s="104">
        <v>44200.27</v>
      </c>
      <c r="L336" s="104">
        <v>44699.03</v>
      </c>
      <c r="M336" s="104">
        <v>25904.26</v>
      </c>
      <c r="N336" s="104">
        <v>27958.2</v>
      </c>
      <c r="O336" s="104">
        <v>34752.71</v>
      </c>
      <c r="P336" s="106">
        <v>455616.65</v>
      </c>
    </row>
    <row r="337" spans="1:16" customFormat="1" ht="15" hidden="1" thickBot="1" x14ac:dyDescent="0.35">
      <c r="A337" s="103" t="s">
        <v>258</v>
      </c>
      <c r="B337" s="103" t="s">
        <v>337</v>
      </c>
      <c r="C337" s="103" t="s">
        <v>338</v>
      </c>
      <c r="D337" s="108">
        <v>32212.1</v>
      </c>
      <c r="E337" s="108">
        <v>31528.48</v>
      </c>
      <c r="F337" s="108">
        <v>31832.15</v>
      </c>
      <c r="G337" s="108">
        <v>20791.400000000001</v>
      </c>
      <c r="H337" s="108">
        <v>19687.97</v>
      </c>
      <c r="I337" s="108">
        <v>23938.43</v>
      </c>
      <c r="J337" s="108">
        <v>30164.880000000001</v>
      </c>
      <c r="K337" s="108">
        <v>29942.39</v>
      </c>
      <c r="L337" s="108">
        <v>26820.04</v>
      </c>
      <c r="M337" s="108">
        <v>31758.92</v>
      </c>
      <c r="N337" s="108">
        <v>30211.37</v>
      </c>
      <c r="O337" s="108">
        <v>27097.9</v>
      </c>
      <c r="P337" s="106">
        <v>335986.03</v>
      </c>
    </row>
    <row r="338" spans="1:16" customFormat="1" ht="15" hidden="1" thickBot="1" x14ac:dyDescent="0.35">
      <c r="A338" s="103" t="s">
        <v>173</v>
      </c>
      <c r="B338" s="103" t="s">
        <v>339</v>
      </c>
      <c r="C338" s="103" t="s">
        <v>340</v>
      </c>
      <c r="D338" s="108">
        <v>940</v>
      </c>
      <c r="E338" s="108">
        <v>4839</v>
      </c>
      <c r="F338" s="108">
        <v>627</v>
      </c>
      <c r="G338" s="108">
        <v>5103</v>
      </c>
      <c r="H338" s="108">
        <v>-306</v>
      </c>
      <c r="I338" s="108">
        <v>3316</v>
      </c>
      <c r="J338" s="108">
        <v>513</v>
      </c>
      <c r="K338" s="107"/>
      <c r="L338" s="108">
        <v>9411</v>
      </c>
      <c r="M338" s="108">
        <v>3450.5</v>
      </c>
      <c r="N338" s="108">
        <v>-57</v>
      </c>
      <c r="O338" s="108">
        <v>5478.9</v>
      </c>
      <c r="P338" s="106">
        <v>33315.4</v>
      </c>
    </row>
    <row r="339" spans="1:16" customFormat="1" ht="15" hidden="1" thickBot="1" x14ac:dyDescent="0.35">
      <c r="A339" s="103" t="s">
        <v>258</v>
      </c>
      <c r="B339" s="103" t="s">
        <v>339</v>
      </c>
      <c r="C339" s="103" t="s">
        <v>340</v>
      </c>
      <c r="D339" s="105"/>
      <c r="E339" s="105"/>
      <c r="F339" s="105"/>
      <c r="G339" s="104">
        <v>274.3</v>
      </c>
      <c r="H339" s="105"/>
      <c r="I339" s="104">
        <v>105.1</v>
      </c>
      <c r="J339" s="104">
        <v>25</v>
      </c>
      <c r="K339" s="104">
        <v>28.9</v>
      </c>
      <c r="L339" s="104">
        <v>69.3</v>
      </c>
      <c r="M339" s="104">
        <v>117.2</v>
      </c>
      <c r="N339" s="105"/>
      <c r="O339" s="104">
        <v>166.5</v>
      </c>
      <c r="P339" s="106">
        <v>786.3</v>
      </c>
    </row>
    <row r="340" spans="1:16" customFormat="1" ht="15" hidden="1" thickBot="1" x14ac:dyDescent="0.35">
      <c r="A340" s="103" t="s">
        <v>173</v>
      </c>
      <c r="B340" s="103" t="s">
        <v>341</v>
      </c>
      <c r="C340" s="103" t="s">
        <v>342</v>
      </c>
      <c r="D340" s="104">
        <v>18042.39</v>
      </c>
      <c r="E340" s="104">
        <v>24148.34</v>
      </c>
      <c r="F340" s="104">
        <v>21020.51</v>
      </c>
      <c r="G340" s="104">
        <v>22778.560000000001</v>
      </c>
      <c r="H340" s="104">
        <v>19773.72</v>
      </c>
      <c r="I340" s="104">
        <v>21025.57</v>
      </c>
      <c r="J340" s="104">
        <v>20374.23</v>
      </c>
      <c r="K340" s="104">
        <v>20032.8</v>
      </c>
      <c r="L340" s="104">
        <v>20763.43</v>
      </c>
      <c r="M340" s="104">
        <v>23828.75</v>
      </c>
      <c r="N340" s="104">
        <v>21087.71</v>
      </c>
      <c r="O340" s="104">
        <v>20022.63</v>
      </c>
      <c r="P340" s="106">
        <v>252898.64</v>
      </c>
    </row>
    <row r="341" spans="1:16" customFormat="1" ht="15" hidden="1" thickBot="1" x14ac:dyDescent="0.35">
      <c r="A341" s="103" t="s">
        <v>258</v>
      </c>
      <c r="B341" s="103" t="s">
        <v>341</v>
      </c>
      <c r="C341" s="103" t="s">
        <v>342</v>
      </c>
      <c r="D341" s="108">
        <v>23953.22</v>
      </c>
      <c r="E341" s="108">
        <v>26823.31</v>
      </c>
      <c r="F341" s="108">
        <v>16418.900000000001</v>
      </c>
      <c r="G341" s="108">
        <v>16908.95</v>
      </c>
      <c r="H341" s="108">
        <v>24229.68</v>
      </c>
      <c r="I341" s="108">
        <v>25785.040000000001</v>
      </c>
      <c r="J341" s="108">
        <v>24216.29</v>
      </c>
      <c r="K341" s="108">
        <v>24372.36</v>
      </c>
      <c r="L341" s="108">
        <v>23809.5</v>
      </c>
      <c r="M341" s="108">
        <v>23745.51</v>
      </c>
      <c r="N341" s="108">
        <v>33611.68</v>
      </c>
      <c r="O341" s="108">
        <v>22989.69</v>
      </c>
      <c r="P341" s="106">
        <v>286864.13</v>
      </c>
    </row>
    <row r="342" spans="1:16" customFormat="1" ht="15" hidden="1" thickBot="1" x14ac:dyDescent="0.35">
      <c r="A342" s="103" t="s">
        <v>173</v>
      </c>
      <c r="B342" s="103" t="s">
        <v>343</v>
      </c>
      <c r="C342" s="103" t="s">
        <v>344</v>
      </c>
      <c r="D342" s="107"/>
      <c r="E342" s="107"/>
      <c r="F342" s="108">
        <v>306.8</v>
      </c>
      <c r="G342" s="107"/>
      <c r="H342" s="107"/>
      <c r="I342" s="107"/>
      <c r="J342" s="107"/>
      <c r="K342" s="107"/>
      <c r="L342" s="108">
        <v>1711.36</v>
      </c>
      <c r="M342" s="108">
        <v>6112</v>
      </c>
      <c r="N342" s="108">
        <v>6356.48</v>
      </c>
      <c r="O342" s="108">
        <v>2811.52</v>
      </c>
      <c r="P342" s="106">
        <v>17298.16</v>
      </c>
    </row>
    <row r="343" spans="1:16" customFormat="1" ht="15" hidden="1" thickBot="1" x14ac:dyDescent="0.35">
      <c r="A343" s="103" t="s">
        <v>258</v>
      </c>
      <c r="B343" s="103" t="s">
        <v>343</v>
      </c>
      <c r="C343" s="103" t="s">
        <v>344</v>
      </c>
      <c r="D343" s="104">
        <v>186976.07</v>
      </c>
      <c r="E343" s="104">
        <v>129121.67</v>
      </c>
      <c r="F343" s="104">
        <v>163384.60999999999</v>
      </c>
      <c r="G343" s="104">
        <v>182067.93</v>
      </c>
      <c r="H343" s="104">
        <v>182193.65</v>
      </c>
      <c r="I343" s="104">
        <v>150840.19</v>
      </c>
      <c r="J343" s="104">
        <v>111098.64</v>
      </c>
      <c r="K343" s="104">
        <v>125417.59</v>
      </c>
      <c r="L343" s="104">
        <v>107686.16</v>
      </c>
      <c r="M343" s="104">
        <v>124808.15</v>
      </c>
      <c r="N343" s="104">
        <v>165897.54999999999</v>
      </c>
      <c r="O343" s="104">
        <v>134657.09</v>
      </c>
      <c r="P343" s="106">
        <v>1764149.3</v>
      </c>
    </row>
    <row r="344" spans="1:16" customFormat="1" ht="15" hidden="1" thickBot="1" x14ac:dyDescent="0.35">
      <c r="A344" s="103" t="s">
        <v>258</v>
      </c>
      <c r="B344" s="103" t="s">
        <v>345</v>
      </c>
      <c r="C344" s="103" t="s">
        <v>346</v>
      </c>
      <c r="D344" s="108">
        <v>25192.48</v>
      </c>
      <c r="E344" s="108">
        <v>15225.53</v>
      </c>
      <c r="F344" s="108">
        <v>16642.71</v>
      </c>
      <c r="G344" s="108">
        <v>21571.96</v>
      </c>
      <c r="H344" s="108">
        <v>20482.18</v>
      </c>
      <c r="I344" s="108">
        <v>29395.93</v>
      </c>
      <c r="J344" s="108">
        <v>15718.43</v>
      </c>
      <c r="K344" s="108">
        <v>15610</v>
      </c>
      <c r="L344" s="108">
        <v>14873.31</v>
      </c>
      <c r="M344" s="108">
        <v>38702.28</v>
      </c>
      <c r="N344" s="108">
        <v>13482.19</v>
      </c>
      <c r="O344" s="108">
        <v>33414.19</v>
      </c>
      <c r="P344" s="106">
        <v>260311.19</v>
      </c>
    </row>
    <row r="345" spans="1:16" customFormat="1" ht="15" hidden="1" thickBot="1" x14ac:dyDescent="0.35">
      <c r="A345" s="103" t="s">
        <v>173</v>
      </c>
      <c r="B345" s="103" t="s">
        <v>347</v>
      </c>
      <c r="C345" s="103" t="s">
        <v>348</v>
      </c>
      <c r="D345" s="104">
        <v>15994.16</v>
      </c>
      <c r="E345" s="104">
        <v>17160.099999999999</v>
      </c>
      <c r="F345" s="104">
        <v>18211.990000000002</v>
      </c>
      <c r="G345" s="104">
        <v>17771.61</v>
      </c>
      <c r="H345" s="104">
        <v>15169.97</v>
      </c>
      <c r="I345" s="104">
        <v>14860.33</v>
      </c>
      <c r="J345" s="104">
        <v>17293.310000000001</v>
      </c>
      <c r="K345" s="104">
        <v>11271.38</v>
      </c>
      <c r="L345" s="104">
        <v>16649.5</v>
      </c>
      <c r="M345" s="104">
        <v>16380.67</v>
      </c>
      <c r="N345" s="104">
        <v>16394.490000000002</v>
      </c>
      <c r="O345" s="104">
        <v>16719.259999999998</v>
      </c>
      <c r="P345" s="106">
        <v>193876.77</v>
      </c>
    </row>
    <row r="346" spans="1:16" customFormat="1" ht="15" hidden="1" thickBot="1" x14ac:dyDescent="0.35">
      <c r="A346" s="103" t="s">
        <v>258</v>
      </c>
      <c r="B346" s="103" t="s">
        <v>347</v>
      </c>
      <c r="C346" s="103" t="s">
        <v>348</v>
      </c>
      <c r="D346" s="104">
        <v>31565.98</v>
      </c>
      <c r="E346" s="104">
        <v>27027.39</v>
      </c>
      <c r="F346" s="104">
        <v>33887.26</v>
      </c>
      <c r="G346" s="104">
        <v>31755.84</v>
      </c>
      <c r="H346" s="104">
        <v>32212.19</v>
      </c>
      <c r="I346" s="104">
        <v>32545.53</v>
      </c>
      <c r="J346" s="104">
        <v>31868.06</v>
      </c>
      <c r="K346" s="104">
        <v>32545.08</v>
      </c>
      <c r="L346" s="104">
        <v>31401.56</v>
      </c>
      <c r="M346" s="104">
        <v>32185.82</v>
      </c>
      <c r="N346" s="104">
        <v>32331.11</v>
      </c>
      <c r="O346" s="104">
        <v>30919.68</v>
      </c>
      <c r="P346" s="106">
        <v>380245.5</v>
      </c>
    </row>
    <row r="347" spans="1:16" customFormat="1" ht="15" hidden="1" thickBot="1" x14ac:dyDescent="0.35">
      <c r="A347" s="103" t="s">
        <v>173</v>
      </c>
      <c r="B347" s="103" t="s">
        <v>349</v>
      </c>
      <c r="C347" s="103" t="s">
        <v>350</v>
      </c>
      <c r="D347" s="108">
        <v>95125.38</v>
      </c>
      <c r="E347" s="108">
        <v>66962.490000000005</v>
      </c>
      <c r="F347" s="108">
        <v>55764.92</v>
      </c>
      <c r="G347" s="108">
        <v>124366.5</v>
      </c>
      <c r="H347" s="108">
        <v>111604.79</v>
      </c>
      <c r="I347" s="108">
        <v>80107.63</v>
      </c>
      <c r="J347" s="108">
        <v>72890.53</v>
      </c>
      <c r="K347" s="108">
        <v>56265.17</v>
      </c>
      <c r="L347" s="108">
        <v>66037.009999999995</v>
      </c>
      <c r="M347" s="108">
        <v>48956.800000000003</v>
      </c>
      <c r="N347" s="108">
        <v>52224.82</v>
      </c>
      <c r="O347" s="108">
        <v>103192.32000000001</v>
      </c>
      <c r="P347" s="106">
        <v>933498.36</v>
      </c>
    </row>
    <row r="348" spans="1:16" customFormat="1" ht="15" hidden="1" thickBot="1" x14ac:dyDescent="0.35">
      <c r="A348" s="103" t="s">
        <v>258</v>
      </c>
      <c r="B348" s="103" t="s">
        <v>349</v>
      </c>
      <c r="C348" s="103" t="s">
        <v>350</v>
      </c>
      <c r="D348" s="107"/>
      <c r="E348" s="107"/>
      <c r="F348" s="108">
        <v>8884.43</v>
      </c>
      <c r="G348" s="108">
        <v>-250</v>
      </c>
      <c r="H348" s="107"/>
      <c r="I348" s="107"/>
      <c r="J348" s="107"/>
      <c r="K348" s="108">
        <v>221.57</v>
      </c>
      <c r="L348" s="107"/>
      <c r="M348" s="107"/>
      <c r="N348" s="108">
        <v>-7650</v>
      </c>
      <c r="O348" s="110">
        <v>0</v>
      </c>
      <c r="P348" s="106">
        <v>1206</v>
      </c>
    </row>
    <row r="349" spans="1:16" customFormat="1" ht="21" hidden="1" thickBot="1" x14ac:dyDescent="0.35">
      <c r="A349" s="103" t="s">
        <v>173</v>
      </c>
      <c r="B349" s="103" t="s">
        <v>351</v>
      </c>
      <c r="C349" s="103" t="s">
        <v>352</v>
      </c>
      <c r="D349" s="105"/>
      <c r="E349" s="105"/>
      <c r="F349" s="104">
        <v>5840.02</v>
      </c>
      <c r="G349" s="104">
        <v>323.10000000000002</v>
      </c>
      <c r="H349" s="104">
        <v>727.4</v>
      </c>
      <c r="I349" s="104">
        <v>610.07000000000005</v>
      </c>
      <c r="J349" s="104">
        <v>142.05000000000001</v>
      </c>
      <c r="K349" s="104">
        <v>54.99</v>
      </c>
      <c r="L349" s="104">
        <v>26050</v>
      </c>
      <c r="M349" s="104">
        <v>42138.73</v>
      </c>
      <c r="N349" s="104">
        <v>31765.22</v>
      </c>
      <c r="O349" s="104">
        <v>1787.07</v>
      </c>
      <c r="P349" s="106">
        <v>109438.65</v>
      </c>
    </row>
    <row r="350" spans="1:16" customFormat="1" ht="15" hidden="1" thickBot="1" x14ac:dyDescent="0.35">
      <c r="A350" s="103" t="s">
        <v>173</v>
      </c>
      <c r="B350" s="103" t="s">
        <v>353</v>
      </c>
      <c r="C350" s="103" t="s">
        <v>354</v>
      </c>
      <c r="D350" s="107"/>
      <c r="E350" s="107"/>
      <c r="F350" s="107"/>
      <c r="G350" s="107"/>
      <c r="H350" s="107"/>
      <c r="I350" s="107"/>
      <c r="J350" s="107"/>
      <c r="K350" s="107"/>
      <c r="L350" s="107"/>
      <c r="M350" s="107"/>
      <c r="N350" s="107"/>
      <c r="O350" s="108">
        <v>86.26</v>
      </c>
      <c r="P350" s="106">
        <v>86.26</v>
      </c>
    </row>
    <row r="351" spans="1:16" customFormat="1" ht="15" hidden="1" thickBot="1" x14ac:dyDescent="0.35">
      <c r="A351" s="103" t="s">
        <v>258</v>
      </c>
      <c r="B351" s="103" t="s">
        <v>353</v>
      </c>
      <c r="C351" s="103" t="s">
        <v>354</v>
      </c>
      <c r="D351" s="104">
        <v>9544.42</v>
      </c>
      <c r="E351" s="104">
        <v>7793.71</v>
      </c>
      <c r="F351" s="104">
        <v>9858.2099999999991</v>
      </c>
      <c r="G351" s="104">
        <v>9323.93</v>
      </c>
      <c r="H351" s="104">
        <v>10148.219999999999</v>
      </c>
      <c r="I351" s="104">
        <v>8793.4500000000007</v>
      </c>
      <c r="J351" s="104">
        <v>8598.02</v>
      </c>
      <c r="K351" s="104">
        <v>9540.92</v>
      </c>
      <c r="L351" s="104">
        <v>9514.01</v>
      </c>
      <c r="M351" s="104">
        <v>2229.5100000000002</v>
      </c>
      <c r="N351" s="104">
        <v>4197.2700000000004</v>
      </c>
      <c r="O351" s="104">
        <v>9637.0400000000009</v>
      </c>
      <c r="P351" s="106">
        <v>99178.71</v>
      </c>
    </row>
    <row r="352" spans="1:16" customFormat="1" ht="15" hidden="1" thickBot="1" x14ac:dyDescent="0.35">
      <c r="A352" s="103" t="s">
        <v>173</v>
      </c>
      <c r="B352" s="103" t="s">
        <v>355</v>
      </c>
      <c r="C352" s="103" t="s">
        <v>356</v>
      </c>
      <c r="D352" s="104">
        <v>74195.75</v>
      </c>
      <c r="E352" s="104">
        <v>71265.64</v>
      </c>
      <c r="F352" s="104">
        <v>86852.93</v>
      </c>
      <c r="G352" s="104">
        <v>77476.479999999996</v>
      </c>
      <c r="H352" s="104">
        <v>81738.44</v>
      </c>
      <c r="I352" s="104">
        <v>80217.259999999995</v>
      </c>
      <c r="J352" s="104">
        <v>62567.51</v>
      </c>
      <c r="K352" s="104">
        <v>77486.3</v>
      </c>
      <c r="L352" s="104">
        <v>69430.240000000005</v>
      </c>
      <c r="M352" s="104">
        <v>83031.320000000007</v>
      </c>
      <c r="N352" s="104">
        <v>91325.07</v>
      </c>
      <c r="O352" s="104">
        <v>74738.25</v>
      </c>
      <c r="P352" s="106">
        <v>930325.19</v>
      </c>
    </row>
    <row r="353" spans="1:16" customFormat="1" ht="15" hidden="1" thickBot="1" x14ac:dyDescent="0.35">
      <c r="A353" s="103" t="s">
        <v>320</v>
      </c>
      <c r="B353" s="103" t="s">
        <v>357</v>
      </c>
      <c r="C353" s="103" t="s">
        <v>358</v>
      </c>
      <c r="D353" s="107"/>
      <c r="E353" s="107"/>
      <c r="F353" s="110">
        <v>0</v>
      </c>
      <c r="G353" s="107"/>
      <c r="H353" s="107"/>
      <c r="I353" s="107"/>
      <c r="J353" s="107"/>
      <c r="K353" s="107"/>
      <c r="L353" s="107"/>
      <c r="M353" s="107"/>
      <c r="N353" s="107"/>
      <c r="O353" s="107"/>
      <c r="P353" s="109">
        <v>0</v>
      </c>
    </row>
    <row r="354" spans="1:16" customFormat="1" ht="15" hidden="1" thickBot="1" x14ac:dyDescent="0.35">
      <c r="A354" s="103" t="s">
        <v>173</v>
      </c>
      <c r="B354" s="103" t="s">
        <v>357</v>
      </c>
      <c r="C354" s="103" t="s">
        <v>358</v>
      </c>
      <c r="D354" s="108">
        <v>456393.22</v>
      </c>
      <c r="E354" s="108">
        <v>412883.14</v>
      </c>
      <c r="F354" s="108">
        <v>544387.74</v>
      </c>
      <c r="G354" s="108">
        <v>405841.91</v>
      </c>
      <c r="H354" s="108">
        <v>435641.61</v>
      </c>
      <c r="I354" s="108">
        <v>396318.48</v>
      </c>
      <c r="J354" s="108">
        <v>448396.94</v>
      </c>
      <c r="K354" s="108">
        <v>460468.32</v>
      </c>
      <c r="L354" s="108">
        <v>1050134.8500000001</v>
      </c>
      <c r="M354" s="108">
        <v>548242.41</v>
      </c>
      <c r="N354" s="108">
        <v>529410.53</v>
      </c>
      <c r="O354" s="108">
        <v>465298.25</v>
      </c>
      <c r="P354" s="106">
        <v>6153417.4000000004</v>
      </c>
    </row>
    <row r="355" spans="1:16" customFormat="1" ht="15" hidden="1" thickBot="1" x14ac:dyDescent="0.35">
      <c r="A355" s="103" t="s">
        <v>174</v>
      </c>
      <c r="B355" s="103" t="s">
        <v>357</v>
      </c>
      <c r="C355" s="103" t="s">
        <v>358</v>
      </c>
      <c r="D355" s="105"/>
      <c r="E355" s="105"/>
      <c r="F355" s="105"/>
      <c r="G355" s="104">
        <v>1042.92</v>
      </c>
      <c r="H355" s="105"/>
      <c r="I355" s="105"/>
      <c r="J355" s="105"/>
      <c r="K355" s="105"/>
      <c r="L355" s="105"/>
      <c r="M355" s="105"/>
      <c r="N355" s="105"/>
      <c r="O355" s="105"/>
      <c r="P355" s="106">
        <v>1042.92</v>
      </c>
    </row>
    <row r="356" spans="1:16" customFormat="1" ht="15" hidden="1" thickBot="1" x14ac:dyDescent="0.35">
      <c r="A356" s="103" t="s">
        <v>165</v>
      </c>
      <c r="B356" s="103" t="s">
        <v>359</v>
      </c>
      <c r="C356" s="103" t="s">
        <v>360</v>
      </c>
      <c r="D356" s="104">
        <v>23960.46</v>
      </c>
      <c r="E356" s="104">
        <v>24149.88</v>
      </c>
      <c r="F356" s="104">
        <v>25102.59</v>
      </c>
      <c r="G356" s="104">
        <v>22471.279999999999</v>
      </c>
      <c r="H356" s="104">
        <v>23123.99</v>
      </c>
      <c r="I356" s="104">
        <v>22888.76</v>
      </c>
      <c r="J356" s="104">
        <v>23811.91</v>
      </c>
      <c r="K356" s="104">
        <v>24531.38</v>
      </c>
      <c r="L356" s="104">
        <v>25295.98</v>
      </c>
      <c r="M356" s="104">
        <v>20559.77</v>
      </c>
      <c r="N356" s="104">
        <v>23937.37</v>
      </c>
      <c r="O356" s="104">
        <v>23188.48</v>
      </c>
      <c r="P356" s="106">
        <v>283021.84999999998</v>
      </c>
    </row>
    <row r="357" spans="1:16" customFormat="1" ht="15" hidden="1" thickBot="1" x14ac:dyDescent="0.35">
      <c r="A357" s="103" t="s">
        <v>173</v>
      </c>
      <c r="B357" s="103" t="s">
        <v>359</v>
      </c>
      <c r="C357" s="103" t="s">
        <v>360</v>
      </c>
      <c r="D357" s="104">
        <v>378498.46</v>
      </c>
      <c r="E357" s="104">
        <v>400335.03</v>
      </c>
      <c r="F357" s="104">
        <v>356103.4</v>
      </c>
      <c r="G357" s="104">
        <v>401512.32</v>
      </c>
      <c r="H357" s="104">
        <v>324366.7</v>
      </c>
      <c r="I357" s="104">
        <v>334417.8</v>
      </c>
      <c r="J357" s="104">
        <v>298545.5</v>
      </c>
      <c r="K357" s="104">
        <v>340875.64</v>
      </c>
      <c r="L357" s="104">
        <v>277329.51</v>
      </c>
      <c r="M357" s="104">
        <v>289573.88</v>
      </c>
      <c r="N357" s="104">
        <v>287807.42</v>
      </c>
      <c r="O357" s="104">
        <v>275787.34000000003</v>
      </c>
      <c r="P357" s="106">
        <v>3965153</v>
      </c>
    </row>
    <row r="358" spans="1:16" customFormat="1" ht="15" hidden="1" thickBot="1" x14ac:dyDescent="0.35">
      <c r="A358" s="103" t="s">
        <v>166</v>
      </c>
      <c r="B358" s="103" t="s">
        <v>361</v>
      </c>
      <c r="C358" s="103" t="s">
        <v>362</v>
      </c>
      <c r="D358" s="104">
        <v>161.97999999999999</v>
      </c>
      <c r="E358" s="105"/>
      <c r="F358" s="105"/>
      <c r="G358" s="105"/>
      <c r="H358" s="104">
        <v>27</v>
      </c>
      <c r="I358" s="105"/>
      <c r="J358" s="105"/>
      <c r="K358" s="105"/>
      <c r="L358" s="105"/>
      <c r="M358" s="105"/>
      <c r="N358" s="105"/>
      <c r="O358" s="105"/>
      <c r="P358" s="106">
        <v>188.98</v>
      </c>
    </row>
    <row r="359" spans="1:16" customFormat="1" ht="15" hidden="1" thickBot="1" x14ac:dyDescent="0.35">
      <c r="A359" s="103" t="s">
        <v>173</v>
      </c>
      <c r="B359" s="103" t="s">
        <v>361</v>
      </c>
      <c r="C359" s="103" t="s">
        <v>362</v>
      </c>
      <c r="D359" s="108">
        <v>220995.58</v>
      </c>
      <c r="E359" s="108">
        <v>111572.31</v>
      </c>
      <c r="F359" s="108">
        <v>110010.31</v>
      </c>
      <c r="G359" s="108">
        <v>173706.29</v>
      </c>
      <c r="H359" s="108">
        <v>151259.44</v>
      </c>
      <c r="I359" s="108">
        <v>383853.63</v>
      </c>
      <c r="J359" s="108">
        <v>313780.02</v>
      </c>
      <c r="K359" s="108">
        <v>357661.31</v>
      </c>
      <c r="L359" s="108">
        <v>276957.21000000002</v>
      </c>
      <c r="M359" s="108">
        <v>158459.63</v>
      </c>
      <c r="N359" s="108">
        <v>171655.08</v>
      </c>
      <c r="O359" s="108">
        <v>219311.77</v>
      </c>
      <c r="P359" s="106">
        <v>2649222.58</v>
      </c>
    </row>
    <row r="360" spans="1:16" customFormat="1" ht="15" hidden="1" thickBot="1" x14ac:dyDescent="0.35">
      <c r="A360" s="103" t="s">
        <v>174</v>
      </c>
      <c r="B360" s="103" t="s">
        <v>361</v>
      </c>
      <c r="C360" s="103" t="s">
        <v>362</v>
      </c>
      <c r="D360" s="108">
        <v>-1789.5</v>
      </c>
      <c r="E360" s="108">
        <v>-393.5</v>
      </c>
      <c r="F360" s="108">
        <v>393.5</v>
      </c>
      <c r="G360" s="107"/>
      <c r="H360" s="107"/>
      <c r="I360" s="107"/>
      <c r="J360" s="107"/>
      <c r="K360" s="107"/>
      <c r="L360" s="107"/>
      <c r="M360" s="107"/>
      <c r="N360" s="107"/>
      <c r="O360" s="107"/>
      <c r="P360" s="106">
        <v>-1789.5</v>
      </c>
    </row>
    <row r="361" spans="1:16" customFormat="1" ht="15" hidden="1" thickBot="1" x14ac:dyDescent="0.35">
      <c r="A361" s="103" t="s">
        <v>173</v>
      </c>
      <c r="B361" s="103" t="s">
        <v>363</v>
      </c>
      <c r="C361" s="103" t="s">
        <v>364</v>
      </c>
      <c r="D361" s="105"/>
      <c r="E361" s="104">
        <v>512.5</v>
      </c>
      <c r="F361" s="104">
        <v>9.5</v>
      </c>
      <c r="G361" s="105"/>
      <c r="H361" s="105"/>
      <c r="I361" s="104">
        <v>639.4</v>
      </c>
      <c r="J361" s="105"/>
      <c r="K361" s="105"/>
      <c r="L361" s="104">
        <v>748.08</v>
      </c>
      <c r="M361" s="104">
        <v>206.89</v>
      </c>
      <c r="N361" s="105"/>
      <c r="O361" s="105"/>
      <c r="P361" s="106">
        <v>2116.37</v>
      </c>
    </row>
    <row r="362" spans="1:16" customFormat="1" ht="15" hidden="1" thickBot="1" x14ac:dyDescent="0.35">
      <c r="A362" s="103" t="s">
        <v>173</v>
      </c>
      <c r="B362" s="103" t="s">
        <v>365</v>
      </c>
      <c r="C362" s="103" t="s">
        <v>366</v>
      </c>
      <c r="D362" s="108">
        <v>192294.53</v>
      </c>
      <c r="E362" s="108">
        <v>199461.55</v>
      </c>
      <c r="F362" s="108">
        <v>197334.47</v>
      </c>
      <c r="G362" s="108">
        <v>195624.43</v>
      </c>
      <c r="H362" s="108">
        <v>193711.62</v>
      </c>
      <c r="I362" s="108">
        <v>188015.48</v>
      </c>
      <c r="J362" s="108">
        <v>172264.16</v>
      </c>
      <c r="K362" s="108">
        <v>206872.92</v>
      </c>
      <c r="L362" s="108">
        <v>177343.71</v>
      </c>
      <c r="M362" s="108">
        <v>189658.08</v>
      </c>
      <c r="N362" s="108">
        <v>180963.03</v>
      </c>
      <c r="O362" s="108">
        <v>214989.3</v>
      </c>
      <c r="P362" s="106">
        <v>2308533.2799999998</v>
      </c>
    </row>
    <row r="363" spans="1:16" customFormat="1" ht="15" hidden="1" thickBot="1" x14ac:dyDescent="0.35">
      <c r="A363" s="103" t="s">
        <v>173</v>
      </c>
      <c r="B363" s="103" t="s">
        <v>367</v>
      </c>
      <c r="C363" s="103" t="s">
        <v>368</v>
      </c>
      <c r="D363" s="104">
        <v>58047.6</v>
      </c>
      <c r="E363" s="104">
        <v>61370.23</v>
      </c>
      <c r="F363" s="104">
        <v>22366.3</v>
      </c>
      <c r="G363" s="104">
        <v>55873.21</v>
      </c>
      <c r="H363" s="104">
        <v>57466.41</v>
      </c>
      <c r="I363" s="104">
        <v>67075.63</v>
      </c>
      <c r="J363" s="104">
        <v>63127.92</v>
      </c>
      <c r="K363" s="104">
        <v>57291.64</v>
      </c>
      <c r="L363" s="104">
        <v>55551.06</v>
      </c>
      <c r="M363" s="104">
        <v>64716.24</v>
      </c>
      <c r="N363" s="104">
        <v>52182.9</v>
      </c>
      <c r="O363" s="104">
        <v>77680.149999999994</v>
      </c>
      <c r="P363" s="106">
        <v>692749.29</v>
      </c>
    </row>
    <row r="364" spans="1:16" customFormat="1" ht="15" hidden="1" thickBot="1" x14ac:dyDescent="0.35">
      <c r="A364" s="103" t="s">
        <v>247</v>
      </c>
      <c r="B364" s="103" t="s">
        <v>367</v>
      </c>
      <c r="C364" s="103" t="s">
        <v>368</v>
      </c>
      <c r="D364" s="105"/>
      <c r="E364" s="105"/>
      <c r="F364" s="105"/>
      <c r="G364" s="105"/>
      <c r="H364" s="105"/>
      <c r="I364" s="104">
        <v>136.94</v>
      </c>
      <c r="J364" s="105"/>
      <c r="K364" s="105"/>
      <c r="L364" s="105"/>
      <c r="M364" s="105"/>
      <c r="N364" s="105"/>
      <c r="O364" s="105"/>
      <c r="P364" s="106">
        <v>136.94</v>
      </c>
    </row>
    <row r="365" spans="1:16" customFormat="1" ht="15" hidden="1" thickBot="1" x14ac:dyDescent="0.35">
      <c r="A365" s="103" t="s">
        <v>173</v>
      </c>
      <c r="B365" s="103" t="s">
        <v>369</v>
      </c>
      <c r="C365" s="103" t="s">
        <v>370</v>
      </c>
      <c r="D365" s="108">
        <v>115012.58</v>
      </c>
      <c r="E365" s="108">
        <v>114993.1</v>
      </c>
      <c r="F365" s="108">
        <v>135143.26999999999</v>
      </c>
      <c r="G365" s="108">
        <v>120449.83</v>
      </c>
      <c r="H365" s="108">
        <v>112153.72</v>
      </c>
      <c r="I365" s="108">
        <v>175002.36</v>
      </c>
      <c r="J365" s="108">
        <v>127634.42</v>
      </c>
      <c r="K365" s="108">
        <v>122693.55</v>
      </c>
      <c r="L365" s="108">
        <v>139547.95000000001</v>
      </c>
      <c r="M365" s="108">
        <v>123224.04</v>
      </c>
      <c r="N365" s="108">
        <v>238054.44</v>
      </c>
      <c r="O365" s="108">
        <v>299060.5</v>
      </c>
      <c r="P365" s="106">
        <v>1822969.76</v>
      </c>
    </row>
    <row r="366" spans="1:16" customFormat="1" ht="15" hidden="1" thickBot="1" x14ac:dyDescent="0.35">
      <c r="A366" s="103" t="s">
        <v>172</v>
      </c>
      <c r="B366" s="103" t="s">
        <v>371</v>
      </c>
      <c r="C366" s="103" t="s">
        <v>372</v>
      </c>
      <c r="D366" s="107"/>
      <c r="E366" s="107"/>
      <c r="F366" s="107"/>
      <c r="G366" s="107"/>
      <c r="H366" s="108">
        <v>116.2</v>
      </c>
      <c r="I366" s="107"/>
      <c r="J366" s="107"/>
      <c r="K366" s="107"/>
      <c r="L366" s="107"/>
      <c r="M366" s="107"/>
      <c r="N366" s="107"/>
      <c r="O366" s="107"/>
      <c r="P366" s="106">
        <v>116.2</v>
      </c>
    </row>
    <row r="367" spans="1:16" customFormat="1" ht="15" hidden="1" thickBot="1" x14ac:dyDescent="0.35">
      <c r="A367" s="103" t="s">
        <v>173</v>
      </c>
      <c r="B367" s="103" t="s">
        <v>371</v>
      </c>
      <c r="C367" s="103" t="s">
        <v>372</v>
      </c>
      <c r="D367" s="104">
        <v>49836.12</v>
      </c>
      <c r="E367" s="104">
        <v>56230.01</v>
      </c>
      <c r="F367" s="104">
        <v>60583.72</v>
      </c>
      <c r="G367" s="104">
        <v>51955.83</v>
      </c>
      <c r="H367" s="104">
        <v>45435</v>
      </c>
      <c r="I367" s="104">
        <v>47171.96</v>
      </c>
      <c r="J367" s="104">
        <v>57884.76</v>
      </c>
      <c r="K367" s="104">
        <v>63570.48</v>
      </c>
      <c r="L367" s="104">
        <v>49536.46</v>
      </c>
      <c r="M367" s="104">
        <v>69206.81</v>
      </c>
      <c r="N367" s="104">
        <v>88811.14</v>
      </c>
      <c r="O367" s="104">
        <v>94438.88</v>
      </c>
      <c r="P367" s="106">
        <v>734661.17</v>
      </c>
    </row>
    <row r="368" spans="1:16" customFormat="1" ht="15" hidden="1" thickBot="1" x14ac:dyDescent="0.35">
      <c r="A368" s="103" t="s">
        <v>182</v>
      </c>
      <c r="B368" s="103" t="s">
        <v>373</v>
      </c>
      <c r="C368" s="103" t="s">
        <v>374</v>
      </c>
      <c r="D368" s="107"/>
      <c r="E368" s="108">
        <v>2790</v>
      </c>
      <c r="F368" s="107"/>
      <c r="G368" s="107"/>
      <c r="H368" s="107"/>
      <c r="I368" s="107"/>
      <c r="J368" s="107"/>
      <c r="K368" s="107"/>
      <c r="L368" s="107"/>
      <c r="M368" s="107"/>
      <c r="N368" s="107"/>
      <c r="O368" s="107"/>
      <c r="P368" s="106">
        <v>2790</v>
      </c>
    </row>
    <row r="369" spans="1:16" customFormat="1" ht="15" hidden="1" thickBot="1" x14ac:dyDescent="0.35">
      <c r="A369" s="103" t="s">
        <v>171</v>
      </c>
      <c r="B369" s="103" t="s">
        <v>373</v>
      </c>
      <c r="C369" s="103" t="s">
        <v>374</v>
      </c>
      <c r="D369" s="107"/>
      <c r="E369" s="107"/>
      <c r="F369" s="107"/>
      <c r="G369" s="107"/>
      <c r="H369" s="107"/>
      <c r="I369" s="107"/>
      <c r="J369" s="107"/>
      <c r="K369" s="108">
        <v>154.75</v>
      </c>
      <c r="L369" s="107"/>
      <c r="M369" s="107"/>
      <c r="N369" s="107"/>
      <c r="O369" s="107"/>
      <c r="P369" s="106">
        <v>154.75</v>
      </c>
    </row>
    <row r="370" spans="1:16" customFormat="1" ht="15" hidden="1" thickBot="1" x14ac:dyDescent="0.35">
      <c r="A370" s="103" t="s">
        <v>173</v>
      </c>
      <c r="B370" s="103" t="s">
        <v>373</v>
      </c>
      <c r="C370" s="103" t="s">
        <v>374</v>
      </c>
      <c r="D370" s="108">
        <v>91333.6</v>
      </c>
      <c r="E370" s="108">
        <v>59657.61</v>
      </c>
      <c r="F370" s="108">
        <v>106858.88</v>
      </c>
      <c r="G370" s="108">
        <v>61261.42</v>
      </c>
      <c r="H370" s="108">
        <v>58334.66</v>
      </c>
      <c r="I370" s="108">
        <v>62200.28</v>
      </c>
      <c r="J370" s="108">
        <v>57871.76</v>
      </c>
      <c r="K370" s="108">
        <v>63404.66</v>
      </c>
      <c r="L370" s="108">
        <v>56609.8</v>
      </c>
      <c r="M370" s="108">
        <v>60661.73</v>
      </c>
      <c r="N370" s="108">
        <v>56351.09</v>
      </c>
      <c r="O370" s="108">
        <v>51715.73</v>
      </c>
      <c r="P370" s="106">
        <v>786261.22</v>
      </c>
    </row>
    <row r="371" spans="1:16" customFormat="1" ht="15" hidden="1" thickBot="1" x14ac:dyDescent="0.35">
      <c r="A371" s="103" t="s">
        <v>171</v>
      </c>
      <c r="B371" s="103" t="s">
        <v>375</v>
      </c>
      <c r="C371" s="103" t="s">
        <v>376</v>
      </c>
      <c r="D371" s="104">
        <v>693.73</v>
      </c>
      <c r="E371" s="104">
        <v>584.27</v>
      </c>
      <c r="F371" s="104">
        <v>580.46</v>
      </c>
      <c r="G371" s="104">
        <v>766.29</v>
      </c>
      <c r="H371" s="104">
        <v>463.59</v>
      </c>
      <c r="I371" s="104">
        <v>837.99</v>
      </c>
      <c r="J371" s="104">
        <v>371.69</v>
      </c>
      <c r="K371" s="104">
        <v>557.41999999999996</v>
      </c>
      <c r="L371" s="104">
        <v>405.03</v>
      </c>
      <c r="M371" s="104">
        <v>250.69</v>
      </c>
      <c r="N371" s="104">
        <v>875.63</v>
      </c>
      <c r="O371" s="104">
        <v>559.91999999999996</v>
      </c>
      <c r="P371" s="106">
        <v>6946.71</v>
      </c>
    </row>
    <row r="372" spans="1:16" customFormat="1" ht="15" hidden="1" thickBot="1" x14ac:dyDescent="0.35">
      <c r="A372" s="103" t="s">
        <v>173</v>
      </c>
      <c r="B372" s="103" t="s">
        <v>375</v>
      </c>
      <c r="C372" s="103" t="s">
        <v>376</v>
      </c>
      <c r="D372" s="104">
        <v>44127.73</v>
      </c>
      <c r="E372" s="104">
        <v>40021.53</v>
      </c>
      <c r="F372" s="104">
        <v>46242.13</v>
      </c>
      <c r="G372" s="104">
        <v>41836.65</v>
      </c>
      <c r="H372" s="104">
        <v>42836.59</v>
      </c>
      <c r="I372" s="104">
        <v>35042.980000000003</v>
      </c>
      <c r="J372" s="104">
        <v>52281.22</v>
      </c>
      <c r="K372" s="104">
        <v>49279.89</v>
      </c>
      <c r="L372" s="104">
        <v>40809.67</v>
      </c>
      <c r="M372" s="104">
        <v>47916.18</v>
      </c>
      <c r="N372" s="104">
        <v>46406.19</v>
      </c>
      <c r="O372" s="104">
        <v>39075.42</v>
      </c>
      <c r="P372" s="106">
        <v>525876.18000000005</v>
      </c>
    </row>
    <row r="373" spans="1:16" customFormat="1" ht="15" hidden="1" thickBot="1" x14ac:dyDescent="0.35">
      <c r="A373" s="103" t="s">
        <v>247</v>
      </c>
      <c r="B373" s="103" t="s">
        <v>375</v>
      </c>
      <c r="C373" s="103" t="s">
        <v>376</v>
      </c>
      <c r="D373" s="107"/>
      <c r="E373" s="107"/>
      <c r="F373" s="107"/>
      <c r="G373" s="107"/>
      <c r="H373" s="107"/>
      <c r="I373" s="107"/>
      <c r="J373" s="108">
        <v>154.57</v>
      </c>
      <c r="K373" s="107"/>
      <c r="L373" s="107"/>
      <c r="M373" s="107"/>
      <c r="N373" s="107"/>
      <c r="O373" s="107"/>
      <c r="P373" s="106">
        <v>154.57</v>
      </c>
    </row>
    <row r="374" spans="1:16" customFormat="1" ht="15" hidden="1" thickBot="1" x14ac:dyDescent="0.35">
      <c r="A374" s="103" t="s">
        <v>173</v>
      </c>
      <c r="B374" s="103" t="s">
        <v>377</v>
      </c>
      <c r="C374" s="103" t="s">
        <v>378</v>
      </c>
      <c r="D374" s="108">
        <v>35351.64</v>
      </c>
      <c r="E374" s="108">
        <v>38819.01</v>
      </c>
      <c r="F374" s="108">
        <v>45820.14</v>
      </c>
      <c r="G374" s="108">
        <v>36920.57</v>
      </c>
      <c r="H374" s="108">
        <v>36202.980000000003</v>
      </c>
      <c r="I374" s="108">
        <v>44634.78</v>
      </c>
      <c r="J374" s="108">
        <v>81668.539999999994</v>
      </c>
      <c r="K374" s="108">
        <v>45059.83</v>
      </c>
      <c r="L374" s="108">
        <v>98450.36</v>
      </c>
      <c r="M374" s="108">
        <v>38031.360000000001</v>
      </c>
      <c r="N374" s="108">
        <v>36133.4</v>
      </c>
      <c r="O374" s="108">
        <v>63341.14</v>
      </c>
      <c r="P374" s="106">
        <v>600433.75</v>
      </c>
    </row>
    <row r="375" spans="1:16" customFormat="1" ht="15" hidden="1" thickBot="1" x14ac:dyDescent="0.35">
      <c r="A375" s="103" t="s">
        <v>171</v>
      </c>
      <c r="B375" s="103" t="s">
        <v>379</v>
      </c>
      <c r="C375" s="103" t="s">
        <v>380</v>
      </c>
      <c r="D375" s="108">
        <v>9819.7099999999991</v>
      </c>
      <c r="E375" s="108">
        <v>10412.5</v>
      </c>
      <c r="F375" s="108">
        <v>9960.7199999999993</v>
      </c>
      <c r="G375" s="108">
        <v>10722.66</v>
      </c>
      <c r="H375" s="108">
        <v>9420.64</v>
      </c>
      <c r="I375" s="108">
        <v>9119.67</v>
      </c>
      <c r="J375" s="108">
        <v>10078.27</v>
      </c>
      <c r="K375" s="108">
        <v>10200.92</v>
      </c>
      <c r="L375" s="108">
        <v>10020.61</v>
      </c>
      <c r="M375" s="108">
        <v>8887.83</v>
      </c>
      <c r="N375" s="108">
        <v>10263.89</v>
      </c>
      <c r="O375" s="108">
        <v>10138.629999999999</v>
      </c>
      <c r="P375" s="106">
        <v>119046.05</v>
      </c>
    </row>
    <row r="376" spans="1:16" customFormat="1" ht="15" hidden="1" thickBot="1" x14ac:dyDescent="0.35">
      <c r="A376" s="103" t="s">
        <v>173</v>
      </c>
      <c r="B376" s="103" t="s">
        <v>379</v>
      </c>
      <c r="C376" s="103" t="s">
        <v>380</v>
      </c>
      <c r="D376" s="104">
        <v>327874.68</v>
      </c>
      <c r="E376" s="104">
        <v>300643.71000000002</v>
      </c>
      <c r="F376" s="104">
        <v>282809.46999999997</v>
      </c>
      <c r="G376" s="104">
        <v>332200.65000000002</v>
      </c>
      <c r="H376" s="104">
        <v>254330.8</v>
      </c>
      <c r="I376" s="104">
        <v>206986.7</v>
      </c>
      <c r="J376" s="104">
        <v>202247.52</v>
      </c>
      <c r="K376" s="104">
        <v>253812.21</v>
      </c>
      <c r="L376" s="104">
        <v>305810.21000000002</v>
      </c>
      <c r="M376" s="104">
        <v>214564.08</v>
      </c>
      <c r="N376" s="104">
        <v>340751.26</v>
      </c>
      <c r="O376" s="104">
        <v>274232.3</v>
      </c>
      <c r="P376" s="106">
        <v>3296263.59</v>
      </c>
    </row>
    <row r="377" spans="1:16" customFormat="1" ht="15" hidden="1" thickBot="1" x14ac:dyDescent="0.35">
      <c r="A377" s="103" t="s">
        <v>173</v>
      </c>
      <c r="B377" s="103" t="s">
        <v>381</v>
      </c>
      <c r="C377" s="103" t="s">
        <v>382</v>
      </c>
      <c r="D377" s="108">
        <v>38270.69</v>
      </c>
      <c r="E377" s="108">
        <v>35626.199999999997</v>
      </c>
      <c r="F377" s="108">
        <v>36231.089999999997</v>
      </c>
      <c r="G377" s="108">
        <v>34562.080000000002</v>
      </c>
      <c r="H377" s="108">
        <v>40479.19</v>
      </c>
      <c r="I377" s="108">
        <v>35940.06</v>
      </c>
      <c r="J377" s="108">
        <v>33228.589999999997</v>
      </c>
      <c r="K377" s="108">
        <v>61412.74</v>
      </c>
      <c r="L377" s="108">
        <v>34668.06</v>
      </c>
      <c r="M377" s="108">
        <v>46118.42</v>
      </c>
      <c r="N377" s="108">
        <v>32322.12</v>
      </c>
      <c r="O377" s="108">
        <v>32059.48</v>
      </c>
      <c r="P377" s="106">
        <v>460918.72</v>
      </c>
    </row>
    <row r="378" spans="1:16" customFormat="1" ht="15" hidden="1" thickBot="1" x14ac:dyDescent="0.35">
      <c r="A378" s="103" t="s">
        <v>173</v>
      </c>
      <c r="B378" s="103" t="s">
        <v>383</v>
      </c>
      <c r="C378" s="103" t="s">
        <v>384</v>
      </c>
      <c r="D378" s="104">
        <v>38682.79</v>
      </c>
      <c r="E378" s="104">
        <v>43387.56</v>
      </c>
      <c r="F378" s="104">
        <v>34298.97</v>
      </c>
      <c r="G378" s="104">
        <v>43330.1</v>
      </c>
      <c r="H378" s="104">
        <v>42915.01</v>
      </c>
      <c r="I378" s="104">
        <v>42641.21</v>
      </c>
      <c r="J378" s="104">
        <v>42703.62</v>
      </c>
      <c r="K378" s="104">
        <v>33101.949999999997</v>
      </c>
      <c r="L378" s="104">
        <v>38664.29</v>
      </c>
      <c r="M378" s="104">
        <v>39023.54</v>
      </c>
      <c r="N378" s="104">
        <v>37213.96</v>
      </c>
      <c r="O378" s="104">
        <v>38659.699999999997</v>
      </c>
      <c r="P378" s="106">
        <v>474622.7</v>
      </c>
    </row>
    <row r="379" spans="1:16" customFormat="1" ht="21" hidden="1" thickBot="1" x14ac:dyDescent="0.35">
      <c r="A379" s="103" t="s">
        <v>173</v>
      </c>
      <c r="B379" s="103" t="s">
        <v>385</v>
      </c>
      <c r="C379" s="103" t="s">
        <v>386</v>
      </c>
      <c r="D379" s="108">
        <v>69046.28</v>
      </c>
      <c r="E379" s="108">
        <v>84063.18</v>
      </c>
      <c r="F379" s="108">
        <v>79272.570000000007</v>
      </c>
      <c r="G379" s="108">
        <v>72791.66</v>
      </c>
      <c r="H379" s="108">
        <v>43033.23</v>
      </c>
      <c r="I379" s="108">
        <v>49358.38</v>
      </c>
      <c r="J379" s="108">
        <v>81973.27</v>
      </c>
      <c r="K379" s="108">
        <v>92735</v>
      </c>
      <c r="L379" s="108">
        <v>-16075.83</v>
      </c>
      <c r="M379" s="108">
        <v>112320.11</v>
      </c>
      <c r="N379" s="108">
        <v>91713.05</v>
      </c>
      <c r="O379" s="108">
        <v>-29232.25</v>
      </c>
      <c r="P379" s="106">
        <v>730998.65</v>
      </c>
    </row>
    <row r="380" spans="1:16" customFormat="1" ht="15" hidden="1" thickBot="1" x14ac:dyDescent="0.35">
      <c r="A380" s="103" t="s">
        <v>173</v>
      </c>
      <c r="B380" s="103" t="s">
        <v>387</v>
      </c>
      <c r="C380" s="103" t="s">
        <v>388</v>
      </c>
      <c r="D380" s="104">
        <v>82592.53</v>
      </c>
      <c r="E380" s="104">
        <v>86504.39</v>
      </c>
      <c r="F380" s="104">
        <v>75361.37</v>
      </c>
      <c r="G380" s="104">
        <v>92504.17</v>
      </c>
      <c r="H380" s="104">
        <v>86020.38</v>
      </c>
      <c r="I380" s="104">
        <v>79699.009999999995</v>
      </c>
      <c r="J380" s="104">
        <v>80485.25</v>
      </c>
      <c r="K380" s="104">
        <v>80973.649999999994</v>
      </c>
      <c r="L380" s="104">
        <v>86202.64</v>
      </c>
      <c r="M380" s="104">
        <v>88993.16</v>
      </c>
      <c r="N380" s="104">
        <v>93587.88</v>
      </c>
      <c r="O380" s="104">
        <v>90988.96</v>
      </c>
      <c r="P380" s="106">
        <v>1023913.39</v>
      </c>
    </row>
    <row r="381" spans="1:16" customFormat="1" ht="15" hidden="1" thickBot="1" x14ac:dyDescent="0.35">
      <c r="A381" s="103" t="s">
        <v>188</v>
      </c>
      <c r="B381" s="103" t="s">
        <v>389</v>
      </c>
      <c r="C381" s="103" t="s">
        <v>390</v>
      </c>
      <c r="D381" s="104">
        <v>3152.77</v>
      </c>
      <c r="E381" s="104">
        <v>-3187.01</v>
      </c>
      <c r="F381" s="104">
        <v>4813.57</v>
      </c>
      <c r="G381" s="104">
        <v>3974.18</v>
      </c>
      <c r="H381" s="104">
        <v>18637.5</v>
      </c>
      <c r="I381" s="104">
        <v>18023.759999999998</v>
      </c>
      <c r="J381" s="104">
        <v>4776.99</v>
      </c>
      <c r="K381" s="104">
        <v>8411.77</v>
      </c>
      <c r="L381" s="104">
        <v>7076.49</v>
      </c>
      <c r="M381" s="104">
        <v>5241.87</v>
      </c>
      <c r="N381" s="104">
        <v>4073.99</v>
      </c>
      <c r="O381" s="104">
        <v>95151.39</v>
      </c>
      <c r="P381" s="106">
        <v>170147.27</v>
      </c>
    </row>
    <row r="382" spans="1:16" customFormat="1" ht="15" hidden="1" thickBot="1" x14ac:dyDescent="0.35">
      <c r="A382" s="103" t="s">
        <v>173</v>
      </c>
      <c r="B382" s="103" t="s">
        <v>389</v>
      </c>
      <c r="C382" s="103" t="s">
        <v>390</v>
      </c>
      <c r="D382" s="108">
        <v>50081.96</v>
      </c>
      <c r="E382" s="108">
        <v>68472.41</v>
      </c>
      <c r="F382" s="108">
        <v>158066.49</v>
      </c>
      <c r="G382" s="108">
        <v>128030.85</v>
      </c>
      <c r="H382" s="108">
        <v>103121.3</v>
      </c>
      <c r="I382" s="108">
        <v>189286.42</v>
      </c>
      <c r="J382" s="108">
        <v>35840.46</v>
      </c>
      <c r="K382" s="108">
        <v>51259.75</v>
      </c>
      <c r="L382" s="108">
        <v>54054.61</v>
      </c>
      <c r="M382" s="108">
        <v>71292.56</v>
      </c>
      <c r="N382" s="108">
        <v>67342.559999999998</v>
      </c>
      <c r="O382" s="108">
        <v>146793.29999999999</v>
      </c>
      <c r="P382" s="106">
        <v>1123642.67</v>
      </c>
    </row>
    <row r="383" spans="1:16" customFormat="1" ht="15" hidden="1" thickBot="1" x14ac:dyDescent="0.35">
      <c r="A383" s="103" t="s">
        <v>247</v>
      </c>
      <c r="B383" s="103" t="s">
        <v>389</v>
      </c>
      <c r="C383" s="103" t="s">
        <v>390</v>
      </c>
      <c r="D383" s="105"/>
      <c r="E383" s="105"/>
      <c r="F383" s="105"/>
      <c r="G383" s="105"/>
      <c r="H383" s="105"/>
      <c r="I383" s="105"/>
      <c r="J383" s="105"/>
      <c r="K383" s="105"/>
      <c r="L383" s="104">
        <v>35.85</v>
      </c>
      <c r="M383" s="105"/>
      <c r="N383" s="105"/>
      <c r="O383" s="105"/>
      <c r="P383" s="106">
        <v>35.85</v>
      </c>
    </row>
    <row r="384" spans="1:16" customFormat="1" ht="15" hidden="1" thickBot="1" x14ac:dyDescent="0.35">
      <c r="A384" s="103" t="s">
        <v>172</v>
      </c>
      <c r="B384" s="103" t="s">
        <v>391</v>
      </c>
      <c r="C384" s="103" t="s">
        <v>392</v>
      </c>
      <c r="D384" s="105"/>
      <c r="E384" s="105"/>
      <c r="F384" s="105"/>
      <c r="G384" s="105"/>
      <c r="H384" s="105"/>
      <c r="I384" s="105"/>
      <c r="J384" s="105"/>
      <c r="K384" s="104">
        <v>14.07</v>
      </c>
      <c r="L384" s="105"/>
      <c r="M384" s="105"/>
      <c r="N384" s="105"/>
      <c r="O384" s="105"/>
      <c r="P384" s="106">
        <v>14.07</v>
      </c>
    </row>
    <row r="385" spans="1:16" customFormat="1" ht="15" hidden="1" thickBot="1" x14ac:dyDescent="0.35">
      <c r="A385" s="103" t="s">
        <v>173</v>
      </c>
      <c r="B385" s="103" t="s">
        <v>391</v>
      </c>
      <c r="C385" s="103" t="s">
        <v>392</v>
      </c>
      <c r="D385" s="104">
        <v>189.58</v>
      </c>
      <c r="E385" s="104">
        <v>13669.37</v>
      </c>
      <c r="F385" s="104">
        <v>15025.33</v>
      </c>
      <c r="G385" s="104">
        <v>14109.88</v>
      </c>
      <c r="H385" s="104">
        <v>14490.79</v>
      </c>
      <c r="I385" s="104">
        <v>15439.54</v>
      </c>
      <c r="J385" s="104">
        <v>12804.92</v>
      </c>
      <c r="K385" s="104">
        <v>5446.24</v>
      </c>
      <c r="L385" s="104">
        <v>15450.97</v>
      </c>
      <c r="M385" s="104">
        <v>21078.1</v>
      </c>
      <c r="N385" s="104">
        <v>18781.68</v>
      </c>
      <c r="O385" s="104">
        <v>34819.43</v>
      </c>
      <c r="P385" s="106">
        <v>181305.83</v>
      </c>
    </row>
    <row r="386" spans="1:16" customFormat="1" ht="15" hidden="1" thickBot="1" x14ac:dyDescent="0.35">
      <c r="A386" s="103" t="s">
        <v>247</v>
      </c>
      <c r="B386" s="103" t="s">
        <v>391</v>
      </c>
      <c r="C386" s="103" t="s">
        <v>392</v>
      </c>
      <c r="D386" s="108">
        <v>350304.64</v>
      </c>
      <c r="E386" s="108">
        <v>133380.09</v>
      </c>
      <c r="F386" s="108">
        <v>49108.56</v>
      </c>
      <c r="G386" s="108">
        <v>328368</v>
      </c>
      <c r="H386" s="108">
        <v>52752.77</v>
      </c>
      <c r="I386" s="108">
        <v>82608.72</v>
      </c>
      <c r="J386" s="108">
        <v>361469.43</v>
      </c>
      <c r="K386" s="108">
        <v>58633.55</v>
      </c>
      <c r="L386" s="108">
        <v>138879.03</v>
      </c>
      <c r="M386" s="108">
        <v>344980.85</v>
      </c>
      <c r="N386" s="108">
        <v>58483.12</v>
      </c>
      <c r="O386" s="108">
        <v>81320.67</v>
      </c>
      <c r="P386" s="106">
        <v>2040289.43</v>
      </c>
    </row>
    <row r="387" spans="1:16" customFormat="1" ht="15" hidden="1" thickBot="1" x14ac:dyDescent="0.35">
      <c r="A387" s="103" t="s">
        <v>173</v>
      </c>
      <c r="B387" s="103" t="s">
        <v>393</v>
      </c>
      <c r="C387" s="103" t="s">
        <v>394</v>
      </c>
      <c r="D387" s="108">
        <v>1265.55</v>
      </c>
      <c r="E387" s="108">
        <v>843.7</v>
      </c>
      <c r="F387" s="108">
        <v>1730.05</v>
      </c>
      <c r="G387" s="108">
        <v>-809.7</v>
      </c>
      <c r="H387" s="107"/>
      <c r="I387" s="107"/>
      <c r="J387" s="107"/>
      <c r="K387" s="108">
        <v>4095.61</v>
      </c>
      <c r="L387" s="108">
        <v>4256.8500000000004</v>
      </c>
      <c r="M387" s="108">
        <v>7993.26</v>
      </c>
      <c r="N387" s="108">
        <v>-1477.83</v>
      </c>
      <c r="O387" s="108">
        <v>3355.41</v>
      </c>
      <c r="P387" s="106">
        <v>21252.9</v>
      </c>
    </row>
    <row r="388" spans="1:16" customFormat="1" ht="15" hidden="1" thickBot="1" x14ac:dyDescent="0.35">
      <c r="A388" s="103" t="s">
        <v>247</v>
      </c>
      <c r="B388" s="103" t="s">
        <v>393</v>
      </c>
      <c r="C388" s="103" t="s">
        <v>394</v>
      </c>
      <c r="D388" s="104">
        <v>10976.19</v>
      </c>
      <c r="E388" s="104">
        <v>108986.28</v>
      </c>
      <c r="F388" s="104">
        <v>41677.800000000003</v>
      </c>
      <c r="G388" s="104">
        <v>58756.85</v>
      </c>
      <c r="H388" s="104">
        <v>54513.99</v>
      </c>
      <c r="I388" s="104">
        <v>10234.81</v>
      </c>
      <c r="J388" s="104">
        <v>21071.99</v>
      </c>
      <c r="K388" s="104">
        <v>10360.42</v>
      </c>
      <c r="L388" s="104">
        <v>8718.5300000000007</v>
      </c>
      <c r="M388" s="104">
        <v>30215.599999999999</v>
      </c>
      <c r="N388" s="104">
        <v>13239.85</v>
      </c>
      <c r="O388" s="104">
        <v>25436.51</v>
      </c>
      <c r="P388" s="106">
        <v>394188.82</v>
      </c>
    </row>
    <row r="389" spans="1:16" customFormat="1" ht="15" hidden="1" thickBot="1" x14ac:dyDescent="0.35">
      <c r="A389" s="103" t="s">
        <v>173</v>
      </c>
      <c r="B389" s="103" t="s">
        <v>395</v>
      </c>
      <c r="C389" s="103" t="s">
        <v>396</v>
      </c>
      <c r="D389" s="104">
        <v>8749.83</v>
      </c>
      <c r="E389" s="104">
        <v>7514.03</v>
      </c>
      <c r="F389" s="104">
        <v>51666.87</v>
      </c>
      <c r="G389" s="104">
        <v>5860.9</v>
      </c>
      <c r="H389" s="104">
        <v>10533.44</v>
      </c>
      <c r="I389" s="104">
        <v>6424.4</v>
      </c>
      <c r="J389" s="104">
        <v>6878.88</v>
      </c>
      <c r="K389" s="104">
        <v>6930.4</v>
      </c>
      <c r="L389" s="104">
        <v>13881.23</v>
      </c>
      <c r="M389" s="104">
        <v>5281.92</v>
      </c>
      <c r="N389" s="104">
        <v>12219.99</v>
      </c>
      <c r="O389" s="104">
        <v>2553.88</v>
      </c>
      <c r="P389" s="106">
        <v>138495.76999999999</v>
      </c>
    </row>
    <row r="390" spans="1:16" customFormat="1" ht="15" hidden="1" thickBot="1" x14ac:dyDescent="0.35">
      <c r="A390" s="103" t="s">
        <v>258</v>
      </c>
      <c r="B390" s="103" t="s">
        <v>397</v>
      </c>
      <c r="C390" s="103" t="s">
        <v>398</v>
      </c>
      <c r="D390" s="107"/>
      <c r="E390" s="107"/>
      <c r="F390" s="107"/>
      <c r="G390" s="107"/>
      <c r="H390" s="107"/>
      <c r="I390" s="107"/>
      <c r="J390" s="107"/>
      <c r="K390" s="107"/>
      <c r="L390" s="107"/>
      <c r="M390" s="107"/>
      <c r="N390" s="107"/>
      <c r="O390" s="108">
        <v>-47197.919999999998</v>
      </c>
      <c r="P390" s="106">
        <v>-47197.919999999998</v>
      </c>
    </row>
    <row r="391" spans="1:16" customFormat="1" ht="15" hidden="1" thickBot="1" x14ac:dyDescent="0.35">
      <c r="A391" s="103" t="s">
        <v>173</v>
      </c>
      <c r="B391" s="103" t="s">
        <v>399</v>
      </c>
      <c r="C391" s="103" t="s">
        <v>400</v>
      </c>
      <c r="D391" s="108">
        <v>18272.64</v>
      </c>
      <c r="E391" s="108">
        <v>72485.41</v>
      </c>
      <c r="F391" s="108">
        <v>29745.1</v>
      </c>
      <c r="G391" s="108">
        <v>-4817.7</v>
      </c>
      <c r="H391" s="108">
        <v>25403</v>
      </c>
      <c r="I391" s="108">
        <v>31969.42</v>
      </c>
      <c r="J391" s="108">
        <v>45965.17</v>
      </c>
      <c r="K391" s="108">
        <v>18912.009999999998</v>
      </c>
      <c r="L391" s="108">
        <v>23980.93</v>
      </c>
      <c r="M391" s="108">
        <v>20036.86</v>
      </c>
      <c r="N391" s="108">
        <v>23684.83</v>
      </c>
      <c r="O391" s="108">
        <v>63458.44</v>
      </c>
      <c r="P391" s="106">
        <v>369096.11</v>
      </c>
    </row>
    <row r="392" spans="1:16" customFormat="1" ht="15" hidden="1" thickBot="1" x14ac:dyDescent="0.35">
      <c r="A392" s="103" t="s">
        <v>173</v>
      </c>
      <c r="B392" s="103" t="s">
        <v>401</v>
      </c>
      <c r="C392" s="103" t="s">
        <v>402</v>
      </c>
      <c r="D392" s="105"/>
      <c r="E392" s="105"/>
      <c r="F392" s="105"/>
      <c r="G392" s="105"/>
      <c r="H392" s="105"/>
      <c r="I392" s="105"/>
      <c r="J392" s="105"/>
      <c r="K392" s="105"/>
      <c r="L392" s="105"/>
      <c r="M392" s="105"/>
      <c r="N392" s="104">
        <v>2839.93</v>
      </c>
      <c r="O392" s="105"/>
      <c r="P392" s="106">
        <v>2839.93</v>
      </c>
    </row>
    <row r="393" spans="1:16" customFormat="1" ht="15" hidden="1" thickBot="1" x14ac:dyDescent="0.35">
      <c r="A393" s="103" t="s">
        <v>164</v>
      </c>
      <c r="B393" s="103" t="s">
        <v>403</v>
      </c>
      <c r="C393" s="103" t="s">
        <v>404</v>
      </c>
      <c r="D393" s="107"/>
      <c r="E393" s="108">
        <v>1201.52</v>
      </c>
      <c r="F393" s="107"/>
      <c r="G393" s="108">
        <v>504.53</v>
      </c>
      <c r="H393" s="107"/>
      <c r="I393" s="107"/>
      <c r="J393" s="107"/>
      <c r="K393" s="107"/>
      <c r="L393" s="107"/>
      <c r="M393" s="108">
        <v>504.53</v>
      </c>
      <c r="N393" s="107"/>
      <c r="O393" s="107"/>
      <c r="P393" s="106">
        <v>2210.58</v>
      </c>
    </row>
    <row r="394" spans="1:16" customFormat="1" ht="15" hidden="1" thickBot="1" x14ac:dyDescent="0.35">
      <c r="A394" s="103" t="s">
        <v>173</v>
      </c>
      <c r="B394" s="103" t="s">
        <v>403</v>
      </c>
      <c r="C394" s="103" t="s">
        <v>404</v>
      </c>
      <c r="D394" s="108">
        <v>81262.67</v>
      </c>
      <c r="E394" s="108">
        <v>93184.11</v>
      </c>
      <c r="F394" s="108">
        <v>87943.65</v>
      </c>
      <c r="G394" s="108">
        <v>178027.46</v>
      </c>
      <c r="H394" s="108">
        <v>101252.74</v>
      </c>
      <c r="I394" s="108">
        <v>117990</v>
      </c>
      <c r="J394" s="108">
        <v>106996.83</v>
      </c>
      <c r="K394" s="108">
        <v>134307.73000000001</v>
      </c>
      <c r="L394" s="108">
        <v>103382.56</v>
      </c>
      <c r="M394" s="108">
        <v>150640.89000000001</v>
      </c>
      <c r="N394" s="108">
        <v>99181.99</v>
      </c>
      <c r="O394" s="108">
        <v>132649.51999999999</v>
      </c>
      <c r="P394" s="106">
        <v>1386820.15</v>
      </c>
    </row>
    <row r="395" spans="1:16" customFormat="1" ht="15" hidden="1" thickBot="1" x14ac:dyDescent="0.35">
      <c r="A395" s="103" t="s">
        <v>258</v>
      </c>
      <c r="B395" s="103" t="s">
        <v>403</v>
      </c>
      <c r="C395" s="103" t="s">
        <v>404</v>
      </c>
      <c r="D395" s="104">
        <v>1085.97</v>
      </c>
      <c r="E395" s="104">
        <v>843.62</v>
      </c>
      <c r="F395" s="104">
        <v>892.44</v>
      </c>
      <c r="G395" s="104">
        <v>1660.18</v>
      </c>
      <c r="H395" s="104">
        <v>798.99</v>
      </c>
      <c r="I395" s="104">
        <v>1132.29</v>
      </c>
      <c r="J395" s="104">
        <v>1071.08</v>
      </c>
      <c r="K395" s="104">
        <v>1177.1199999999999</v>
      </c>
      <c r="L395" s="104">
        <v>1007.19</v>
      </c>
      <c r="M395" s="104">
        <v>1075.55</v>
      </c>
      <c r="N395" s="104">
        <v>1375.13</v>
      </c>
      <c r="O395" s="104">
        <v>835.66</v>
      </c>
      <c r="P395" s="106">
        <v>12955.22</v>
      </c>
    </row>
    <row r="396" spans="1:16" customFormat="1" ht="15" hidden="1" thickBot="1" x14ac:dyDescent="0.35">
      <c r="A396" s="103" t="s">
        <v>320</v>
      </c>
      <c r="B396" s="103" t="s">
        <v>405</v>
      </c>
      <c r="C396" s="103" t="s">
        <v>406</v>
      </c>
      <c r="D396" s="104">
        <v>4704.8</v>
      </c>
      <c r="E396" s="104">
        <v>8490.7800000000007</v>
      </c>
      <c r="F396" s="104">
        <v>3748.05</v>
      </c>
      <c r="G396" s="104">
        <v>3318.7</v>
      </c>
      <c r="H396" s="104">
        <v>56488.76</v>
      </c>
      <c r="I396" s="104">
        <v>8190.11</v>
      </c>
      <c r="J396" s="104">
        <v>5772.84</v>
      </c>
      <c r="K396" s="105"/>
      <c r="L396" s="104">
        <v>44199.68</v>
      </c>
      <c r="M396" s="104">
        <v>26970.959999999999</v>
      </c>
      <c r="N396" s="104">
        <v>14268.4</v>
      </c>
      <c r="O396" s="104">
        <v>8386.83</v>
      </c>
      <c r="P396" s="106">
        <v>184539.91</v>
      </c>
    </row>
    <row r="397" spans="1:16" customFormat="1" ht="15" hidden="1" thickBot="1" x14ac:dyDescent="0.35">
      <c r="A397" s="103" t="s">
        <v>173</v>
      </c>
      <c r="B397" s="103" t="s">
        <v>405</v>
      </c>
      <c r="C397" s="103" t="s">
        <v>406</v>
      </c>
      <c r="D397" s="104">
        <v>50045.14</v>
      </c>
      <c r="E397" s="104">
        <v>51690.35</v>
      </c>
      <c r="F397" s="104">
        <v>56020.29</v>
      </c>
      <c r="G397" s="104">
        <v>54661.09</v>
      </c>
      <c r="H397" s="104">
        <v>51006.73</v>
      </c>
      <c r="I397" s="104">
        <v>51858.17</v>
      </c>
      <c r="J397" s="104">
        <v>45575.7</v>
      </c>
      <c r="K397" s="104">
        <v>47777.26</v>
      </c>
      <c r="L397" s="104">
        <v>44002.32</v>
      </c>
      <c r="M397" s="104">
        <v>57638.86</v>
      </c>
      <c r="N397" s="104">
        <v>54993.7</v>
      </c>
      <c r="O397" s="104">
        <v>52974.94</v>
      </c>
      <c r="P397" s="106">
        <v>618244.55000000005</v>
      </c>
    </row>
    <row r="398" spans="1:16" customFormat="1" ht="15" hidden="1" thickBot="1" x14ac:dyDescent="0.35">
      <c r="A398" s="103" t="s">
        <v>253</v>
      </c>
      <c r="B398" s="103" t="s">
        <v>405</v>
      </c>
      <c r="C398" s="103" t="s">
        <v>406</v>
      </c>
      <c r="D398" s="108">
        <v>3046.01</v>
      </c>
      <c r="E398" s="108">
        <v>2450.4</v>
      </c>
      <c r="F398" s="108">
        <v>2656.65</v>
      </c>
      <c r="G398" s="108">
        <v>2924.26</v>
      </c>
      <c r="H398" s="108">
        <v>3357.35</v>
      </c>
      <c r="I398" s="108">
        <v>2415.8000000000002</v>
      </c>
      <c r="J398" s="108">
        <v>2572.65</v>
      </c>
      <c r="K398" s="108">
        <v>2286.75</v>
      </c>
      <c r="L398" s="108">
        <v>2356.75</v>
      </c>
      <c r="M398" s="108">
        <v>3878.05</v>
      </c>
      <c r="N398" s="108">
        <v>10126.32</v>
      </c>
      <c r="O398" s="108">
        <v>2405.5700000000002</v>
      </c>
      <c r="P398" s="106">
        <v>40476.559999999998</v>
      </c>
    </row>
    <row r="399" spans="1:16" customFormat="1" ht="15" hidden="1" thickBot="1" x14ac:dyDescent="0.35">
      <c r="A399" s="103" t="s">
        <v>407</v>
      </c>
      <c r="B399" s="103" t="s">
        <v>408</v>
      </c>
      <c r="C399" s="103" t="s">
        <v>409</v>
      </c>
      <c r="D399" s="108">
        <v>269849.34000000003</v>
      </c>
      <c r="E399" s="108">
        <v>269049.34000000003</v>
      </c>
      <c r="F399" s="108">
        <v>126413.02</v>
      </c>
      <c r="G399" s="108">
        <v>305984.65999999997</v>
      </c>
      <c r="H399" s="108">
        <v>269149.34000000003</v>
      </c>
      <c r="I399" s="108">
        <v>284329.34000000003</v>
      </c>
      <c r="J399" s="108">
        <v>269149.34000000003</v>
      </c>
      <c r="K399" s="108">
        <v>270035.34000000003</v>
      </c>
      <c r="L399" s="108">
        <v>269049.34000000003</v>
      </c>
      <c r="M399" s="108">
        <v>269049.45</v>
      </c>
      <c r="N399" s="108">
        <v>221779.81</v>
      </c>
      <c r="O399" s="108">
        <v>285529.21000000002</v>
      </c>
      <c r="P399" s="106">
        <v>3109367.53</v>
      </c>
    </row>
    <row r="400" spans="1:16" customFormat="1" ht="15" hidden="1" thickBot="1" x14ac:dyDescent="0.35">
      <c r="A400" s="103" t="s">
        <v>253</v>
      </c>
      <c r="B400" s="103" t="s">
        <v>408</v>
      </c>
      <c r="C400" s="103" t="s">
        <v>409</v>
      </c>
      <c r="D400" s="105"/>
      <c r="E400" s="105"/>
      <c r="F400" s="104">
        <v>350</v>
      </c>
      <c r="G400" s="105"/>
      <c r="H400" s="105"/>
      <c r="I400" s="104">
        <v>1766.2</v>
      </c>
      <c r="J400" s="105"/>
      <c r="K400" s="105"/>
      <c r="L400" s="105"/>
      <c r="M400" s="105"/>
      <c r="N400" s="105"/>
      <c r="O400" s="105"/>
      <c r="P400" s="106">
        <v>2116.1999999999998</v>
      </c>
    </row>
    <row r="401" spans="1:16" customFormat="1" ht="15" hidden="1" thickBot="1" x14ac:dyDescent="0.35">
      <c r="A401" s="103" t="s">
        <v>253</v>
      </c>
      <c r="B401" s="103" t="s">
        <v>410</v>
      </c>
      <c r="C401" s="103" t="s">
        <v>411</v>
      </c>
      <c r="D401" s="107"/>
      <c r="E401" s="107"/>
      <c r="F401" s="108">
        <v>50231.4</v>
      </c>
      <c r="G401" s="107"/>
      <c r="H401" s="107"/>
      <c r="I401" s="108">
        <v>71303.199999999997</v>
      </c>
      <c r="J401" s="107"/>
      <c r="K401" s="107"/>
      <c r="L401" s="108">
        <v>86191.679999999993</v>
      </c>
      <c r="M401" s="107"/>
      <c r="N401" s="107"/>
      <c r="O401" s="108">
        <v>93602.35</v>
      </c>
      <c r="P401" s="106">
        <v>301328.63</v>
      </c>
    </row>
    <row r="402" spans="1:16" customFormat="1" ht="15" hidden="1" thickBot="1" x14ac:dyDescent="0.35">
      <c r="A402" s="103" t="s">
        <v>172</v>
      </c>
      <c r="B402" s="103" t="s">
        <v>412</v>
      </c>
      <c r="C402" s="103" t="s">
        <v>413</v>
      </c>
      <c r="D402" s="107"/>
      <c r="E402" s="107"/>
      <c r="F402" s="107"/>
      <c r="G402" s="107"/>
      <c r="H402" s="107"/>
      <c r="I402" s="107"/>
      <c r="J402" s="107"/>
      <c r="K402" s="107"/>
      <c r="L402" s="108">
        <v>6</v>
      </c>
      <c r="M402" s="107"/>
      <c r="N402" s="107"/>
      <c r="O402" s="107"/>
      <c r="P402" s="106">
        <v>6</v>
      </c>
    </row>
    <row r="403" spans="1:16" customFormat="1" ht="15" hidden="1" thickBot="1" x14ac:dyDescent="0.35">
      <c r="A403" s="103" t="s">
        <v>173</v>
      </c>
      <c r="B403" s="103" t="s">
        <v>412</v>
      </c>
      <c r="C403" s="103" t="s">
        <v>413</v>
      </c>
      <c r="D403" s="107"/>
      <c r="E403" s="107"/>
      <c r="F403" s="107"/>
      <c r="G403" s="107"/>
      <c r="H403" s="107"/>
      <c r="I403" s="107"/>
      <c r="J403" s="107"/>
      <c r="K403" s="107"/>
      <c r="L403" s="107"/>
      <c r="M403" s="107"/>
      <c r="N403" s="107"/>
      <c r="O403" s="108">
        <v>-2130.04</v>
      </c>
      <c r="P403" s="106">
        <v>-2130.04</v>
      </c>
    </row>
    <row r="404" spans="1:16" customFormat="1" ht="15" hidden="1" thickBot="1" x14ac:dyDescent="0.35">
      <c r="A404" s="103" t="s">
        <v>174</v>
      </c>
      <c r="B404" s="103" t="s">
        <v>412</v>
      </c>
      <c r="C404" s="103" t="s">
        <v>413</v>
      </c>
      <c r="D404" s="104">
        <v>60287.57</v>
      </c>
      <c r="E404" s="104">
        <v>57228.99</v>
      </c>
      <c r="F404" s="104">
        <v>58116.800000000003</v>
      </c>
      <c r="G404" s="104">
        <v>45829.93</v>
      </c>
      <c r="H404" s="104">
        <v>49542.94</v>
      </c>
      <c r="I404" s="104">
        <v>59316.160000000003</v>
      </c>
      <c r="J404" s="104">
        <v>44324.15</v>
      </c>
      <c r="K404" s="104">
        <v>52018.62</v>
      </c>
      <c r="L404" s="104">
        <v>45900.54</v>
      </c>
      <c r="M404" s="104">
        <v>58784.66</v>
      </c>
      <c r="N404" s="104">
        <v>90696.63</v>
      </c>
      <c r="O404" s="104">
        <v>84792.48</v>
      </c>
      <c r="P404" s="106">
        <v>706839.47</v>
      </c>
    </row>
    <row r="405" spans="1:16" customFormat="1" ht="15" hidden="1" thickBot="1" x14ac:dyDescent="0.35">
      <c r="A405" s="103" t="s">
        <v>173</v>
      </c>
      <c r="B405" s="103" t="s">
        <v>414</v>
      </c>
      <c r="C405" s="103" t="s">
        <v>415</v>
      </c>
      <c r="D405" s="104">
        <v>22335.66</v>
      </c>
      <c r="E405" s="104">
        <v>41062.06</v>
      </c>
      <c r="F405" s="104">
        <v>22553.72</v>
      </c>
      <c r="G405" s="104">
        <v>24672.58</v>
      </c>
      <c r="H405" s="104">
        <v>24004.14</v>
      </c>
      <c r="I405" s="104">
        <v>24304.04</v>
      </c>
      <c r="J405" s="104">
        <v>23828.17</v>
      </c>
      <c r="K405" s="104">
        <v>22599.48</v>
      </c>
      <c r="L405" s="104">
        <v>23857.37</v>
      </c>
      <c r="M405" s="104">
        <v>25236.77</v>
      </c>
      <c r="N405" s="104">
        <v>23489.54</v>
      </c>
      <c r="O405" s="104">
        <v>22129.61</v>
      </c>
      <c r="P405" s="106">
        <v>300073.14</v>
      </c>
    </row>
    <row r="406" spans="1:16" customFormat="1" ht="15" hidden="1" thickBot="1" x14ac:dyDescent="0.35">
      <c r="A406" s="103" t="s">
        <v>174</v>
      </c>
      <c r="B406" s="103" t="s">
        <v>414</v>
      </c>
      <c r="C406" s="103" t="s">
        <v>415</v>
      </c>
      <c r="D406" s="108">
        <v>1593.42</v>
      </c>
      <c r="E406" s="108">
        <v>186.66</v>
      </c>
      <c r="F406" s="108">
        <v>377.99</v>
      </c>
      <c r="G406" s="108">
        <v>99.98</v>
      </c>
      <c r="H406" s="108">
        <v>2758.96</v>
      </c>
      <c r="I406" s="108">
        <v>-516.29999999999995</v>
      </c>
      <c r="J406" s="108">
        <v>611.52</v>
      </c>
      <c r="K406" s="108">
        <v>457.05</v>
      </c>
      <c r="L406" s="108">
        <v>471.82</v>
      </c>
      <c r="M406" s="108">
        <v>2257.4699999999998</v>
      </c>
      <c r="N406" s="108">
        <v>2299.44</v>
      </c>
      <c r="O406" s="108">
        <v>7299.73</v>
      </c>
      <c r="P406" s="106">
        <v>17897.740000000002</v>
      </c>
    </row>
    <row r="407" spans="1:16" customFormat="1" ht="15" hidden="1" thickBot="1" x14ac:dyDescent="0.35">
      <c r="A407" s="103" t="s">
        <v>173</v>
      </c>
      <c r="B407" s="103" t="s">
        <v>416</v>
      </c>
      <c r="C407" s="103" t="s">
        <v>417</v>
      </c>
      <c r="D407" s="108">
        <v>76991.81</v>
      </c>
      <c r="E407" s="108">
        <v>43773.2</v>
      </c>
      <c r="F407" s="108">
        <v>57241.39</v>
      </c>
      <c r="G407" s="108">
        <v>59696.22</v>
      </c>
      <c r="H407" s="108">
        <v>62420.28</v>
      </c>
      <c r="I407" s="108">
        <v>58466.96</v>
      </c>
      <c r="J407" s="108">
        <v>60861.53</v>
      </c>
      <c r="K407" s="108">
        <v>54364.07</v>
      </c>
      <c r="L407" s="108">
        <v>74900.73</v>
      </c>
      <c r="M407" s="108">
        <v>58929.46</v>
      </c>
      <c r="N407" s="108">
        <v>61898</v>
      </c>
      <c r="O407" s="108">
        <v>66201.64</v>
      </c>
      <c r="P407" s="106">
        <v>735745.29</v>
      </c>
    </row>
    <row r="408" spans="1:16" customFormat="1" ht="15" hidden="1" thickBot="1" x14ac:dyDescent="0.35">
      <c r="A408" s="103" t="s">
        <v>173</v>
      </c>
      <c r="B408" s="103" t="s">
        <v>418</v>
      </c>
      <c r="C408" s="103" t="s">
        <v>419</v>
      </c>
      <c r="D408" s="104">
        <v>50976.78</v>
      </c>
      <c r="E408" s="104">
        <v>69059.56</v>
      </c>
      <c r="F408" s="104">
        <v>79682.84</v>
      </c>
      <c r="G408" s="104">
        <v>60222.3</v>
      </c>
      <c r="H408" s="104">
        <v>52872.85</v>
      </c>
      <c r="I408" s="104">
        <v>100937.79</v>
      </c>
      <c r="J408" s="104">
        <v>91705.07</v>
      </c>
      <c r="K408" s="104">
        <v>55920.45</v>
      </c>
      <c r="L408" s="104">
        <v>74266.850000000006</v>
      </c>
      <c r="M408" s="104">
        <v>118062.68</v>
      </c>
      <c r="N408" s="104">
        <v>96586.35</v>
      </c>
      <c r="O408" s="104">
        <v>88449.86</v>
      </c>
      <c r="P408" s="106">
        <v>938743.38</v>
      </c>
    </row>
    <row r="409" spans="1:16" customFormat="1" ht="15" hidden="1" thickBot="1" x14ac:dyDescent="0.35">
      <c r="A409" s="103" t="s">
        <v>258</v>
      </c>
      <c r="B409" s="103" t="s">
        <v>418</v>
      </c>
      <c r="C409" s="103" t="s">
        <v>419</v>
      </c>
      <c r="D409" s="108">
        <v>9129.84</v>
      </c>
      <c r="E409" s="108">
        <v>9281.32</v>
      </c>
      <c r="F409" s="108">
        <v>9537.07</v>
      </c>
      <c r="G409" s="108">
        <v>10217.42</v>
      </c>
      <c r="H409" s="108">
        <v>9400.41</v>
      </c>
      <c r="I409" s="108">
        <v>10217.42</v>
      </c>
      <c r="J409" s="108">
        <v>8676.77</v>
      </c>
      <c r="K409" s="108">
        <v>8630.1200000000008</v>
      </c>
      <c r="L409" s="108">
        <v>9909.2999999999993</v>
      </c>
      <c r="M409" s="108">
        <v>10217.42</v>
      </c>
      <c r="N409" s="108">
        <v>9377.08</v>
      </c>
      <c r="O409" s="108">
        <v>8508.7199999999993</v>
      </c>
      <c r="P409" s="106">
        <v>113102.89</v>
      </c>
    </row>
    <row r="410" spans="1:16" customFormat="1" ht="15" hidden="1" thickBot="1" x14ac:dyDescent="0.35">
      <c r="A410" s="103" t="s">
        <v>320</v>
      </c>
      <c r="B410" s="103" t="s">
        <v>420</v>
      </c>
      <c r="C410" s="103" t="s">
        <v>421</v>
      </c>
      <c r="D410" s="107"/>
      <c r="E410" s="107"/>
      <c r="F410" s="107"/>
      <c r="G410" s="107"/>
      <c r="H410" s="107"/>
      <c r="I410" s="107"/>
      <c r="J410" s="107"/>
      <c r="K410" s="107"/>
      <c r="L410" s="108">
        <v>477.62</v>
      </c>
      <c r="M410" s="107"/>
      <c r="N410" s="107"/>
      <c r="O410" s="107"/>
      <c r="P410" s="106">
        <v>477.62</v>
      </c>
    </row>
    <row r="411" spans="1:16" customFormat="1" ht="15" hidden="1" thickBot="1" x14ac:dyDescent="0.35">
      <c r="A411" s="103" t="s">
        <v>172</v>
      </c>
      <c r="B411" s="103" t="s">
        <v>420</v>
      </c>
      <c r="C411" s="103" t="s">
        <v>421</v>
      </c>
      <c r="D411" s="104">
        <v>28.33</v>
      </c>
      <c r="E411" s="104">
        <v>42.36</v>
      </c>
      <c r="F411" s="104">
        <v>101.43</v>
      </c>
      <c r="G411" s="104">
        <v>172.05</v>
      </c>
      <c r="H411" s="104">
        <v>364.58</v>
      </c>
      <c r="I411" s="104">
        <v>189.98</v>
      </c>
      <c r="J411" s="104">
        <v>14</v>
      </c>
      <c r="K411" s="104">
        <v>208.2</v>
      </c>
      <c r="L411" s="104">
        <v>20.25</v>
      </c>
      <c r="M411" s="104">
        <v>2.15</v>
      </c>
      <c r="N411" s="104">
        <v>42.04</v>
      </c>
      <c r="O411" s="104">
        <v>22.4</v>
      </c>
      <c r="P411" s="106">
        <v>1207.77</v>
      </c>
    </row>
    <row r="412" spans="1:16" customFormat="1" ht="15" hidden="1" thickBot="1" x14ac:dyDescent="0.35">
      <c r="A412" s="103" t="s">
        <v>173</v>
      </c>
      <c r="B412" s="103" t="s">
        <v>420</v>
      </c>
      <c r="C412" s="103" t="s">
        <v>421</v>
      </c>
      <c r="D412" s="108">
        <v>161480.76</v>
      </c>
      <c r="E412" s="108">
        <v>73090.320000000007</v>
      </c>
      <c r="F412" s="108">
        <v>78896.77</v>
      </c>
      <c r="G412" s="108">
        <v>86866.31</v>
      </c>
      <c r="H412" s="108">
        <v>105940.68</v>
      </c>
      <c r="I412" s="108">
        <v>63142.67</v>
      </c>
      <c r="J412" s="108">
        <v>68430.89</v>
      </c>
      <c r="K412" s="108">
        <v>81543.64</v>
      </c>
      <c r="L412" s="108">
        <v>77122.789999999994</v>
      </c>
      <c r="M412" s="108">
        <v>91104.83</v>
      </c>
      <c r="N412" s="108">
        <v>77209.990000000005</v>
      </c>
      <c r="O412" s="108">
        <v>73609.399999999994</v>
      </c>
      <c r="P412" s="106">
        <v>1038439.05</v>
      </c>
    </row>
    <row r="413" spans="1:16" customFormat="1" ht="15" hidden="1" thickBot="1" x14ac:dyDescent="0.35">
      <c r="A413" s="103" t="s">
        <v>173</v>
      </c>
      <c r="B413" s="103" t="s">
        <v>422</v>
      </c>
      <c r="C413" s="103" t="s">
        <v>423</v>
      </c>
      <c r="D413" s="104">
        <v>8379.7999999999993</v>
      </c>
      <c r="E413" s="104">
        <v>18476.63</v>
      </c>
      <c r="F413" s="104">
        <v>14244.2</v>
      </c>
      <c r="G413" s="104">
        <v>10057.41</v>
      </c>
      <c r="H413" s="104">
        <v>13796.66</v>
      </c>
      <c r="I413" s="104">
        <v>9533.98</v>
      </c>
      <c r="J413" s="104">
        <v>10287.83</v>
      </c>
      <c r="K413" s="104">
        <v>10141.459999999999</v>
      </c>
      <c r="L413" s="104">
        <v>5913.96</v>
      </c>
      <c r="M413" s="104">
        <v>16777.22</v>
      </c>
      <c r="N413" s="104">
        <v>15453.15</v>
      </c>
      <c r="O413" s="104">
        <v>22109.59</v>
      </c>
      <c r="P413" s="106">
        <v>155171.89000000001</v>
      </c>
    </row>
    <row r="414" spans="1:16" customFormat="1" ht="15" hidden="1" thickBot="1" x14ac:dyDescent="0.35">
      <c r="A414" s="103" t="s">
        <v>258</v>
      </c>
      <c r="B414" s="103" t="s">
        <v>422</v>
      </c>
      <c r="C414" s="103" t="s">
        <v>423</v>
      </c>
      <c r="D414" s="105"/>
      <c r="E414" s="105"/>
      <c r="F414" s="105"/>
      <c r="G414" s="104">
        <v>1425.5</v>
      </c>
      <c r="H414" s="104">
        <v>1153.3499999999999</v>
      </c>
      <c r="I414" s="104">
        <v>2176.08</v>
      </c>
      <c r="J414" s="104">
        <v>14503.37</v>
      </c>
      <c r="K414" s="104">
        <v>22171.1</v>
      </c>
      <c r="L414" s="104">
        <v>2721.51</v>
      </c>
      <c r="M414" s="104">
        <v>360.7</v>
      </c>
      <c r="N414" s="104">
        <v>3277.64</v>
      </c>
      <c r="O414" s="104">
        <v>1113.0899999999999</v>
      </c>
      <c r="P414" s="106">
        <v>48902.34</v>
      </c>
    </row>
    <row r="415" spans="1:16" customFormat="1" ht="21" hidden="1" thickBot="1" x14ac:dyDescent="0.35">
      <c r="A415" s="103" t="s">
        <v>188</v>
      </c>
      <c r="B415" s="103" t="s">
        <v>424</v>
      </c>
      <c r="C415" s="103" t="s">
        <v>425</v>
      </c>
      <c r="D415" s="107"/>
      <c r="E415" s="107"/>
      <c r="F415" s="107"/>
      <c r="G415" s="107"/>
      <c r="H415" s="107"/>
      <c r="I415" s="107"/>
      <c r="J415" s="107"/>
      <c r="K415" s="107"/>
      <c r="L415" s="108">
        <v>444.71</v>
      </c>
      <c r="M415" s="108">
        <v>557.88</v>
      </c>
      <c r="N415" s="107"/>
      <c r="O415" s="107"/>
      <c r="P415" s="106">
        <v>1002.59</v>
      </c>
    </row>
    <row r="416" spans="1:16" customFormat="1" ht="21" hidden="1" thickBot="1" x14ac:dyDescent="0.35">
      <c r="A416" s="103" t="s">
        <v>173</v>
      </c>
      <c r="B416" s="103" t="s">
        <v>424</v>
      </c>
      <c r="C416" s="103" t="s">
        <v>425</v>
      </c>
      <c r="D416" s="108">
        <v>49187.37</v>
      </c>
      <c r="E416" s="108">
        <v>57275.15</v>
      </c>
      <c r="F416" s="108">
        <v>61257.67</v>
      </c>
      <c r="G416" s="108">
        <v>75933.11</v>
      </c>
      <c r="H416" s="108">
        <v>149926.57999999999</v>
      </c>
      <c r="I416" s="108">
        <v>28538.76</v>
      </c>
      <c r="J416" s="108">
        <v>50761.120000000003</v>
      </c>
      <c r="K416" s="108">
        <v>51321.31</v>
      </c>
      <c r="L416" s="108">
        <v>53716.26</v>
      </c>
      <c r="M416" s="108">
        <v>66667.91</v>
      </c>
      <c r="N416" s="108">
        <v>54291.32</v>
      </c>
      <c r="O416" s="108">
        <v>63640.54</v>
      </c>
      <c r="P416" s="106">
        <v>762517.1</v>
      </c>
    </row>
    <row r="417" spans="1:16" customFormat="1" ht="15" hidden="1" thickBot="1" x14ac:dyDescent="0.35">
      <c r="A417" s="103" t="s">
        <v>173</v>
      </c>
      <c r="B417" s="103" t="s">
        <v>426</v>
      </c>
      <c r="C417" s="103" t="s">
        <v>427</v>
      </c>
      <c r="D417" s="104">
        <v>151095.43</v>
      </c>
      <c r="E417" s="104">
        <v>136975.84</v>
      </c>
      <c r="F417" s="104">
        <v>133693.85</v>
      </c>
      <c r="G417" s="104">
        <v>146164.16</v>
      </c>
      <c r="H417" s="104">
        <v>148410.23000000001</v>
      </c>
      <c r="I417" s="104">
        <v>138393.70000000001</v>
      </c>
      <c r="J417" s="104">
        <v>136763.4</v>
      </c>
      <c r="K417" s="104">
        <v>135028.81</v>
      </c>
      <c r="L417" s="104">
        <v>132424.95999999999</v>
      </c>
      <c r="M417" s="104">
        <v>105861.86</v>
      </c>
      <c r="N417" s="104">
        <v>198295.37</v>
      </c>
      <c r="O417" s="104">
        <v>139472.85</v>
      </c>
      <c r="P417" s="106">
        <v>1702580.46</v>
      </c>
    </row>
    <row r="418" spans="1:16" customFormat="1" ht="15" hidden="1" thickBot="1" x14ac:dyDescent="0.35">
      <c r="A418" s="103" t="s">
        <v>173</v>
      </c>
      <c r="B418" s="103" t="s">
        <v>428</v>
      </c>
      <c r="C418" s="103" t="s">
        <v>429</v>
      </c>
      <c r="D418" s="108">
        <v>134543.49</v>
      </c>
      <c r="E418" s="108">
        <v>118486.74</v>
      </c>
      <c r="F418" s="108">
        <v>166349.28</v>
      </c>
      <c r="G418" s="108">
        <v>154271.14000000001</v>
      </c>
      <c r="H418" s="108">
        <v>126994.41</v>
      </c>
      <c r="I418" s="108">
        <v>185254.58</v>
      </c>
      <c r="J418" s="108">
        <v>131170.42000000001</v>
      </c>
      <c r="K418" s="108">
        <v>140287.29</v>
      </c>
      <c r="L418" s="108">
        <v>132414.51999999999</v>
      </c>
      <c r="M418" s="108">
        <v>111923.86</v>
      </c>
      <c r="N418" s="108">
        <v>-15668.05</v>
      </c>
      <c r="O418" s="108">
        <v>124313.60000000001</v>
      </c>
      <c r="P418" s="106">
        <v>1510341.28</v>
      </c>
    </row>
    <row r="419" spans="1:16" customFormat="1" ht="15" hidden="1" thickBot="1" x14ac:dyDescent="0.35">
      <c r="A419" s="103" t="s">
        <v>247</v>
      </c>
      <c r="B419" s="103" t="s">
        <v>428</v>
      </c>
      <c r="C419" s="103" t="s">
        <v>429</v>
      </c>
      <c r="D419" s="107"/>
      <c r="E419" s="107"/>
      <c r="F419" s="107"/>
      <c r="G419" s="107"/>
      <c r="H419" s="107"/>
      <c r="I419" s="107"/>
      <c r="J419" s="108">
        <v>16.13</v>
      </c>
      <c r="K419" s="107"/>
      <c r="L419" s="107"/>
      <c r="M419" s="107"/>
      <c r="N419" s="107"/>
      <c r="O419" s="107"/>
      <c r="P419" s="106">
        <v>16.13</v>
      </c>
    </row>
    <row r="420" spans="1:16" customFormat="1" ht="15" hidden="1" thickBot="1" x14ac:dyDescent="0.35">
      <c r="A420" s="103" t="s">
        <v>219</v>
      </c>
      <c r="B420" s="103" t="s">
        <v>428</v>
      </c>
      <c r="C420" s="103" t="s">
        <v>429</v>
      </c>
      <c r="D420" s="107"/>
      <c r="E420" s="107"/>
      <c r="F420" s="107"/>
      <c r="G420" s="107"/>
      <c r="H420" s="107"/>
      <c r="I420" s="108">
        <v>97.38</v>
      </c>
      <c r="J420" s="107"/>
      <c r="K420" s="107"/>
      <c r="L420" s="107"/>
      <c r="M420" s="107"/>
      <c r="N420" s="107"/>
      <c r="O420" s="107"/>
      <c r="P420" s="106">
        <v>97.38</v>
      </c>
    </row>
    <row r="421" spans="1:16" customFormat="1" ht="15" hidden="1" thickBot="1" x14ac:dyDescent="0.35">
      <c r="A421" s="103" t="s">
        <v>173</v>
      </c>
      <c r="B421" s="103" t="s">
        <v>430</v>
      </c>
      <c r="C421" s="103" t="s">
        <v>431</v>
      </c>
      <c r="D421" s="105"/>
      <c r="E421" s="105"/>
      <c r="F421" s="105"/>
      <c r="G421" s="105"/>
      <c r="H421" s="104">
        <v>1136</v>
      </c>
      <c r="I421" s="104">
        <v>-526</v>
      </c>
      <c r="J421" s="104">
        <v>2745</v>
      </c>
      <c r="K421" s="104">
        <v>305</v>
      </c>
      <c r="L421" s="104">
        <v>120800</v>
      </c>
      <c r="M421" s="104">
        <v>183</v>
      </c>
      <c r="N421" s="104">
        <v>1098</v>
      </c>
      <c r="O421" s="104">
        <v>-400</v>
      </c>
      <c r="P421" s="106">
        <v>125341</v>
      </c>
    </row>
    <row r="422" spans="1:16" customFormat="1" ht="15" hidden="1" thickBot="1" x14ac:dyDescent="0.35">
      <c r="A422" s="103" t="s">
        <v>170</v>
      </c>
      <c r="B422" s="103" t="s">
        <v>432</v>
      </c>
      <c r="C422" s="103" t="s">
        <v>433</v>
      </c>
      <c r="D422" s="105"/>
      <c r="E422" s="105"/>
      <c r="F422" s="105"/>
      <c r="G422" s="105"/>
      <c r="H422" s="105"/>
      <c r="I422" s="105"/>
      <c r="J422" s="105"/>
      <c r="K422" s="105"/>
      <c r="L422" s="104">
        <v>118.65</v>
      </c>
      <c r="M422" s="105"/>
      <c r="N422" s="105"/>
      <c r="O422" s="105"/>
      <c r="P422" s="106">
        <v>118.65</v>
      </c>
    </row>
    <row r="423" spans="1:16" customFormat="1" ht="15" hidden="1" thickBot="1" x14ac:dyDescent="0.35">
      <c r="A423" s="103" t="s">
        <v>173</v>
      </c>
      <c r="B423" s="103" t="s">
        <v>432</v>
      </c>
      <c r="C423" s="103" t="s">
        <v>433</v>
      </c>
      <c r="D423" s="108">
        <v>30187</v>
      </c>
      <c r="E423" s="108">
        <v>79274.12</v>
      </c>
      <c r="F423" s="108">
        <v>9960.84</v>
      </c>
      <c r="G423" s="108">
        <v>-5212.5</v>
      </c>
      <c r="H423" s="108">
        <v>18877.13</v>
      </c>
      <c r="I423" s="108">
        <v>17256.5</v>
      </c>
      <c r="J423" s="108">
        <v>50262.23</v>
      </c>
      <c r="K423" s="108">
        <v>23006.47</v>
      </c>
      <c r="L423" s="108">
        <v>-1451.56</v>
      </c>
      <c r="M423" s="108">
        <v>-12047.54</v>
      </c>
      <c r="N423" s="108">
        <v>27261.15</v>
      </c>
      <c r="O423" s="108">
        <v>7214.21</v>
      </c>
      <c r="P423" s="106">
        <v>244588.05</v>
      </c>
    </row>
    <row r="424" spans="1:16" customFormat="1" ht="15" hidden="1" thickBot="1" x14ac:dyDescent="0.35">
      <c r="A424" s="103" t="s">
        <v>173</v>
      </c>
      <c r="B424" s="103" t="s">
        <v>434</v>
      </c>
      <c r="C424" s="103" t="s">
        <v>435</v>
      </c>
      <c r="D424" s="104">
        <v>26812.28</v>
      </c>
      <c r="E424" s="104">
        <v>-7099.78</v>
      </c>
      <c r="F424" s="104">
        <v>16143.5</v>
      </c>
      <c r="G424" s="104">
        <v>-201.05</v>
      </c>
      <c r="H424" s="104">
        <v>16044</v>
      </c>
      <c r="I424" s="104">
        <v>6020</v>
      </c>
      <c r="J424" s="104">
        <v>9903</v>
      </c>
      <c r="K424" s="104">
        <v>17580</v>
      </c>
      <c r="L424" s="104">
        <v>5461</v>
      </c>
      <c r="M424" s="104">
        <v>13238.5</v>
      </c>
      <c r="N424" s="104">
        <v>3575</v>
      </c>
      <c r="O424" s="104">
        <v>15599.07</v>
      </c>
      <c r="P424" s="106">
        <v>123075.52</v>
      </c>
    </row>
    <row r="425" spans="1:16" customFormat="1" ht="15" hidden="1" thickBot="1" x14ac:dyDescent="0.35">
      <c r="A425" s="103" t="s">
        <v>173</v>
      </c>
      <c r="B425" s="103" t="s">
        <v>436</v>
      </c>
      <c r="C425" s="103" t="s">
        <v>437</v>
      </c>
      <c r="D425" s="108">
        <v>30787.94</v>
      </c>
      <c r="E425" s="108">
        <v>19657.5</v>
      </c>
      <c r="F425" s="108">
        <v>14800.49</v>
      </c>
      <c r="G425" s="108">
        <v>23296.5</v>
      </c>
      <c r="H425" s="108">
        <v>138568.76999999999</v>
      </c>
      <c r="I425" s="108">
        <v>21667</v>
      </c>
      <c r="J425" s="108">
        <v>33194.06</v>
      </c>
      <c r="K425" s="108">
        <v>7006.6</v>
      </c>
      <c r="L425" s="108">
        <v>67459.55</v>
      </c>
      <c r="M425" s="108">
        <v>26368.52</v>
      </c>
      <c r="N425" s="108">
        <v>67035.56</v>
      </c>
      <c r="O425" s="108">
        <v>104056.41</v>
      </c>
      <c r="P425" s="106">
        <v>553898.9</v>
      </c>
    </row>
    <row r="426" spans="1:16" customFormat="1" ht="15" hidden="1" thickBot="1" x14ac:dyDescent="0.35">
      <c r="A426" s="103" t="s">
        <v>173</v>
      </c>
      <c r="B426" s="103" t="s">
        <v>438</v>
      </c>
      <c r="C426" s="103" t="s">
        <v>439</v>
      </c>
      <c r="D426" s="104">
        <v>22390.89</v>
      </c>
      <c r="E426" s="104">
        <v>16593.169999999998</v>
      </c>
      <c r="F426" s="104">
        <v>4910.2299999999996</v>
      </c>
      <c r="G426" s="104">
        <v>30100.080000000002</v>
      </c>
      <c r="H426" s="104">
        <v>31490.03</v>
      </c>
      <c r="I426" s="104">
        <v>18882.990000000002</v>
      </c>
      <c r="J426" s="104">
        <v>20110.09</v>
      </c>
      <c r="K426" s="104">
        <v>16294.41</v>
      </c>
      <c r="L426" s="104">
        <v>95287.61</v>
      </c>
      <c r="M426" s="104">
        <v>577.49</v>
      </c>
      <c r="N426" s="104">
        <v>14556</v>
      </c>
      <c r="O426" s="104">
        <v>109936.41</v>
      </c>
      <c r="P426" s="106">
        <v>381129.4</v>
      </c>
    </row>
    <row r="427" spans="1:16" customFormat="1" ht="15" hidden="1" thickBot="1" x14ac:dyDescent="0.35">
      <c r="A427" s="103" t="s">
        <v>173</v>
      </c>
      <c r="B427" s="103" t="s">
        <v>440</v>
      </c>
      <c r="C427" s="103" t="s">
        <v>441</v>
      </c>
      <c r="D427" s="107"/>
      <c r="E427" s="108">
        <v>3288</v>
      </c>
      <c r="F427" s="108">
        <v>1962.5</v>
      </c>
      <c r="G427" s="108">
        <v>685</v>
      </c>
      <c r="H427" s="110">
        <v>0</v>
      </c>
      <c r="I427" s="110">
        <v>0</v>
      </c>
      <c r="J427" s="110">
        <v>0</v>
      </c>
      <c r="K427" s="110">
        <v>0</v>
      </c>
      <c r="L427" s="110">
        <v>0</v>
      </c>
      <c r="M427" s="108">
        <v>1619</v>
      </c>
      <c r="N427" s="108">
        <v>-1071</v>
      </c>
      <c r="O427" s="108">
        <v>500.5</v>
      </c>
      <c r="P427" s="106">
        <v>6984</v>
      </c>
    </row>
    <row r="428" spans="1:16" customFormat="1" ht="15" hidden="1" thickBot="1" x14ac:dyDescent="0.35">
      <c r="A428" s="103" t="s">
        <v>173</v>
      </c>
      <c r="B428" s="103" t="s">
        <v>442</v>
      </c>
      <c r="C428" s="103" t="s">
        <v>443</v>
      </c>
      <c r="D428" s="104">
        <v>12067.7</v>
      </c>
      <c r="E428" s="104">
        <v>9284.17</v>
      </c>
      <c r="F428" s="104">
        <v>23479.1</v>
      </c>
      <c r="G428" s="104">
        <v>25321.53</v>
      </c>
      <c r="H428" s="104">
        <v>27693.05</v>
      </c>
      <c r="I428" s="104">
        <v>28776.67</v>
      </c>
      <c r="J428" s="104">
        <v>7566.5</v>
      </c>
      <c r="K428" s="104">
        <v>27047.29</v>
      </c>
      <c r="L428" s="104">
        <v>588.41</v>
      </c>
      <c r="M428" s="104">
        <v>46684.4</v>
      </c>
      <c r="N428" s="104">
        <v>1791.58</v>
      </c>
      <c r="O428" s="104">
        <v>45627.46</v>
      </c>
      <c r="P428" s="106">
        <v>255927.86</v>
      </c>
    </row>
    <row r="429" spans="1:16" customFormat="1" ht="15" hidden="1" thickBot="1" x14ac:dyDescent="0.35">
      <c r="A429" s="103" t="s">
        <v>173</v>
      </c>
      <c r="B429" s="103" t="s">
        <v>444</v>
      </c>
      <c r="C429" s="103" t="s">
        <v>445</v>
      </c>
      <c r="D429" s="108">
        <v>25538.5</v>
      </c>
      <c r="E429" s="108">
        <v>54638</v>
      </c>
      <c r="F429" s="108">
        <v>57626.12</v>
      </c>
      <c r="G429" s="108">
        <v>6846.97</v>
      </c>
      <c r="H429" s="108">
        <v>-5527</v>
      </c>
      <c r="I429" s="108">
        <v>3697.5</v>
      </c>
      <c r="J429" s="108">
        <v>16079</v>
      </c>
      <c r="K429" s="108">
        <v>137035.35999999999</v>
      </c>
      <c r="L429" s="108">
        <v>83906.28</v>
      </c>
      <c r="M429" s="108">
        <v>54210.78</v>
      </c>
      <c r="N429" s="108">
        <v>3059.5</v>
      </c>
      <c r="O429" s="108">
        <v>-5839.5</v>
      </c>
      <c r="P429" s="106">
        <v>431271.51</v>
      </c>
    </row>
    <row r="430" spans="1:16" customFormat="1" ht="15" hidden="1" thickBot="1" x14ac:dyDescent="0.35">
      <c r="A430" s="103" t="s">
        <v>173</v>
      </c>
      <c r="B430" s="103" t="s">
        <v>446</v>
      </c>
      <c r="C430" s="103" t="s">
        <v>447</v>
      </c>
      <c r="D430" s="104">
        <v>43522</v>
      </c>
      <c r="E430" s="104">
        <v>18411.21</v>
      </c>
      <c r="F430" s="104">
        <v>62979.5</v>
      </c>
      <c r="G430" s="104">
        <v>34848.25</v>
      </c>
      <c r="H430" s="104">
        <v>22374.92</v>
      </c>
      <c r="I430" s="104">
        <v>37863.58</v>
      </c>
      <c r="J430" s="104">
        <v>16835.38</v>
      </c>
      <c r="K430" s="104">
        <v>128191.25</v>
      </c>
      <c r="L430" s="104">
        <v>137831.87</v>
      </c>
      <c r="M430" s="104">
        <v>22118.5</v>
      </c>
      <c r="N430" s="104">
        <v>174229.25</v>
      </c>
      <c r="O430" s="104">
        <v>-132606.06</v>
      </c>
      <c r="P430" s="106">
        <v>566599.65</v>
      </c>
    </row>
    <row r="431" spans="1:16" customFormat="1" ht="15" hidden="1" thickBot="1" x14ac:dyDescent="0.35">
      <c r="A431" s="103" t="s">
        <v>188</v>
      </c>
      <c r="B431" s="103" t="s">
        <v>448</v>
      </c>
      <c r="C431" s="103" t="s">
        <v>449</v>
      </c>
      <c r="D431" s="105"/>
      <c r="E431" s="105"/>
      <c r="F431" s="104">
        <v>131.28</v>
      </c>
      <c r="G431" s="105"/>
      <c r="H431" s="105"/>
      <c r="I431" s="105"/>
      <c r="J431" s="105"/>
      <c r="K431" s="105"/>
      <c r="L431" s="105"/>
      <c r="M431" s="105"/>
      <c r="N431" s="105"/>
      <c r="O431" s="105"/>
      <c r="P431" s="106">
        <v>131.28</v>
      </c>
    </row>
    <row r="432" spans="1:16" customFormat="1" ht="15" hidden="1" thickBot="1" x14ac:dyDescent="0.35">
      <c r="A432" s="103" t="s">
        <v>172</v>
      </c>
      <c r="B432" s="103" t="s">
        <v>448</v>
      </c>
      <c r="C432" s="103" t="s">
        <v>449</v>
      </c>
      <c r="D432" s="107"/>
      <c r="E432" s="107"/>
      <c r="F432" s="107"/>
      <c r="G432" s="108">
        <v>17.420000000000002</v>
      </c>
      <c r="H432" s="107"/>
      <c r="I432" s="107"/>
      <c r="J432" s="107"/>
      <c r="K432" s="107"/>
      <c r="L432" s="107"/>
      <c r="M432" s="107"/>
      <c r="N432" s="107"/>
      <c r="O432" s="107"/>
      <c r="P432" s="106">
        <v>17.420000000000002</v>
      </c>
    </row>
    <row r="433" spans="1:16" customFormat="1" ht="15" hidden="1" thickBot="1" x14ac:dyDescent="0.35">
      <c r="A433" s="103" t="s">
        <v>173</v>
      </c>
      <c r="B433" s="103" t="s">
        <v>448</v>
      </c>
      <c r="C433" s="103" t="s">
        <v>449</v>
      </c>
      <c r="D433" s="108">
        <v>56098.05</v>
      </c>
      <c r="E433" s="108">
        <v>39504.28</v>
      </c>
      <c r="F433" s="108">
        <v>42070.98</v>
      </c>
      <c r="G433" s="108">
        <v>53954.97</v>
      </c>
      <c r="H433" s="108">
        <v>42012.34</v>
      </c>
      <c r="I433" s="108">
        <v>44309.54</v>
      </c>
      <c r="J433" s="108">
        <v>79100.41</v>
      </c>
      <c r="K433" s="108">
        <v>50123.07</v>
      </c>
      <c r="L433" s="108">
        <v>51434.85</v>
      </c>
      <c r="M433" s="108">
        <v>43580.56</v>
      </c>
      <c r="N433" s="108">
        <v>54435.4</v>
      </c>
      <c r="O433" s="108">
        <v>57847.47</v>
      </c>
      <c r="P433" s="106">
        <v>614471.92000000004</v>
      </c>
    </row>
    <row r="434" spans="1:16" customFormat="1" ht="21" hidden="1" thickBot="1" x14ac:dyDescent="0.35">
      <c r="A434" s="103" t="s">
        <v>173</v>
      </c>
      <c r="B434" s="103" t="s">
        <v>450</v>
      </c>
      <c r="C434" s="103" t="s">
        <v>451</v>
      </c>
      <c r="D434" s="105"/>
      <c r="E434" s="105"/>
      <c r="F434" s="105"/>
      <c r="G434" s="105"/>
      <c r="H434" s="105"/>
      <c r="I434" s="105"/>
      <c r="J434" s="105"/>
      <c r="K434" s="105"/>
      <c r="L434" s="105"/>
      <c r="M434" s="104">
        <v>-128.61000000000001</v>
      </c>
      <c r="N434" s="104">
        <v>-322.64</v>
      </c>
      <c r="O434" s="105"/>
      <c r="P434" s="106">
        <v>-451.25</v>
      </c>
    </row>
    <row r="435" spans="1:16" customFormat="1" ht="15" hidden="1" thickBot="1" x14ac:dyDescent="0.35">
      <c r="A435" s="103" t="s">
        <v>173</v>
      </c>
      <c r="B435" s="103" t="s">
        <v>452</v>
      </c>
      <c r="C435" s="103" t="s">
        <v>453</v>
      </c>
      <c r="D435" s="107"/>
      <c r="E435" s="107"/>
      <c r="F435" s="107"/>
      <c r="G435" s="107"/>
      <c r="H435" s="107"/>
      <c r="I435" s="107"/>
      <c r="J435" s="107"/>
      <c r="K435" s="107"/>
      <c r="L435" s="107"/>
      <c r="M435" s="108">
        <v>128.61000000000001</v>
      </c>
      <c r="N435" s="108">
        <v>322.64</v>
      </c>
      <c r="O435" s="107"/>
      <c r="P435" s="106">
        <v>451.25</v>
      </c>
    </row>
    <row r="436" spans="1:16" customFormat="1" ht="15" hidden="1" thickBot="1" x14ac:dyDescent="0.35">
      <c r="A436" s="103" t="s">
        <v>173</v>
      </c>
      <c r="B436" s="103" t="s">
        <v>454</v>
      </c>
      <c r="C436" s="103" t="s">
        <v>455</v>
      </c>
      <c r="D436" s="105"/>
      <c r="E436" s="105"/>
      <c r="F436" s="105"/>
      <c r="G436" s="105"/>
      <c r="H436" s="105"/>
      <c r="I436" s="105"/>
      <c r="J436" s="105"/>
      <c r="K436" s="104">
        <v>45.2</v>
      </c>
      <c r="L436" s="105"/>
      <c r="M436" s="105"/>
      <c r="N436" s="105"/>
      <c r="O436" s="105"/>
      <c r="P436" s="106">
        <v>45.2</v>
      </c>
    </row>
    <row r="437" spans="1:16" customFormat="1" ht="15" hidden="1" thickBot="1" x14ac:dyDescent="0.35">
      <c r="A437" s="103" t="s">
        <v>173</v>
      </c>
      <c r="B437" s="103" t="s">
        <v>456</v>
      </c>
      <c r="C437" s="103" t="s">
        <v>457</v>
      </c>
      <c r="D437" s="108">
        <v>2445.09</v>
      </c>
      <c r="E437" s="108">
        <v>6739.69</v>
      </c>
      <c r="F437" s="108">
        <v>3691.98</v>
      </c>
      <c r="G437" s="108">
        <v>1094.94</v>
      </c>
      <c r="H437" s="108">
        <v>419.69</v>
      </c>
      <c r="I437" s="108">
        <v>2732.65</v>
      </c>
      <c r="J437" s="108">
        <v>7192.37</v>
      </c>
      <c r="K437" s="108">
        <v>2796.27</v>
      </c>
      <c r="L437" s="108">
        <v>3796.27</v>
      </c>
      <c r="M437" s="108">
        <v>6433.03</v>
      </c>
      <c r="N437" s="108">
        <v>745.53</v>
      </c>
      <c r="O437" s="108">
        <v>16964.18</v>
      </c>
      <c r="P437" s="106">
        <v>55051.69</v>
      </c>
    </row>
    <row r="438" spans="1:16" customFormat="1" ht="15" hidden="1" thickBot="1" x14ac:dyDescent="0.35">
      <c r="A438" s="103" t="s">
        <v>173</v>
      </c>
      <c r="B438" s="103" t="s">
        <v>458</v>
      </c>
      <c r="C438" s="103" t="s">
        <v>459</v>
      </c>
      <c r="D438" s="105"/>
      <c r="E438" s="105"/>
      <c r="F438" s="105"/>
      <c r="G438" s="105"/>
      <c r="H438" s="105"/>
      <c r="I438" s="104">
        <v>71.209999999999994</v>
      </c>
      <c r="J438" s="105"/>
      <c r="K438" s="104">
        <v>13.5</v>
      </c>
      <c r="L438" s="105"/>
      <c r="M438" s="105"/>
      <c r="N438" s="105"/>
      <c r="O438" s="105"/>
      <c r="P438" s="106">
        <v>84.71</v>
      </c>
    </row>
    <row r="439" spans="1:16" customFormat="1" ht="15" hidden="1" thickBot="1" x14ac:dyDescent="0.35">
      <c r="A439" s="103" t="s">
        <v>173</v>
      </c>
      <c r="B439" s="103" t="s">
        <v>460</v>
      </c>
      <c r="C439" s="103" t="s">
        <v>461</v>
      </c>
      <c r="D439" s="108">
        <v>80668.320000000007</v>
      </c>
      <c r="E439" s="108">
        <v>97476.49</v>
      </c>
      <c r="F439" s="108">
        <v>55294.94</v>
      </c>
      <c r="G439" s="108">
        <v>62293.32</v>
      </c>
      <c r="H439" s="108">
        <v>72804.83</v>
      </c>
      <c r="I439" s="108">
        <v>65151.55</v>
      </c>
      <c r="J439" s="108">
        <v>70813.17</v>
      </c>
      <c r="K439" s="108">
        <v>81256.100000000006</v>
      </c>
      <c r="L439" s="108">
        <v>81137.13</v>
      </c>
      <c r="M439" s="108">
        <v>134770.38</v>
      </c>
      <c r="N439" s="108">
        <v>110483.79</v>
      </c>
      <c r="O439" s="108">
        <v>102773.48</v>
      </c>
      <c r="P439" s="106">
        <v>1014923.5</v>
      </c>
    </row>
    <row r="440" spans="1:16" customFormat="1" ht="15" hidden="1" thickBot="1" x14ac:dyDescent="0.35">
      <c r="A440" s="103" t="s">
        <v>165</v>
      </c>
      <c r="B440" s="103" t="s">
        <v>462</v>
      </c>
      <c r="C440" s="103" t="s">
        <v>463</v>
      </c>
      <c r="D440" s="107"/>
      <c r="E440" s="107"/>
      <c r="F440" s="107"/>
      <c r="G440" s="108">
        <v>20.75</v>
      </c>
      <c r="H440" s="107"/>
      <c r="I440" s="107"/>
      <c r="J440" s="107"/>
      <c r="K440" s="107"/>
      <c r="L440" s="107"/>
      <c r="M440" s="107"/>
      <c r="N440" s="107"/>
      <c r="O440" s="107"/>
      <c r="P440" s="106">
        <v>20.75</v>
      </c>
    </row>
    <row r="441" spans="1:16" customFormat="1" ht="15" hidden="1" thickBot="1" x14ac:dyDescent="0.35">
      <c r="A441" s="103" t="s">
        <v>173</v>
      </c>
      <c r="B441" s="103" t="s">
        <v>462</v>
      </c>
      <c r="C441" s="103" t="s">
        <v>463</v>
      </c>
      <c r="D441" s="104">
        <v>355.31</v>
      </c>
      <c r="E441" s="104">
        <v>462.4</v>
      </c>
      <c r="F441" s="104">
        <v>3955.45</v>
      </c>
      <c r="G441" s="104">
        <v>6069.54</v>
      </c>
      <c r="H441" s="104">
        <v>2095.4899999999998</v>
      </c>
      <c r="I441" s="104">
        <v>2198.3000000000002</v>
      </c>
      <c r="J441" s="104">
        <v>39.4</v>
      </c>
      <c r="K441" s="104">
        <v>1000</v>
      </c>
      <c r="L441" s="104">
        <v>1643.19</v>
      </c>
      <c r="M441" s="104">
        <v>3161.97</v>
      </c>
      <c r="N441" s="104">
        <v>4684.75</v>
      </c>
      <c r="O441" s="104">
        <v>4337.37</v>
      </c>
      <c r="P441" s="106">
        <v>30003.17</v>
      </c>
    </row>
    <row r="442" spans="1:16" customFormat="1" ht="15" hidden="1" thickBot="1" x14ac:dyDescent="0.35">
      <c r="A442" s="103" t="s">
        <v>173</v>
      </c>
      <c r="B442" s="103" t="s">
        <v>464</v>
      </c>
      <c r="C442" s="103" t="s">
        <v>465</v>
      </c>
      <c r="D442" s="108">
        <v>1035.46</v>
      </c>
      <c r="E442" s="108">
        <v>16309.47</v>
      </c>
      <c r="F442" s="108">
        <v>1747.79</v>
      </c>
      <c r="G442" s="108">
        <v>2857.88</v>
      </c>
      <c r="H442" s="108">
        <v>3526.42</v>
      </c>
      <c r="I442" s="108">
        <v>2577.1999999999998</v>
      </c>
      <c r="J442" s="108">
        <v>3620.93</v>
      </c>
      <c r="K442" s="108">
        <v>783.38</v>
      </c>
      <c r="L442" s="108">
        <v>1551.15</v>
      </c>
      <c r="M442" s="108">
        <v>1226.3399999999999</v>
      </c>
      <c r="N442" s="108">
        <v>948.93</v>
      </c>
      <c r="O442" s="108">
        <v>2374.9299999999998</v>
      </c>
      <c r="P442" s="106">
        <v>38559.879999999997</v>
      </c>
    </row>
    <row r="443" spans="1:16" customFormat="1" ht="15" hidden="1" thickBot="1" x14ac:dyDescent="0.35">
      <c r="A443" s="103" t="s">
        <v>247</v>
      </c>
      <c r="B443" s="103" t="s">
        <v>464</v>
      </c>
      <c r="C443" s="103" t="s">
        <v>465</v>
      </c>
      <c r="D443" s="105"/>
      <c r="E443" s="105"/>
      <c r="F443" s="104">
        <v>152.94</v>
      </c>
      <c r="G443" s="105"/>
      <c r="H443" s="105"/>
      <c r="I443" s="105"/>
      <c r="J443" s="105"/>
      <c r="K443" s="105"/>
      <c r="L443" s="105"/>
      <c r="M443" s="105"/>
      <c r="N443" s="105"/>
      <c r="O443" s="105"/>
      <c r="P443" s="106">
        <v>152.94</v>
      </c>
    </row>
    <row r="444" spans="1:16" customFormat="1" ht="15" hidden="1" thickBot="1" x14ac:dyDescent="0.35">
      <c r="A444" s="103" t="s">
        <v>163</v>
      </c>
      <c r="B444" s="103" t="s">
        <v>466</v>
      </c>
      <c r="C444" s="103" t="s">
        <v>467</v>
      </c>
      <c r="D444" s="105"/>
      <c r="E444" s="105"/>
      <c r="F444" s="105"/>
      <c r="G444" s="104">
        <v>787.8</v>
      </c>
      <c r="H444" s="105"/>
      <c r="I444" s="104">
        <v>266.7</v>
      </c>
      <c r="J444" s="105"/>
      <c r="K444" s="105"/>
      <c r="L444" s="105"/>
      <c r="M444" s="105"/>
      <c r="N444" s="105"/>
      <c r="O444" s="105"/>
      <c r="P444" s="106">
        <v>1054.5</v>
      </c>
    </row>
    <row r="445" spans="1:16" customFormat="1" ht="15" hidden="1" thickBot="1" x14ac:dyDescent="0.35">
      <c r="A445" s="103" t="s">
        <v>173</v>
      </c>
      <c r="B445" s="103" t="s">
        <v>466</v>
      </c>
      <c r="C445" s="103" t="s">
        <v>467</v>
      </c>
      <c r="D445" s="104">
        <v>446.44</v>
      </c>
      <c r="E445" s="104">
        <v>835.96</v>
      </c>
      <c r="F445" s="104">
        <v>2968.78</v>
      </c>
      <c r="G445" s="104">
        <v>1793.18</v>
      </c>
      <c r="H445" s="104">
        <v>5408.94</v>
      </c>
      <c r="I445" s="104">
        <v>620.91999999999996</v>
      </c>
      <c r="J445" s="104">
        <v>1145.5</v>
      </c>
      <c r="K445" s="104">
        <v>2326.83</v>
      </c>
      <c r="L445" s="104">
        <v>775.15</v>
      </c>
      <c r="M445" s="104">
        <v>3205.52</v>
      </c>
      <c r="N445" s="104">
        <v>2064.65</v>
      </c>
      <c r="O445" s="104">
        <v>4262.41</v>
      </c>
      <c r="P445" s="106">
        <v>25854.28</v>
      </c>
    </row>
    <row r="446" spans="1:16" customFormat="1" ht="21" hidden="1" thickBot="1" x14ac:dyDescent="0.35">
      <c r="A446" s="103" t="s">
        <v>173</v>
      </c>
      <c r="B446" s="103" t="s">
        <v>468</v>
      </c>
      <c r="C446" s="103" t="s">
        <v>469</v>
      </c>
      <c r="D446" s="108">
        <v>782.56</v>
      </c>
      <c r="E446" s="108">
        <v>237.5</v>
      </c>
      <c r="F446" s="108">
        <v>8651.94</v>
      </c>
      <c r="G446" s="108">
        <v>-98.86</v>
      </c>
      <c r="H446" s="108">
        <v>685.81</v>
      </c>
      <c r="I446" s="108">
        <v>219.95</v>
      </c>
      <c r="J446" s="108">
        <v>2072.9</v>
      </c>
      <c r="K446" s="108">
        <v>1001.25</v>
      </c>
      <c r="L446" s="108">
        <v>3842.86</v>
      </c>
      <c r="M446" s="108">
        <v>2408.7199999999998</v>
      </c>
      <c r="N446" s="108">
        <v>27617.29</v>
      </c>
      <c r="O446" s="108">
        <v>13492.39</v>
      </c>
      <c r="P446" s="106">
        <v>60914.31</v>
      </c>
    </row>
    <row r="447" spans="1:16" customFormat="1" ht="15" hidden="1" thickBot="1" x14ac:dyDescent="0.35">
      <c r="A447" s="103" t="s">
        <v>173</v>
      </c>
      <c r="B447" s="103" t="s">
        <v>470</v>
      </c>
      <c r="C447" s="103" t="s">
        <v>471</v>
      </c>
      <c r="D447" s="104">
        <v>563.41999999999996</v>
      </c>
      <c r="E447" s="104">
        <v>2403.25</v>
      </c>
      <c r="F447" s="104">
        <v>4190.49</v>
      </c>
      <c r="G447" s="104">
        <v>3656.69</v>
      </c>
      <c r="H447" s="104">
        <v>1988.98</v>
      </c>
      <c r="I447" s="104">
        <v>-214.65</v>
      </c>
      <c r="J447" s="104">
        <v>560.97</v>
      </c>
      <c r="K447" s="104">
        <v>1136.26</v>
      </c>
      <c r="L447" s="104">
        <v>4424.6400000000003</v>
      </c>
      <c r="M447" s="104">
        <v>4351.54</v>
      </c>
      <c r="N447" s="104">
        <v>1043.33</v>
      </c>
      <c r="O447" s="104">
        <v>3238.84</v>
      </c>
      <c r="P447" s="106">
        <v>27343.759999999998</v>
      </c>
    </row>
    <row r="448" spans="1:16" customFormat="1" ht="15" hidden="1" thickBot="1" x14ac:dyDescent="0.35">
      <c r="A448" s="103" t="s">
        <v>173</v>
      </c>
      <c r="B448" s="103" t="s">
        <v>472</v>
      </c>
      <c r="C448" s="103" t="s">
        <v>473</v>
      </c>
      <c r="D448" s="108">
        <v>670.24</v>
      </c>
      <c r="E448" s="108">
        <v>2788.93</v>
      </c>
      <c r="F448" s="108">
        <v>2760.22</v>
      </c>
      <c r="G448" s="108">
        <v>1067.58</v>
      </c>
      <c r="H448" s="108">
        <v>18304.810000000001</v>
      </c>
      <c r="I448" s="108">
        <v>6693.98</v>
      </c>
      <c r="J448" s="108">
        <v>1289.0999999999999</v>
      </c>
      <c r="K448" s="108">
        <v>715.41</v>
      </c>
      <c r="L448" s="108">
        <v>3231.44</v>
      </c>
      <c r="M448" s="108">
        <v>4077.16</v>
      </c>
      <c r="N448" s="108">
        <v>1624.26</v>
      </c>
      <c r="O448" s="108">
        <v>7022.85</v>
      </c>
      <c r="P448" s="106">
        <v>50245.98</v>
      </c>
    </row>
    <row r="449" spans="1:16" customFormat="1" ht="15" hidden="1" thickBot="1" x14ac:dyDescent="0.35">
      <c r="A449" s="103" t="s">
        <v>173</v>
      </c>
      <c r="B449" s="103" t="s">
        <v>474</v>
      </c>
      <c r="C449" s="103" t="s">
        <v>475</v>
      </c>
      <c r="D449" s="104">
        <v>3513.19</v>
      </c>
      <c r="E449" s="104">
        <v>404.49</v>
      </c>
      <c r="F449" s="105"/>
      <c r="G449" s="105"/>
      <c r="H449" s="105"/>
      <c r="I449" s="105"/>
      <c r="J449" s="105"/>
      <c r="K449" s="105"/>
      <c r="L449" s="105"/>
      <c r="M449" s="105"/>
      <c r="N449" s="105"/>
      <c r="O449" s="105"/>
      <c r="P449" s="106">
        <v>3917.68</v>
      </c>
    </row>
    <row r="450" spans="1:16" customFormat="1" ht="15" hidden="1" thickBot="1" x14ac:dyDescent="0.35">
      <c r="A450" s="103" t="s">
        <v>173</v>
      </c>
      <c r="B450" s="103" t="s">
        <v>476</v>
      </c>
      <c r="C450" s="103" t="s">
        <v>477</v>
      </c>
      <c r="D450" s="107"/>
      <c r="E450" s="107"/>
      <c r="F450" s="107"/>
      <c r="G450" s="107"/>
      <c r="H450" s="107"/>
      <c r="I450" s="107"/>
      <c r="J450" s="107"/>
      <c r="K450" s="107"/>
      <c r="L450" s="108">
        <v>642.85</v>
      </c>
      <c r="M450" s="108">
        <v>199.03</v>
      </c>
      <c r="N450" s="107"/>
      <c r="O450" s="107"/>
      <c r="P450" s="106">
        <v>841.88</v>
      </c>
    </row>
    <row r="451" spans="1:16" customFormat="1" ht="15" hidden="1" thickBot="1" x14ac:dyDescent="0.35">
      <c r="A451" s="103" t="s">
        <v>173</v>
      </c>
      <c r="B451" s="103" t="s">
        <v>478</v>
      </c>
      <c r="C451" s="103" t="s">
        <v>479</v>
      </c>
      <c r="D451" s="104">
        <v>2725.59</v>
      </c>
      <c r="E451" s="104">
        <v>1635.91</v>
      </c>
      <c r="F451" s="104">
        <v>38137.449999999997</v>
      </c>
      <c r="G451" s="104">
        <v>4560.57</v>
      </c>
      <c r="H451" s="104">
        <v>1537.96</v>
      </c>
      <c r="I451" s="104">
        <v>517.82000000000005</v>
      </c>
      <c r="J451" s="104">
        <v>2442.8200000000002</v>
      </c>
      <c r="K451" s="104">
        <v>1840.78</v>
      </c>
      <c r="L451" s="104">
        <v>3934.36</v>
      </c>
      <c r="M451" s="104">
        <v>4583.66</v>
      </c>
      <c r="N451" s="104">
        <v>1857.59</v>
      </c>
      <c r="O451" s="104">
        <v>2720.53</v>
      </c>
      <c r="P451" s="106">
        <v>66495.039999999994</v>
      </c>
    </row>
    <row r="452" spans="1:16" customFormat="1" ht="15" hidden="1" thickBot="1" x14ac:dyDescent="0.35">
      <c r="A452" s="103" t="s">
        <v>173</v>
      </c>
      <c r="B452" s="103" t="s">
        <v>480</v>
      </c>
      <c r="C452" s="103" t="s">
        <v>481</v>
      </c>
      <c r="D452" s="108">
        <v>1742.56</v>
      </c>
      <c r="E452" s="108">
        <v>3236.68</v>
      </c>
      <c r="F452" s="108">
        <v>2621.1799999999998</v>
      </c>
      <c r="G452" s="108">
        <v>2856.37</v>
      </c>
      <c r="H452" s="108">
        <v>3269.89</v>
      </c>
      <c r="I452" s="108">
        <v>1497.16</v>
      </c>
      <c r="J452" s="108">
        <v>2051.6</v>
      </c>
      <c r="K452" s="108">
        <v>1131.9000000000001</v>
      </c>
      <c r="L452" s="108">
        <v>1848.59</v>
      </c>
      <c r="M452" s="108">
        <v>1762.48</v>
      </c>
      <c r="N452" s="108">
        <v>563.66</v>
      </c>
      <c r="O452" s="108">
        <v>4039.08</v>
      </c>
      <c r="P452" s="106">
        <v>26621.15</v>
      </c>
    </row>
    <row r="453" spans="1:16" customFormat="1" ht="15" hidden="1" thickBot="1" x14ac:dyDescent="0.35">
      <c r="A453" s="103" t="s">
        <v>173</v>
      </c>
      <c r="B453" s="103" t="s">
        <v>482</v>
      </c>
      <c r="C453" s="103" t="s">
        <v>483</v>
      </c>
      <c r="D453" s="104">
        <v>8845.06</v>
      </c>
      <c r="E453" s="104">
        <v>8801.2999999999993</v>
      </c>
      <c r="F453" s="104">
        <v>11920.29</v>
      </c>
      <c r="G453" s="104">
        <v>3257.06</v>
      </c>
      <c r="H453" s="104">
        <v>3987.64</v>
      </c>
      <c r="I453" s="104">
        <v>14833.77</v>
      </c>
      <c r="J453" s="104">
        <v>3294.88</v>
      </c>
      <c r="K453" s="104">
        <v>812.94</v>
      </c>
      <c r="L453" s="104">
        <v>26998.91</v>
      </c>
      <c r="M453" s="104">
        <v>2151.64</v>
      </c>
      <c r="N453" s="104">
        <v>2690.41</v>
      </c>
      <c r="O453" s="104">
        <v>4356.1499999999996</v>
      </c>
      <c r="P453" s="106">
        <v>91950.05</v>
      </c>
    </row>
    <row r="454" spans="1:16" customFormat="1" ht="15" hidden="1" thickBot="1" x14ac:dyDescent="0.35">
      <c r="A454" s="103" t="s">
        <v>173</v>
      </c>
      <c r="B454" s="103" t="s">
        <v>484</v>
      </c>
      <c r="C454" s="103" t="s">
        <v>485</v>
      </c>
      <c r="D454" s="108">
        <v>2907.44</v>
      </c>
      <c r="E454" s="108">
        <v>3319.32</v>
      </c>
      <c r="F454" s="108">
        <v>2307.42</v>
      </c>
      <c r="G454" s="108">
        <v>1154.0999999999999</v>
      </c>
      <c r="H454" s="108">
        <v>2680.56</v>
      </c>
      <c r="I454" s="108">
        <v>1427.27</v>
      </c>
      <c r="J454" s="108">
        <v>1215.22</v>
      </c>
      <c r="K454" s="108">
        <v>1316.59</v>
      </c>
      <c r="L454" s="108">
        <v>2532.98</v>
      </c>
      <c r="M454" s="108">
        <v>4755.87</v>
      </c>
      <c r="N454" s="108">
        <v>1614.24</v>
      </c>
      <c r="O454" s="108">
        <v>13175.48</v>
      </c>
      <c r="P454" s="106">
        <v>38406.49</v>
      </c>
    </row>
    <row r="455" spans="1:16" customFormat="1" ht="15" hidden="1" thickBot="1" x14ac:dyDescent="0.35">
      <c r="A455" s="103" t="s">
        <v>258</v>
      </c>
      <c r="B455" s="103" t="s">
        <v>484</v>
      </c>
      <c r="C455" s="103" t="s">
        <v>485</v>
      </c>
      <c r="D455" s="107"/>
      <c r="E455" s="107"/>
      <c r="F455" s="107"/>
      <c r="G455" s="107"/>
      <c r="H455" s="107"/>
      <c r="I455" s="107"/>
      <c r="J455" s="107"/>
      <c r="K455" s="107"/>
      <c r="L455" s="107"/>
      <c r="M455" s="107"/>
      <c r="N455" s="107"/>
      <c r="O455" s="108">
        <v>125</v>
      </c>
      <c r="P455" s="106">
        <v>125</v>
      </c>
    </row>
    <row r="456" spans="1:16" customFormat="1" ht="15" hidden="1" thickBot="1" x14ac:dyDescent="0.35">
      <c r="A456" s="103" t="s">
        <v>173</v>
      </c>
      <c r="B456" s="103" t="s">
        <v>486</v>
      </c>
      <c r="C456" s="103" t="s">
        <v>487</v>
      </c>
      <c r="D456" s="104">
        <v>5172.07</v>
      </c>
      <c r="E456" s="104">
        <v>2291.19</v>
      </c>
      <c r="F456" s="104">
        <v>536.51</v>
      </c>
      <c r="G456" s="104">
        <v>2149.29</v>
      </c>
      <c r="H456" s="104">
        <v>2022.06</v>
      </c>
      <c r="I456" s="104">
        <v>2327.08</v>
      </c>
      <c r="J456" s="104">
        <v>452.8</v>
      </c>
      <c r="K456" s="104">
        <v>1771.27</v>
      </c>
      <c r="L456" s="104">
        <v>2732.25</v>
      </c>
      <c r="M456" s="104">
        <v>2923.44</v>
      </c>
      <c r="N456" s="104">
        <v>1269.57</v>
      </c>
      <c r="O456" s="104">
        <v>4971.82</v>
      </c>
      <c r="P456" s="106">
        <v>28619.35</v>
      </c>
    </row>
    <row r="457" spans="1:16" customFormat="1" ht="15" hidden="1" thickBot="1" x14ac:dyDescent="0.35">
      <c r="A457" s="103" t="s">
        <v>173</v>
      </c>
      <c r="B457" s="103" t="s">
        <v>488</v>
      </c>
      <c r="C457" s="103" t="s">
        <v>489</v>
      </c>
      <c r="D457" s="108">
        <v>83453.39</v>
      </c>
      <c r="E457" s="108">
        <v>85445.06</v>
      </c>
      <c r="F457" s="108">
        <v>83336.289999999994</v>
      </c>
      <c r="G457" s="108">
        <v>81749.119999999995</v>
      </c>
      <c r="H457" s="108">
        <v>82744.350000000006</v>
      </c>
      <c r="I457" s="108">
        <v>83813.289999999994</v>
      </c>
      <c r="J457" s="108">
        <v>80201.78</v>
      </c>
      <c r="K457" s="108">
        <v>79085.23</v>
      </c>
      <c r="L457" s="108">
        <v>83413.61</v>
      </c>
      <c r="M457" s="108">
        <v>82882.58</v>
      </c>
      <c r="N457" s="108">
        <v>82780.91</v>
      </c>
      <c r="O457" s="108">
        <v>85151.62</v>
      </c>
      <c r="P457" s="106">
        <v>994057.23</v>
      </c>
    </row>
    <row r="458" spans="1:16" customFormat="1" ht="15" hidden="1" thickBot="1" x14ac:dyDescent="0.35">
      <c r="A458" s="103" t="s">
        <v>173</v>
      </c>
      <c r="B458" s="103" t="s">
        <v>490</v>
      </c>
      <c r="C458" s="103" t="s">
        <v>491</v>
      </c>
      <c r="D458" s="104">
        <v>453183.26</v>
      </c>
      <c r="E458" s="104">
        <v>464994.69</v>
      </c>
      <c r="F458" s="104">
        <v>455865.25</v>
      </c>
      <c r="G458" s="104">
        <v>471323.19</v>
      </c>
      <c r="H458" s="104">
        <v>470246.74</v>
      </c>
      <c r="I458" s="104">
        <v>464562</v>
      </c>
      <c r="J458" s="104">
        <v>444987.41</v>
      </c>
      <c r="K458" s="104">
        <v>454681.81</v>
      </c>
      <c r="L458" s="104">
        <v>471064.73</v>
      </c>
      <c r="M458" s="104">
        <v>478041.33</v>
      </c>
      <c r="N458" s="104">
        <v>455299.47</v>
      </c>
      <c r="O458" s="104">
        <v>408864.28</v>
      </c>
      <c r="P458" s="106">
        <v>5493114.1600000001</v>
      </c>
    </row>
    <row r="459" spans="1:16" customFormat="1" ht="15" hidden="1" thickBot="1" x14ac:dyDescent="0.35">
      <c r="A459" s="103" t="s">
        <v>173</v>
      </c>
      <c r="B459" s="103" t="s">
        <v>492</v>
      </c>
      <c r="C459" s="103" t="s">
        <v>493</v>
      </c>
      <c r="D459" s="108">
        <v>79339.83</v>
      </c>
      <c r="E459" s="108">
        <v>53095.94</v>
      </c>
      <c r="F459" s="108">
        <v>42383.46</v>
      </c>
      <c r="G459" s="108">
        <v>47700.77</v>
      </c>
      <c r="H459" s="108">
        <v>42857.82</v>
      </c>
      <c r="I459" s="108">
        <v>38294.67</v>
      </c>
      <c r="J459" s="108">
        <v>32261.51</v>
      </c>
      <c r="K459" s="108">
        <v>38124.14</v>
      </c>
      <c r="L459" s="108">
        <v>40611.949999999997</v>
      </c>
      <c r="M459" s="108">
        <v>44104.37</v>
      </c>
      <c r="N459" s="108">
        <v>48161.61</v>
      </c>
      <c r="O459" s="108">
        <v>41072.730000000003</v>
      </c>
      <c r="P459" s="106">
        <v>548008.80000000005</v>
      </c>
    </row>
    <row r="460" spans="1:16" customFormat="1" ht="15" hidden="1" thickBot="1" x14ac:dyDescent="0.35">
      <c r="A460" s="103" t="s">
        <v>173</v>
      </c>
      <c r="B460" s="103" t="s">
        <v>494</v>
      </c>
      <c r="C460" s="103" t="s">
        <v>495</v>
      </c>
      <c r="D460" s="105"/>
      <c r="E460" s="105"/>
      <c r="F460" s="104">
        <v>150</v>
      </c>
      <c r="G460" s="105"/>
      <c r="H460" s="104">
        <v>300</v>
      </c>
      <c r="I460" s="105"/>
      <c r="J460" s="105"/>
      <c r="K460" s="104">
        <v>158</v>
      </c>
      <c r="L460" s="105"/>
      <c r="M460" s="104">
        <v>158</v>
      </c>
      <c r="N460" s="105"/>
      <c r="O460" s="104">
        <v>158</v>
      </c>
      <c r="P460" s="106">
        <v>924</v>
      </c>
    </row>
    <row r="461" spans="1:16" customFormat="1" ht="15" hidden="1" thickBot="1" x14ac:dyDescent="0.35">
      <c r="A461" s="103" t="s">
        <v>247</v>
      </c>
      <c r="B461" s="103" t="s">
        <v>494</v>
      </c>
      <c r="C461" s="103" t="s">
        <v>495</v>
      </c>
      <c r="D461" s="107"/>
      <c r="E461" s="107"/>
      <c r="F461" s="107"/>
      <c r="G461" s="108">
        <v>-13270.38</v>
      </c>
      <c r="H461" s="107"/>
      <c r="I461" s="107"/>
      <c r="J461" s="108">
        <v>6777.47</v>
      </c>
      <c r="K461" s="107"/>
      <c r="L461" s="107"/>
      <c r="M461" s="108">
        <v>-364.35</v>
      </c>
      <c r="N461" s="107"/>
      <c r="O461" s="107"/>
      <c r="P461" s="106">
        <v>-6857.26</v>
      </c>
    </row>
    <row r="462" spans="1:16" customFormat="1" ht="15" hidden="1" thickBot="1" x14ac:dyDescent="0.35">
      <c r="A462" s="103" t="s">
        <v>173</v>
      </c>
      <c r="B462" s="103" t="s">
        <v>496</v>
      </c>
      <c r="C462" s="103" t="s">
        <v>497</v>
      </c>
      <c r="D462" s="108">
        <v>101774.75</v>
      </c>
      <c r="E462" s="107"/>
      <c r="F462" s="107"/>
      <c r="G462" s="108">
        <v>139842.82999999999</v>
      </c>
      <c r="H462" s="108">
        <v>9517.02</v>
      </c>
      <c r="I462" s="108">
        <v>9517.02</v>
      </c>
      <c r="J462" s="108">
        <v>137051.76999999999</v>
      </c>
      <c r="K462" s="108">
        <v>9517.02</v>
      </c>
      <c r="L462" s="108">
        <v>9517.02</v>
      </c>
      <c r="M462" s="108">
        <v>111291.77</v>
      </c>
      <c r="N462" s="108">
        <v>9517.02</v>
      </c>
      <c r="O462" s="108">
        <v>9517.02</v>
      </c>
      <c r="P462" s="106">
        <v>547063.24</v>
      </c>
    </row>
    <row r="463" spans="1:16" customFormat="1" ht="15" hidden="1" thickBot="1" x14ac:dyDescent="0.35">
      <c r="A463" s="103" t="s">
        <v>247</v>
      </c>
      <c r="B463" s="103" t="s">
        <v>496</v>
      </c>
      <c r="C463" s="103" t="s">
        <v>497</v>
      </c>
      <c r="D463" s="105"/>
      <c r="E463" s="105"/>
      <c r="F463" s="105"/>
      <c r="G463" s="105"/>
      <c r="H463" s="104">
        <v>4944.5600000000004</v>
      </c>
      <c r="I463" s="105"/>
      <c r="J463" s="104">
        <v>4944.5600000000004</v>
      </c>
      <c r="K463" s="105"/>
      <c r="L463" s="105"/>
      <c r="M463" s="104">
        <v>4944.5600000000004</v>
      </c>
      <c r="N463" s="105"/>
      <c r="O463" s="104">
        <v>4944.5600000000004</v>
      </c>
      <c r="P463" s="106">
        <v>19778.240000000002</v>
      </c>
    </row>
    <row r="464" spans="1:16" customFormat="1" ht="15" hidden="1" thickBot="1" x14ac:dyDescent="0.35">
      <c r="A464" s="103" t="s">
        <v>173</v>
      </c>
      <c r="B464" s="103" t="s">
        <v>498</v>
      </c>
      <c r="C464" s="103" t="s">
        <v>499</v>
      </c>
      <c r="D464" s="105"/>
      <c r="E464" s="105"/>
      <c r="F464" s="105"/>
      <c r="G464" s="105"/>
      <c r="H464" s="105"/>
      <c r="I464" s="105"/>
      <c r="J464" s="105"/>
      <c r="K464" s="105"/>
      <c r="L464" s="105"/>
      <c r="M464" s="105"/>
      <c r="N464" s="105"/>
      <c r="O464" s="104">
        <v>7141.36</v>
      </c>
      <c r="P464" s="106">
        <v>7141.36</v>
      </c>
    </row>
    <row r="465" spans="1:16" customFormat="1" ht="15" hidden="1" thickBot="1" x14ac:dyDescent="0.35">
      <c r="A465" s="103" t="s">
        <v>173</v>
      </c>
      <c r="B465" s="103" t="s">
        <v>500</v>
      </c>
      <c r="C465" s="103" t="s">
        <v>501</v>
      </c>
      <c r="D465" s="108">
        <v>-5066.6099999999997</v>
      </c>
      <c r="E465" s="108">
        <v>-4427.38</v>
      </c>
      <c r="F465" s="108">
        <v>-4826.2700000000004</v>
      </c>
      <c r="G465" s="108">
        <v>-11438.91</v>
      </c>
      <c r="H465" s="108">
        <v>-7635.65</v>
      </c>
      <c r="I465" s="108">
        <v>-9962.52</v>
      </c>
      <c r="J465" s="108">
        <v>-2167.71</v>
      </c>
      <c r="K465" s="108">
        <v>-6075.03</v>
      </c>
      <c r="L465" s="108">
        <v>-4724.84</v>
      </c>
      <c r="M465" s="108">
        <v>-5665.06</v>
      </c>
      <c r="N465" s="108">
        <v>-10306.4</v>
      </c>
      <c r="O465" s="108">
        <v>-54869.01</v>
      </c>
      <c r="P465" s="106">
        <v>-127165.39</v>
      </c>
    </row>
    <row r="466" spans="1:16" customFormat="1" ht="15" hidden="1" thickBot="1" x14ac:dyDescent="0.35">
      <c r="A466" s="103" t="s">
        <v>502</v>
      </c>
      <c r="B466" s="103" t="s">
        <v>500</v>
      </c>
      <c r="C466" s="103" t="s">
        <v>501</v>
      </c>
      <c r="D466" s="104">
        <v>-17463.73</v>
      </c>
      <c r="E466" s="104">
        <v>-17525.34</v>
      </c>
      <c r="F466" s="104">
        <v>-21665.58</v>
      </c>
      <c r="G466" s="104">
        <v>-17369.38</v>
      </c>
      <c r="H466" s="104">
        <v>-15771.04</v>
      </c>
      <c r="I466" s="104">
        <v>-15351.3</v>
      </c>
      <c r="J466" s="104">
        <v>-14869.16</v>
      </c>
      <c r="K466" s="104">
        <v>-19593.43</v>
      </c>
      <c r="L466" s="104">
        <v>-15441.09</v>
      </c>
      <c r="M466" s="104">
        <v>-16203.47</v>
      </c>
      <c r="N466" s="104">
        <v>-16741.64</v>
      </c>
      <c r="O466" s="104">
        <v>-11210.48</v>
      </c>
      <c r="P466" s="106">
        <v>-199205.64</v>
      </c>
    </row>
    <row r="467" spans="1:16" customFormat="1" ht="15" hidden="1" thickBot="1" x14ac:dyDescent="0.35">
      <c r="A467" s="103" t="s">
        <v>502</v>
      </c>
      <c r="B467" s="103" t="s">
        <v>503</v>
      </c>
      <c r="C467" s="103" t="s">
        <v>504</v>
      </c>
      <c r="D467" s="108">
        <v>-1144776</v>
      </c>
      <c r="E467" s="108">
        <v>-922459</v>
      </c>
      <c r="F467" s="108">
        <v>-1475132</v>
      </c>
      <c r="G467" s="108">
        <v>-1067973</v>
      </c>
      <c r="H467" s="108">
        <v>-1134048.06</v>
      </c>
      <c r="I467" s="108">
        <v>-1152545.94</v>
      </c>
      <c r="J467" s="108">
        <v>-1137051</v>
      </c>
      <c r="K467" s="108">
        <v>-1136046</v>
      </c>
      <c r="L467" s="108">
        <v>-1318924</v>
      </c>
      <c r="M467" s="108">
        <v>-1161208</v>
      </c>
      <c r="N467" s="108">
        <v>-1116550</v>
      </c>
      <c r="O467" s="108">
        <v>-1434532</v>
      </c>
      <c r="P467" s="106">
        <v>-14201245</v>
      </c>
    </row>
    <row r="468" spans="1:16" customFormat="1" ht="15" hidden="1" thickBot="1" x14ac:dyDescent="0.35">
      <c r="A468" s="103" t="s">
        <v>173</v>
      </c>
      <c r="B468" s="103" t="s">
        <v>505</v>
      </c>
      <c r="C468" s="103" t="s">
        <v>506</v>
      </c>
      <c r="D468" s="105"/>
      <c r="E468" s="105"/>
      <c r="F468" s="104">
        <v>-1052.0999999999999</v>
      </c>
      <c r="G468" s="105"/>
      <c r="H468" s="105"/>
      <c r="I468" s="104">
        <v>23853</v>
      </c>
      <c r="J468" s="105"/>
      <c r="K468" s="105"/>
      <c r="L468" s="104">
        <v>265063</v>
      </c>
      <c r="M468" s="105"/>
      <c r="N468" s="105"/>
      <c r="O468" s="104">
        <v>-216048</v>
      </c>
      <c r="P468" s="106">
        <v>71815.899999999994</v>
      </c>
    </row>
    <row r="469" spans="1:16" customFormat="1" ht="15" hidden="1" thickBot="1" x14ac:dyDescent="0.35">
      <c r="A469" s="103" t="s">
        <v>173</v>
      </c>
      <c r="B469" s="103" t="s">
        <v>507</v>
      </c>
      <c r="C469" s="103" t="s">
        <v>508</v>
      </c>
      <c r="D469" s="107"/>
      <c r="E469" s="107"/>
      <c r="F469" s="108">
        <v>1050916.97</v>
      </c>
      <c r="G469" s="107"/>
      <c r="H469" s="107"/>
      <c r="I469" s="108">
        <v>-405493</v>
      </c>
      <c r="J469" s="107"/>
      <c r="K469" s="107"/>
      <c r="L469" s="108">
        <v>-927269</v>
      </c>
      <c r="M469" s="107"/>
      <c r="N469" s="107"/>
      <c r="O469" s="108">
        <v>1369563</v>
      </c>
      <c r="P469" s="106">
        <v>1087717.97</v>
      </c>
    </row>
    <row r="470" spans="1:16" customFormat="1" ht="15" hidden="1" thickBot="1" x14ac:dyDescent="0.35">
      <c r="A470" s="103" t="s">
        <v>173</v>
      </c>
      <c r="B470" s="103" t="s">
        <v>509</v>
      </c>
      <c r="C470" s="103" t="s">
        <v>510</v>
      </c>
      <c r="D470" s="105"/>
      <c r="E470" s="104">
        <v>11000</v>
      </c>
      <c r="F470" s="105"/>
      <c r="G470" s="105"/>
      <c r="H470" s="105"/>
      <c r="I470" s="104">
        <v>11000</v>
      </c>
      <c r="J470" s="105"/>
      <c r="K470" s="105"/>
      <c r="L470" s="105"/>
      <c r="M470" s="104">
        <v>2200</v>
      </c>
      <c r="N470" s="104">
        <v>8401.66</v>
      </c>
      <c r="O470" s="105"/>
      <c r="P470" s="106">
        <v>32601.66</v>
      </c>
    </row>
    <row r="471" spans="1:16" customFormat="1" ht="15" hidden="1" thickBot="1" x14ac:dyDescent="0.35">
      <c r="A471" s="103" t="s">
        <v>172</v>
      </c>
      <c r="B471" s="103" t="s">
        <v>511</v>
      </c>
      <c r="C471" s="103" t="s">
        <v>512</v>
      </c>
      <c r="D471" s="105"/>
      <c r="E471" s="105"/>
      <c r="F471" s="104">
        <v>8.82</v>
      </c>
      <c r="G471" s="105"/>
      <c r="H471" s="105"/>
      <c r="I471" s="104">
        <v>8.82</v>
      </c>
      <c r="J471" s="105"/>
      <c r="K471" s="105"/>
      <c r="L471" s="104">
        <v>731.18</v>
      </c>
      <c r="M471" s="105"/>
      <c r="N471" s="105"/>
      <c r="O471" s="104">
        <v>1087.5</v>
      </c>
      <c r="P471" s="106">
        <v>1836.32</v>
      </c>
    </row>
    <row r="472" spans="1:16" customFormat="1" ht="15" hidden="1" thickBot="1" x14ac:dyDescent="0.35">
      <c r="A472" s="103" t="s">
        <v>258</v>
      </c>
      <c r="B472" s="103" t="s">
        <v>513</v>
      </c>
      <c r="C472" s="103" t="s">
        <v>514</v>
      </c>
      <c r="D472" s="104">
        <v>-919633</v>
      </c>
      <c r="E472" s="104">
        <v>-917938</v>
      </c>
      <c r="F472" s="104">
        <v>-918635</v>
      </c>
      <c r="G472" s="104">
        <v>-915956</v>
      </c>
      <c r="H472" s="104">
        <v>-915071</v>
      </c>
      <c r="I472" s="104">
        <v>-915397</v>
      </c>
      <c r="J472" s="104">
        <v>-917601</v>
      </c>
      <c r="K472" s="104">
        <v>-918076</v>
      </c>
      <c r="L472" s="104">
        <v>-2042948</v>
      </c>
      <c r="M472" s="104">
        <v>-932890</v>
      </c>
      <c r="N472" s="105"/>
      <c r="O472" s="105"/>
      <c r="P472" s="106">
        <v>-10314145</v>
      </c>
    </row>
    <row r="473" spans="1:16" customFormat="1" ht="15" hidden="1" thickBot="1" x14ac:dyDescent="0.35">
      <c r="A473" s="103" t="s">
        <v>502</v>
      </c>
      <c r="B473" s="103" t="s">
        <v>515</v>
      </c>
      <c r="C473" s="103" t="s">
        <v>516</v>
      </c>
      <c r="D473" s="104">
        <v>-514196.92</v>
      </c>
      <c r="E473" s="104">
        <v>-477978.73</v>
      </c>
      <c r="F473" s="104">
        <v>-513677.97</v>
      </c>
      <c r="G473" s="104">
        <v>-505000.67</v>
      </c>
      <c r="H473" s="104">
        <v>-528612.54</v>
      </c>
      <c r="I473" s="104">
        <v>-502494.73</v>
      </c>
      <c r="J473" s="104">
        <v>-516020.36</v>
      </c>
      <c r="K473" s="104">
        <v>-534416.19999999995</v>
      </c>
      <c r="L473" s="104">
        <v>-495617.71</v>
      </c>
      <c r="M473" s="104">
        <v>-538199.12</v>
      </c>
      <c r="N473" s="104">
        <v>-526207.89</v>
      </c>
      <c r="O473" s="104">
        <v>-509394.99</v>
      </c>
      <c r="P473" s="106">
        <v>-6161817.8300000001</v>
      </c>
    </row>
    <row r="474" spans="1:16" customFormat="1" ht="15" hidden="1" thickBot="1" x14ac:dyDescent="0.35">
      <c r="A474" s="103" t="s">
        <v>258</v>
      </c>
      <c r="B474" s="103" t="s">
        <v>517</v>
      </c>
      <c r="C474" s="103" t="s">
        <v>518</v>
      </c>
      <c r="D474" s="108">
        <v>1021379.83</v>
      </c>
      <c r="E474" s="108">
        <v>1021379.83</v>
      </c>
      <c r="F474" s="108">
        <v>1021379.83</v>
      </c>
      <c r="G474" s="108">
        <v>1021379.83</v>
      </c>
      <c r="H474" s="108">
        <v>1021379.83</v>
      </c>
      <c r="I474" s="108">
        <v>1021379.83</v>
      </c>
      <c r="J474" s="108">
        <v>1021379.83</v>
      </c>
      <c r="K474" s="108">
        <v>1021379.83</v>
      </c>
      <c r="L474" s="108">
        <v>2309498.83</v>
      </c>
      <c r="M474" s="108">
        <v>1164502.83</v>
      </c>
      <c r="N474" s="108">
        <v>1164505.83</v>
      </c>
      <c r="O474" s="108">
        <v>1164502.83</v>
      </c>
      <c r="P474" s="106">
        <v>13974048.960000001</v>
      </c>
    </row>
    <row r="475" spans="1:16" customFormat="1" ht="15" hidden="1" thickBot="1" x14ac:dyDescent="0.35">
      <c r="A475" s="103" t="s">
        <v>258</v>
      </c>
      <c r="B475" s="103" t="s">
        <v>519</v>
      </c>
      <c r="C475" s="103" t="s">
        <v>520</v>
      </c>
      <c r="D475" s="105"/>
      <c r="E475" s="105"/>
      <c r="F475" s="105"/>
      <c r="G475" s="105"/>
      <c r="H475" s="105"/>
      <c r="I475" s="104">
        <v>-109597.5</v>
      </c>
      <c r="J475" s="105"/>
      <c r="K475" s="105"/>
      <c r="L475" s="105"/>
      <c r="M475" s="105"/>
      <c r="N475" s="105"/>
      <c r="O475" s="104">
        <v>-737254.29</v>
      </c>
      <c r="P475" s="106">
        <v>-846851.79</v>
      </c>
    </row>
    <row r="476" spans="1:16" customFormat="1" ht="15" hidden="1" thickBot="1" x14ac:dyDescent="0.35">
      <c r="A476" s="103" t="s">
        <v>258</v>
      </c>
      <c r="B476" s="103" t="s">
        <v>521</v>
      </c>
      <c r="C476" s="103" t="s">
        <v>522</v>
      </c>
      <c r="D476" s="108">
        <v>78211.75</v>
      </c>
      <c r="E476" s="108">
        <v>78211.75</v>
      </c>
      <c r="F476" s="108">
        <v>78211.75</v>
      </c>
      <c r="G476" s="108">
        <v>78211.75</v>
      </c>
      <c r="H476" s="108">
        <v>78211.75</v>
      </c>
      <c r="I476" s="108">
        <v>78211.75</v>
      </c>
      <c r="J476" s="108">
        <v>78211.75</v>
      </c>
      <c r="K476" s="108">
        <v>78211.75</v>
      </c>
      <c r="L476" s="108">
        <v>78211.75</v>
      </c>
      <c r="M476" s="108">
        <v>78211.75</v>
      </c>
      <c r="N476" s="108">
        <v>78211.75</v>
      </c>
      <c r="O476" s="108">
        <v>83359.75</v>
      </c>
      <c r="P476" s="106">
        <v>943689</v>
      </c>
    </row>
    <row r="477" spans="1:16" customFormat="1" ht="15" hidden="1" thickBot="1" x14ac:dyDescent="0.35">
      <c r="A477" s="103" t="s">
        <v>258</v>
      </c>
      <c r="B477" s="103" t="s">
        <v>523</v>
      </c>
      <c r="C477" s="103" t="s">
        <v>524</v>
      </c>
      <c r="D477" s="104">
        <v>125990</v>
      </c>
      <c r="E477" s="104">
        <v>125990</v>
      </c>
      <c r="F477" s="104">
        <v>636646.61</v>
      </c>
      <c r="G477" s="104">
        <v>148315</v>
      </c>
      <c r="H477" s="104">
        <v>100678</v>
      </c>
      <c r="I477" s="104">
        <v>92601</v>
      </c>
      <c r="J477" s="104">
        <v>99897</v>
      </c>
      <c r="K477" s="104">
        <v>100672.5</v>
      </c>
      <c r="L477" s="104">
        <v>92449</v>
      </c>
      <c r="M477" s="104">
        <v>89170</v>
      </c>
      <c r="N477" s="104">
        <v>94806</v>
      </c>
      <c r="O477" s="104">
        <v>94068</v>
      </c>
      <c r="P477" s="106">
        <v>1801283.11</v>
      </c>
    </row>
    <row r="478" spans="1:16" customFormat="1" ht="15" hidden="1" thickBot="1" x14ac:dyDescent="0.35">
      <c r="A478" s="103" t="s">
        <v>173</v>
      </c>
      <c r="B478" s="103" t="s">
        <v>525</v>
      </c>
      <c r="C478" s="103" t="s">
        <v>526</v>
      </c>
      <c r="D478" s="107"/>
      <c r="E478" s="107"/>
      <c r="F478" s="108">
        <v>188343.59</v>
      </c>
      <c r="G478" s="107"/>
      <c r="H478" s="107"/>
      <c r="I478" s="108">
        <v>270712</v>
      </c>
      <c r="J478" s="107"/>
      <c r="K478" s="107"/>
      <c r="L478" s="108">
        <v>-69455</v>
      </c>
      <c r="M478" s="107"/>
      <c r="N478" s="107"/>
      <c r="O478" s="108">
        <v>388244</v>
      </c>
      <c r="P478" s="106">
        <v>777844.59</v>
      </c>
    </row>
    <row r="479" spans="1:16" customFormat="1" ht="15" hidden="1" thickBot="1" x14ac:dyDescent="0.35">
      <c r="A479" s="103" t="s">
        <v>258</v>
      </c>
      <c r="B479" s="103" t="s">
        <v>527</v>
      </c>
      <c r="C479" s="103" t="s">
        <v>528</v>
      </c>
      <c r="D479" s="108">
        <v>196294.07</v>
      </c>
      <c r="E479" s="108">
        <v>196294.07</v>
      </c>
      <c r="F479" s="108">
        <v>196294.07</v>
      </c>
      <c r="G479" s="108">
        <v>196294.07</v>
      </c>
      <c r="H479" s="108">
        <v>196294.07</v>
      </c>
      <c r="I479" s="108">
        <v>196294.07</v>
      </c>
      <c r="J479" s="108">
        <v>196294.07</v>
      </c>
      <c r="K479" s="108">
        <v>196294.07</v>
      </c>
      <c r="L479" s="108">
        <v>196294.07</v>
      </c>
      <c r="M479" s="108">
        <v>196294.07</v>
      </c>
      <c r="N479" s="108">
        <v>196294.07</v>
      </c>
      <c r="O479" s="108">
        <v>491897.07</v>
      </c>
      <c r="P479" s="106">
        <v>2651131.84</v>
      </c>
    </row>
    <row r="480" spans="1:16" customFormat="1" ht="15" hidden="1" thickBot="1" x14ac:dyDescent="0.35">
      <c r="A480" s="103" t="s">
        <v>529</v>
      </c>
      <c r="B480" s="103" t="s">
        <v>141</v>
      </c>
      <c r="C480" s="103" t="s">
        <v>142</v>
      </c>
      <c r="D480" s="104">
        <v>134638.32</v>
      </c>
      <c r="E480" s="104">
        <v>118943.2</v>
      </c>
      <c r="F480" s="104">
        <v>-97511.35</v>
      </c>
      <c r="G480" s="104">
        <v>77774.990000000005</v>
      </c>
      <c r="H480" s="104">
        <v>40740.36</v>
      </c>
      <c r="I480" s="104">
        <v>-144192.28</v>
      </c>
      <c r="J480" s="104">
        <v>28013.71</v>
      </c>
      <c r="K480" s="104">
        <v>27403.41</v>
      </c>
      <c r="L480" s="104">
        <v>24845.26</v>
      </c>
      <c r="M480" s="104">
        <v>53956.66</v>
      </c>
      <c r="N480" s="104">
        <v>78795.5</v>
      </c>
      <c r="O480" s="104">
        <v>335146.31</v>
      </c>
      <c r="P480" s="106">
        <v>678554.09</v>
      </c>
    </row>
    <row r="481" spans="1:16" customFormat="1" ht="15" hidden="1" thickBot="1" x14ac:dyDescent="0.35">
      <c r="A481" s="103" t="s">
        <v>173</v>
      </c>
      <c r="B481" s="103" t="s">
        <v>530</v>
      </c>
      <c r="C481" s="103" t="s">
        <v>531</v>
      </c>
      <c r="D481" s="105"/>
      <c r="E481" s="105"/>
      <c r="F481" s="104">
        <v>841.4</v>
      </c>
      <c r="G481" s="105"/>
      <c r="H481" s="105"/>
      <c r="I481" s="104">
        <v>381.57</v>
      </c>
      <c r="J481" s="105"/>
      <c r="K481" s="105"/>
      <c r="L481" s="104">
        <v>-9656.67</v>
      </c>
      <c r="M481" s="105"/>
      <c r="N481" s="105"/>
      <c r="O481" s="104">
        <v>132512.4</v>
      </c>
      <c r="P481" s="106">
        <v>124078.7</v>
      </c>
    </row>
    <row r="482" spans="1:16" customFormat="1" ht="15" hidden="1" thickBot="1" x14ac:dyDescent="0.35">
      <c r="A482" s="103" t="s">
        <v>407</v>
      </c>
      <c r="B482" s="103" t="s">
        <v>530</v>
      </c>
      <c r="C482" s="103" t="s">
        <v>531</v>
      </c>
      <c r="D482" s="105"/>
      <c r="E482" s="105"/>
      <c r="F482" s="105"/>
      <c r="G482" s="104">
        <v>-42756</v>
      </c>
      <c r="H482" s="105"/>
      <c r="I482" s="105"/>
      <c r="J482" s="105"/>
      <c r="K482" s="105"/>
      <c r="L482" s="105"/>
      <c r="M482" s="105"/>
      <c r="N482" s="105"/>
      <c r="O482" s="105"/>
      <c r="P482" s="106">
        <v>-42756</v>
      </c>
    </row>
    <row r="483" spans="1:16" customFormat="1" ht="15" hidden="1" thickBot="1" x14ac:dyDescent="0.35">
      <c r="A483" s="103" t="s">
        <v>253</v>
      </c>
      <c r="B483" s="103" t="s">
        <v>530</v>
      </c>
      <c r="C483" s="103" t="s">
        <v>531</v>
      </c>
      <c r="D483" s="104">
        <v>75.2</v>
      </c>
      <c r="E483" s="104">
        <v>2856.16</v>
      </c>
      <c r="F483" s="104">
        <v>-2303.31</v>
      </c>
      <c r="G483" s="104">
        <v>1596.59</v>
      </c>
      <c r="H483" s="104">
        <v>1980.57</v>
      </c>
      <c r="I483" s="104">
        <v>16486.79</v>
      </c>
      <c r="J483" s="105"/>
      <c r="K483" s="104">
        <v>-35854.410000000003</v>
      </c>
      <c r="L483" s="104">
        <v>-7369.54</v>
      </c>
      <c r="M483" s="104">
        <v>4134.17</v>
      </c>
      <c r="N483" s="104">
        <v>5379.09</v>
      </c>
      <c r="O483" s="104">
        <v>3708.18</v>
      </c>
      <c r="P483" s="106">
        <v>-9310.51</v>
      </c>
    </row>
    <row r="484" spans="1:16" customFormat="1" ht="15" hidden="1" thickBot="1" x14ac:dyDescent="0.35">
      <c r="A484" s="103" t="s">
        <v>173</v>
      </c>
      <c r="B484" s="103" t="s">
        <v>532</v>
      </c>
      <c r="C484" s="103" t="s">
        <v>533</v>
      </c>
      <c r="D484" s="108">
        <v>86875.18</v>
      </c>
      <c r="E484" s="108">
        <v>52873.79</v>
      </c>
      <c r="F484" s="108">
        <v>284119.95</v>
      </c>
      <c r="G484" s="108">
        <v>76080.88</v>
      </c>
      <c r="H484" s="108">
        <v>138984.19</v>
      </c>
      <c r="I484" s="108">
        <v>95688.52</v>
      </c>
      <c r="J484" s="108">
        <v>46483</v>
      </c>
      <c r="K484" s="108">
        <v>72560.87</v>
      </c>
      <c r="L484" s="108">
        <v>317883.58</v>
      </c>
      <c r="M484" s="108">
        <v>64503.94</v>
      </c>
      <c r="N484" s="108">
        <v>-65861.289999999994</v>
      </c>
      <c r="O484" s="108">
        <v>-217433.11</v>
      </c>
      <c r="P484" s="106">
        <v>952759.5</v>
      </c>
    </row>
    <row r="486" spans="1:16" x14ac:dyDescent="0.3">
      <c r="P486" s="114"/>
    </row>
  </sheetData>
  <autoFilter ref="A7:P484">
    <filterColumn colId="0">
      <filters>
        <filter val="921"/>
        <filter val="925"/>
        <filter val="930"/>
      </filters>
    </filterColumn>
    <filterColumn colId="1">
      <filters>
        <filter val="11320"/>
        <filter val="13400"/>
        <filter val="13510"/>
        <filter val="13520"/>
        <filter val="13600"/>
        <filter val="85410"/>
      </filters>
    </filterColumn>
  </autoFilter>
  <mergeCells count="4">
    <mergeCell ref="A5:B6"/>
    <mergeCell ref="A1:B1"/>
    <mergeCell ref="A2:B2"/>
    <mergeCell ref="A3:B3"/>
  </mergeCells>
  <pageMargins left="0.7" right="0.7" top="0.75" bottom="0.75" header="0.3" footer="0.3"/>
  <pageSetup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1"/>
  <sheetViews>
    <sheetView showGridLines="0" topLeftCell="L17" workbookViewId="0">
      <selection activeCell="X47" sqref="X47"/>
    </sheetView>
  </sheetViews>
  <sheetFormatPr defaultColWidth="10.44140625" defaultRowHeight="14.4" x14ac:dyDescent="0.3"/>
  <cols>
    <col min="1" max="2" width="5.5546875" style="6" customWidth="1"/>
    <col min="3" max="3" width="28.44140625" style="6" customWidth="1"/>
    <col min="4" max="41" width="13.5546875" style="7" customWidth="1"/>
    <col min="42" max="16384" width="10.44140625" style="7"/>
  </cols>
  <sheetData>
    <row r="1" spans="1:12" x14ac:dyDescent="0.25">
      <c r="A1" s="35" t="s">
        <v>36</v>
      </c>
      <c r="D1" s="9"/>
      <c r="E1" s="203"/>
      <c r="F1" s="203"/>
      <c r="I1" s="36"/>
    </row>
    <row r="2" spans="1:12" x14ac:dyDescent="0.3">
      <c r="A2" s="6" t="s">
        <v>37</v>
      </c>
      <c r="D2" s="9"/>
      <c r="E2" s="9"/>
      <c r="F2" s="36"/>
      <c r="G2" s="36"/>
    </row>
    <row r="3" spans="1:12" ht="15" thickBot="1" x14ac:dyDescent="0.35">
      <c r="D3" s="9"/>
      <c r="E3" s="9"/>
      <c r="F3" s="36"/>
      <c r="G3" s="36"/>
    </row>
    <row r="4" spans="1:12" x14ac:dyDescent="0.3">
      <c r="A4" s="37" t="s">
        <v>38</v>
      </c>
      <c r="B4" s="38"/>
      <c r="C4" s="38"/>
      <c r="D4" s="39"/>
      <c r="E4" s="39"/>
      <c r="F4" s="40"/>
      <c r="G4" s="41"/>
    </row>
    <row r="5" spans="1:12" x14ac:dyDescent="0.3">
      <c r="A5" s="42"/>
      <c r="B5" s="43"/>
      <c r="C5" s="43"/>
      <c r="D5" s="44"/>
      <c r="E5" s="44"/>
      <c r="F5" s="45"/>
      <c r="G5" s="41"/>
    </row>
    <row r="6" spans="1:12" x14ac:dyDescent="0.3">
      <c r="A6" s="42"/>
      <c r="B6" s="43"/>
      <c r="C6" s="43"/>
      <c r="D6" s="46"/>
      <c r="E6" s="46"/>
      <c r="F6" s="47" t="s">
        <v>39</v>
      </c>
      <c r="G6" s="46"/>
    </row>
    <row r="7" spans="1:12" x14ac:dyDescent="0.3">
      <c r="A7" s="42" t="s">
        <v>40</v>
      </c>
      <c r="B7" s="43"/>
      <c r="C7" s="43"/>
      <c r="D7" s="48" t="s">
        <v>41</v>
      </c>
      <c r="E7" s="48" t="s">
        <v>42</v>
      </c>
      <c r="F7" s="49" t="s">
        <v>42</v>
      </c>
      <c r="G7" s="46"/>
    </row>
    <row r="8" spans="1:12" x14ac:dyDescent="0.3">
      <c r="A8" s="42"/>
      <c r="B8" s="43"/>
      <c r="C8" s="43"/>
      <c r="D8" s="50"/>
      <c r="E8" s="50"/>
      <c r="F8" s="51"/>
      <c r="G8" s="50"/>
    </row>
    <row r="9" spans="1:12" x14ac:dyDescent="0.3">
      <c r="A9" s="42" t="s">
        <v>22</v>
      </c>
      <c r="B9" s="43"/>
      <c r="C9" s="43"/>
      <c r="D9" s="52">
        <f>1-D11-D10</f>
        <v>0.5</v>
      </c>
      <c r="E9" s="53">
        <v>5.0659999999999997E-2</v>
      </c>
      <c r="F9" s="54">
        <f>D9*E9</f>
        <v>2.5329999999999998E-2</v>
      </c>
      <c r="G9" s="52"/>
    </row>
    <row r="10" spans="1:12" x14ac:dyDescent="0.3">
      <c r="A10" s="42" t="s">
        <v>24</v>
      </c>
      <c r="B10" s="43"/>
      <c r="C10" s="43"/>
      <c r="D10" s="52">
        <v>0.01</v>
      </c>
      <c r="E10" s="53">
        <v>2.1860000000000001E-2</v>
      </c>
      <c r="F10" s="54">
        <f>D10*E10</f>
        <v>2.186E-4</v>
      </c>
      <c r="G10" s="52"/>
    </row>
    <row r="11" spans="1:12" x14ac:dyDescent="0.3">
      <c r="A11" s="42" t="s">
        <v>25</v>
      </c>
      <c r="B11" s="43"/>
      <c r="C11" s="43"/>
      <c r="D11" s="55">
        <v>0.49</v>
      </c>
      <c r="E11" s="53">
        <v>9.4E-2</v>
      </c>
      <c r="F11" s="56">
        <f>D11*E11</f>
        <v>4.6059999999999997E-2</v>
      </c>
      <c r="G11" s="52"/>
    </row>
    <row r="12" spans="1:12" ht="15" thickBot="1" x14ac:dyDescent="0.35">
      <c r="A12" s="42"/>
      <c r="B12" s="43"/>
      <c r="C12" s="43"/>
      <c r="D12" s="57">
        <f>D9+D10+D11</f>
        <v>1</v>
      </c>
      <c r="E12" s="53"/>
      <c r="F12" s="58">
        <f>F9+F10+F11</f>
        <v>7.1608599999999994E-2</v>
      </c>
      <c r="G12" s="52" t="s">
        <v>538</v>
      </c>
    </row>
    <row r="13" spans="1:12" ht="15" thickTop="1" x14ac:dyDescent="0.3">
      <c r="A13" s="42"/>
      <c r="B13" s="43"/>
      <c r="C13" s="43"/>
      <c r="D13" s="50"/>
      <c r="E13" s="50"/>
      <c r="F13" s="51"/>
      <c r="G13" s="50"/>
    </row>
    <row r="14" spans="1:12" x14ac:dyDescent="0.3">
      <c r="A14" s="42" t="s">
        <v>43</v>
      </c>
      <c r="B14" s="43"/>
      <c r="C14" s="43"/>
      <c r="D14" s="50"/>
      <c r="E14" s="50"/>
      <c r="F14" s="59">
        <v>0</v>
      </c>
      <c r="G14" s="52"/>
    </row>
    <row r="15" spans="1:12" x14ac:dyDescent="0.3">
      <c r="A15" s="42" t="s">
        <v>44</v>
      </c>
      <c r="B15" s="43"/>
      <c r="C15" s="43"/>
      <c r="D15" s="50"/>
      <c r="E15" s="50"/>
      <c r="F15" s="59">
        <v>0.21</v>
      </c>
      <c r="G15" s="52"/>
    </row>
    <row r="16" spans="1:12" x14ac:dyDescent="0.3">
      <c r="A16" s="42" t="s">
        <v>45</v>
      </c>
      <c r="B16" s="43"/>
      <c r="C16" s="43"/>
      <c r="D16" s="50"/>
      <c r="E16" s="50"/>
      <c r="F16" s="133">
        <v>4.052E-2</v>
      </c>
      <c r="G16" s="60"/>
      <c r="I16" s="61"/>
      <c r="K16" s="62"/>
      <c r="L16" s="62"/>
    </row>
    <row r="17" spans="1:42" x14ac:dyDescent="0.3">
      <c r="A17" s="42" t="s">
        <v>46</v>
      </c>
      <c r="B17" s="43"/>
      <c r="C17" s="43"/>
      <c r="D17" s="50"/>
      <c r="E17" s="50"/>
      <c r="F17" s="134">
        <v>2.5999999999999999E-2</v>
      </c>
      <c r="G17" s="63"/>
      <c r="K17" s="64"/>
      <c r="L17" s="64"/>
    </row>
    <row r="18" spans="1:42" x14ac:dyDescent="0.3">
      <c r="A18" s="42" t="s">
        <v>47</v>
      </c>
      <c r="B18" s="43"/>
      <c r="C18" s="43"/>
      <c r="D18" s="50"/>
      <c r="E18" s="50"/>
      <c r="F18" s="133">
        <v>1.4999999999999999E-2</v>
      </c>
      <c r="G18" s="63"/>
      <c r="K18" s="65"/>
      <c r="L18" s="65"/>
    </row>
    <row r="19" spans="1:42" x14ac:dyDescent="0.3">
      <c r="A19" s="42" t="s">
        <v>48</v>
      </c>
      <c r="B19" s="43"/>
      <c r="C19" s="43"/>
      <c r="D19" s="50"/>
      <c r="E19" s="50"/>
      <c r="F19" s="66">
        <v>54.05</v>
      </c>
      <c r="G19" s="63"/>
      <c r="K19" s="63"/>
      <c r="L19" s="64"/>
    </row>
    <row r="20" spans="1:42" x14ac:dyDescent="0.3">
      <c r="A20" s="42" t="s">
        <v>49</v>
      </c>
      <c r="B20" s="43"/>
      <c r="C20" s="43"/>
      <c r="D20" s="50"/>
      <c r="E20" s="50"/>
      <c r="F20" s="133">
        <v>2.5000000000000001E-2</v>
      </c>
      <c r="G20" s="63"/>
      <c r="K20" s="67"/>
      <c r="L20" s="67"/>
    </row>
    <row r="21" spans="1:42" x14ac:dyDescent="0.3">
      <c r="A21" s="42" t="s">
        <v>50</v>
      </c>
      <c r="B21" s="43"/>
      <c r="C21" s="43"/>
      <c r="D21" s="50"/>
      <c r="E21" s="50"/>
      <c r="F21" s="68">
        <v>2</v>
      </c>
      <c r="G21" s="63"/>
      <c r="H21" s="63"/>
      <c r="I21" s="63"/>
      <c r="J21" s="63"/>
      <c r="K21" s="63"/>
      <c r="L21" s="63"/>
      <c r="M21" s="63"/>
      <c r="N21" s="63"/>
    </row>
    <row r="22" spans="1:42" x14ac:dyDescent="0.3">
      <c r="A22" s="42"/>
      <c r="B22" s="43"/>
      <c r="C22" s="43"/>
      <c r="D22" s="50"/>
      <c r="E22" s="50"/>
      <c r="F22" s="68"/>
      <c r="H22" s="69"/>
      <c r="I22" s="63"/>
      <c r="J22" s="63"/>
      <c r="K22" s="63"/>
      <c r="L22" s="63"/>
      <c r="M22" s="63"/>
      <c r="N22" s="63"/>
    </row>
    <row r="23" spans="1:42" ht="15" thickBot="1" x14ac:dyDescent="0.35">
      <c r="A23" s="70" t="s">
        <v>51</v>
      </c>
      <c r="B23" s="71"/>
      <c r="C23" s="71"/>
      <c r="D23" s="71"/>
      <c r="E23" s="72"/>
      <c r="F23" s="73">
        <v>3507</v>
      </c>
      <c r="G23" s="176" t="s">
        <v>564</v>
      </c>
      <c r="H23" s="177"/>
      <c r="J23" s="74"/>
    </row>
    <row r="25" spans="1:42" x14ac:dyDescent="0.3">
      <c r="B25" s="7"/>
      <c r="C25" s="7"/>
      <c r="D25" s="75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</row>
    <row r="26" spans="1:42" x14ac:dyDescent="0.3">
      <c r="E26" s="8" t="s">
        <v>5</v>
      </c>
      <c r="F26" s="76" t="s">
        <v>52</v>
      </c>
      <c r="G26" s="76" t="s">
        <v>53</v>
      </c>
      <c r="H26" s="76" t="s">
        <v>54</v>
      </c>
      <c r="I26" s="76" t="s">
        <v>55</v>
      </c>
      <c r="J26" s="76" t="s">
        <v>56</v>
      </c>
      <c r="K26" s="76" t="s">
        <v>57</v>
      </c>
      <c r="L26" s="76" t="s">
        <v>58</v>
      </c>
      <c r="M26" s="76" t="s">
        <v>59</v>
      </c>
      <c r="N26" s="76" t="s">
        <v>60</v>
      </c>
      <c r="O26" s="76" t="s">
        <v>61</v>
      </c>
      <c r="P26" s="76" t="s">
        <v>62</v>
      </c>
      <c r="Q26" s="76" t="s">
        <v>63</v>
      </c>
      <c r="R26" s="76" t="s">
        <v>64</v>
      </c>
      <c r="S26" s="76" t="s">
        <v>65</v>
      </c>
      <c r="T26" s="76" t="s">
        <v>66</v>
      </c>
      <c r="U26" s="76" t="s">
        <v>67</v>
      </c>
      <c r="V26" s="76" t="s">
        <v>68</v>
      </c>
      <c r="W26" s="76" t="s">
        <v>69</v>
      </c>
      <c r="X26" s="76" t="s">
        <v>70</v>
      </c>
      <c r="Y26" s="76" t="s">
        <v>71</v>
      </c>
      <c r="Z26" s="76" t="s">
        <v>72</v>
      </c>
      <c r="AA26" s="76" t="s">
        <v>73</v>
      </c>
      <c r="AB26" s="76" t="s">
        <v>74</v>
      </c>
      <c r="AC26" s="76" t="s">
        <v>75</v>
      </c>
      <c r="AD26" s="76" t="s">
        <v>76</v>
      </c>
      <c r="AE26" s="76" t="s">
        <v>77</v>
      </c>
      <c r="AF26" s="76" t="s">
        <v>78</v>
      </c>
      <c r="AG26" s="76" t="s">
        <v>79</v>
      </c>
      <c r="AH26" s="76" t="s">
        <v>80</v>
      </c>
      <c r="AI26" s="76" t="s">
        <v>81</v>
      </c>
      <c r="AJ26" s="76" t="s">
        <v>82</v>
      </c>
      <c r="AK26" s="76" t="s">
        <v>83</v>
      </c>
      <c r="AL26" s="76" t="s">
        <v>84</v>
      </c>
      <c r="AM26" s="76" t="s">
        <v>85</v>
      </c>
      <c r="AN26" s="76" t="s">
        <v>86</v>
      </c>
      <c r="AO26" s="76" t="s">
        <v>87</v>
      </c>
    </row>
    <row r="27" spans="1:42" x14ac:dyDescent="0.3">
      <c r="D27" s="9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</row>
    <row r="28" spans="1:42" x14ac:dyDescent="0.3">
      <c r="A28" s="77">
        <v>1</v>
      </c>
      <c r="B28" s="6" t="s">
        <v>8</v>
      </c>
      <c r="D28" s="9"/>
      <c r="E28" s="78">
        <f>$F23*$F17</f>
        <v>91.182000000000002</v>
      </c>
      <c r="F28" s="78">
        <f>$F23*$F17</f>
        <v>91.182000000000002</v>
      </c>
      <c r="G28" s="78">
        <f t="shared" ref="G28:AO28" si="0">$F23*$F17</f>
        <v>91.182000000000002</v>
      </c>
      <c r="H28" s="78">
        <f t="shared" si="0"/>
        <v>91.182000000000002</v>
      </c>
      <c r="I28" s="78">
        <f t="shared" si="0"/>
        <v>91.182000000000002</v>
      </c>
      <c r="J28" s="78">
        <f t="shared" si="0"/>
        <v>91.182000000000002</v>
      </c>
      <c r="K28" s="78">
        <f t="shared" si="0"/>
        <v>91.182000000000002</v>
      </c>
      <c r="L28" s="78">
        <f t="shared" si="0"/>
        <v>91.182000000000002</v>
      </c>
      <c r="M28" s="78">
        <f t="shared" si="0"/>
        <v>91.182000000000002</v>
      </c>
      <c r="N28" s="78">
        <f t="shared" si="0"/>
        <v>91.182000000000002</v>
      </c>
      <c r="O28" s="78">
        <f t="shared" si="0"/>
        <v>91.182000000000002</v>
      </c>
      <c r="P28" s="78">
        <f t="shared" si="0"/>
        <v>91.182000000000002</v>
      </c>
      <c r="Q28" s="78">
        <f t="shared" si="0"/>
        <v>91.182000000000002</v>
      </c>
      <c r="R28" s="78">
        <f t="shared" si="0"/>
        <v>91.182000000000002</v>
      </c>
      <c r="S28" s="78">
        <f t="shared" si="0"/>
        <v>91.182000000000002</v>
      </c>
      <c r="T28" s="78">
        <f t="shared" si="0"/>
        <v>91.182000000000002</v>
      </c>
      <c r="U28" s="78">
        <f t="shared" si="0"/>
        <v>91.182000000000002</v>
      </c>
      <c r="V28" s="78">
        <f t="shared" si="0"/>
        <v>91.182000000000002</v>
      </c>
      <c r="W28" s="78">
        <f t="shared" si="0"/>
        <v>91.182000000000002</v>
      </c>
      <c r="X28" s="78">
        <f t="shared" si="0"/>
        <v>91.182000000000002</v>
      </c>
      <c r="Y28" s="78">
        <f t="shared" si="0"/>
        <v>91.182000000000002</v>
      </c>
      <c r="Z28" s="78">
        <f t="shared" si="0"/>
        <v>91.182000000000002</v>
      </c>
      <c r="AA28" s="78">
        <f t="shared" si="0"/>
        <v>91.182000000000002</v>
      </c>
      <c r="AB28" s="78">
        <f t="shared" si="0"/>
        <v>91.182000000000002</v>
      </c>
      <c r="AC28" s="78">
        <f t="shared" si="0"/>
        <v>91.182000000000002</v>
      </c>
      <c r="AD28" s="78">
        <f t="shared" si="0"/>
        <v>91.182000000000002</v>
      </c>
      <c r="AE28" s="78">
        <f t="shared" si="0"/>
        <v>91.182000000000002</v>
      </c>
      <c r="AF28" s="78">
        <f t="shared" si="0"/>
        <v>91.182000000000002</v>
      </c>
      <c r="AG28" s="78">
        <f t="shared" si="0"/>
        <v>91.182000000000002</v>
      </c>
      <c r="AH28" s="78">
        <f t="shared" si="0"/>
        <v>91.182000000000002</v>
      </c>
      <c r="AI28" s="78">
        <f t="shared" si="0"/>
        <v>91.182000000000002</v>
      </c>
      <c r="AJ28" s="78">
        <f t="shared" si="0"/>
        <v>91.182000000000002</v>
      </c>
      <c r="AK28" s="78">
        <f t="shared" si="0"/>
        <v>91.182000000000002</v>
      </c>
      <c r="AL28" s="78">
        <f t="shared" si="0"/>
        <v>91.182000000000002</v>
      </c>
      <c r="AM28" s="78">
        <f t="shared" si="0"/>
        <v>91.182000000000002</v>
      </c>
      <c r="AN28" s="78">
        <f t="shared" si="0"/>
        <v>91.182000000000002</v>
      </c>
      <c r="AO28" s="78">
        <f t="shared" si="0"/>
        <v>91.182000000000002</v>
      </c>
      <c r="AP28" s="79">
        <f>SUM(E28:AO28)</f>
        <v>3373.7339999999972</v>
      </c>
    </row>
    <row r="29" spans="1:42" x14ac:dyDescent="0.3">
      <c r="A29" s="77">
        <f>+A28+1</f>
        <v>2</v>
      </c>
      <c r="B29" s="6" t="s">
        <v>10</v>
      </c>
      <c r="D29" s="9"/>
      <c r="E29" s="178">
        <f>+F19</f>
        <v>54.05</v>
      </c>
      <c r="F29" s="78">
        <f>+E29*(1+$F$20)</f>
        <v>55.40124999999999</v>
      </c>
      <c r="G29" s="78">
        <f t="shared" ref="G29:AO29" si="1">+F29*(1+$F$20)</f>
        <v>56.786281249999988</v>
      </c>
      <c r="H29" s="78">
        <f t="shared" si="1"/>
        <v>58.205938281249985</v>
      </c>
      <c r="I29" s="78">
        <f t="shared" si="1"/>
        <v>59.661086738281227</v>
      </c>
      <c r="J29" s="78">
        <f t="shared" si="1"/>
        <v>61.152613906738253</v>
      </c>
      <c r="K29" s="78">
        <f t="shared" si="1"/>
        <v>62.681429254406702</v>
      </c>
      <c r="L29" s="78">
        <f t="shared" si="1"/>
        <v>64.248464985766859</v>
      </c>
      <c r="M29" s="78">
        <f t="shared" si="1"/>
        <v>65.854676610411019</v>
      </c>
      <c r="N29" s="78">
        <f t="shared" si="1"/>
        <v>67.501043525671292</v>
      </c>
      <c r="O29" s="78">
        <f t="shared" si="1"/>
        <v>69.188569613813073</v>
      </c>
      <c r="P29" s="78">
        <f t="shared" si="1"/>
        <v>70.918283854158389</v>
      </c>
      <c r="Q29" s="78">
        <f t="shared" si="1"/>
        <v>72.691240950512338</v>
      </c>
      <c r="R29" s="78">
        <f t="shared" si="1"/>
        <v>74.508521974275141</v>
      </c>
      <c r="S29" s="78">
        <f t="shared" si="1"/>
        <v>76.371235023632011</v>
      </c>
      <c r="T29" s="78">
        <f t="shared" si="1"/>
        <v>78.280515899222806</v>
      </c>
      <c r="U29" s="78">
        <f t="shared" si="1"/>
        <v>80.237528796703373</v>
      </c>
      <c r="V29" s="78">
        <f t="shared" si="1"/>
        <v>82.243467016620954</v>
      </c>
      <c r="W29" s="78">
        <f t="shared" si="1"/>
        <v>84.299553692036469</v>
      </c>
      <c r="X29" s="78">
        <f t="shared" si="1"/>
        <v>86.407042534337378</v>
      </c>
      <c r="Y29" s="78">
        <f t="shared" si="1"/>
        <v>88.567218597695799</v>
      </c>
      <c r="Z29" s="78">
        <f t="shared" si="1"/>
        <v>90.781399062638187</v>
      </c>
      <c r="AA29" s="78">
        <f t="shared" si="1"/>
        <v>93.050934039204137</v>
      </c>
      <c r="AB29" s="78">
        <f t="shared" si="1"/>
        <v>95.377207390184225</v>
      </c>
      <c r="AC29" s="78">
        <f t="shared" si="1"/>
        <v>97.761637574938817</v>
      </c>
      <c r="AD29" s="78">
        <f t="shared" si="1"/>
        <v>100.20567851431228</v>
      </c>
      <c r="AE29" s="78">
        <f t="shared" si="1"/>
        <v>102.71082047717007</v>
      </c>
      <c r="AF29" s="78">
        <f t="shared" si="1"/>
        <v>105.27859098909931</v>
      </c>
      <c r="AG29" s="78">
        <f t="shared" si="1"/>
        <v>107.91055576382679</v>
      </c>
      <c r="AH29" s="78">
        <f t="shared" si="1"/>
        <v>110.60831965792245</v>
      </c>
      <c r="AI29" s="78">
        <f t="shared" si="1"/>
        <v>113.3735276493705</v>
      </c>
      <c r="AJ29" s="78">
        <f t="shared" si="1"/>
        <v>116.20786584060475</v>
      </c>
      <c r="AK29" s="78">
        <f t="shared" si="1"/>
        <v>119.11306248661987</v>
      </c>
      <c r="AL29" s="78">
        <f t="shared" si="1"/>
        <v>122.09088904878536</v>
      </c>
      <c r="AM29" s="78">
        <f t="shared" si="1"/>
        <v>125.14316127500499</v>
      </c>
      <c r="AN29" s="78">
        <f t="shared" si="1"/>
        <v>128.2717403068801</v>
      </c>
      <c r="AO29" s="78">
        <f t="shared" si="1"/>
        <v>131.47853381455209</v>
      </c>
      <c r="AP29" s="79"/>
    </row>
    <row r="30" spans="1:42" x14ac:dyDescent="0.3">
      <c r="A30" s="77">
        <f>+A29+1</f>
        <v>3</v>
      </c>
      <c r="B30" s="6" t="s">
        <v>11</v>
      </c>
      <c r="D30" s="9"/>
      <c r="E30" s="78">
        <f>E72*$F18</f>
        <v>51.921135</v>
      </c>
      <c r="F30" s="78">
        <f t="shared" ref="F30:AO30" si="2">F72*$F18</f>
        <v>50.553405000000005</v>
      </c>
      <c r="G30" s="78">
        <f t="shared" si="2"/>
        <v>49.185675000000003</v>
      </c>
      <c r="H30" s="78">
        <f t="shared" si="2"/>
        <v>47.817945000000009</v>
      </c>
      <c r="I30" s="78">
        <f t="shared" si="2"/>
        <v>46.450215000000014</v>
      </c>
      <c r="J30" s="78">
        <f t="shared" si="2"/>
        <v>45.082485000000013</v>
      </c>
      <c r="K30" s="78">
        <f t="shared" si="2"/>
        <v>43.714755000000018</v>
      </c>
      <c r="L30" s="78">
        <f t="shared" si="2"/>
        <v>42.347025000000023</v>
      </c>
      <c r="M30" s="78">
        <f t="shared" si="2"/>
        <v>40.979295000000029</v>
      </c>
      <c r="N30" s="78">
        <f t="shared" si="2"/>
        <v>39.611565000000027</v>
      </c>
      <c r="O30" s="78">
        <f t="shared" si="2"/>
        <v>38.243835000000033</v>
      </c>
      <c r="P30" s="78">
        <f t="shared" si="2"/>
        <v>36.876105000000038</v>
      </c>
      <c r="Q30" s="78">
        <f t="shared" si="2"/>
        <v>35.508375000000036</v>
      </c>
      <c r="R30" s="78">
        <f t="shared" si="2"/>
        <v>34.140645000000042</v>
      </c>
      <c r="S30" s="78">
        <f t="shared" si="2"/>
        <v>32.772915000000047</v>
      </c>
      <c r="T30" s="78">
        <f t="shared" si="2"/>
        <v>31.405185000000049</v>
      </c>
      <c r="U30" s="78">
        <f t="shared" si="2"/>
        <v>30.037455000000048</v>
      </c>
      <c r="V30" s="78">
        <f t="shared" si="2"/>
        <v>28.669725000000046</v>
      </c>
      <c r="W30" s="78">
        <f t="shared" si="2"/>
        <v>27.301995000000048</v>
      </c>
      <c r="X30" s="78">
        <f t="shared" si="2"/>
        <v>25.934265000000046</v>
      </c>
      <c r="Y30" s="78">
        <f t="shared" si="2"/>
        <v>24.566535000000048</v>
      </c>
      <c r="Z30" s="78">
        <f t="shared" si="2"/>
        <v>23.198805000000046</v>
      </c>
      <c r="AA30" s="78">
        <f t="shared" si="2"/>
        <v>21.831075000000048</v>
      </c>
      <c r="AB30" s="78">
        <f t="shared" si="2"/>
        <v>20.463345000000047</v>
      </c>
      <c r="AC30" s="78">
        <f t="shared" si="2"/>
        <v>19.095615000000045</v>
      </c>
      <c r="AD30" s="78">
        <f t="shared" si="2"/>
        <v>17.727885000000047</v>
      </c>
      <c r="AE30" s="78">
        <f t="shared" si="2"/>
        <v>16.360155000000045</v>
      </c>
      <c r="AF30" s="78">
        <f t="shared" si="2"/>
        <v>14.992425000000045</v>
      </c>
      <c r="AG30" s="78">
        <f t="shared" si="2"/>
        <v>13.624695000000045</v>
      </c>
      <c r="AH30" s="78">
        <f t="shared" si="2"/>
        <v>12.256965000000045</v>
      </c>
      <c r="AI30" s="78">
        <f t="shared" si="2"/>
        <v>10.889235000000046</v>
      </c>
      <c r="AJ30" s="78">
        <f t="shared" si="2"/>
        <v>9.5215050000000456</v>
      </c>
      <c r="AK30" s="78">
        <f t="shared" si="2"/>
        <v>8.153775000000044</v>
      </c>
      <c r="AL30" s="78">
        <f t="shared" si="2"/>
        <v>6.7860450000000441</v>
      </c>
      <c r="AM30" s="78">
        <f t="shared" si="2"/>
        <v>5.4183150000000442</v>
      </c>
      <c r="AN30" s="78">
        <f t="shared" si="2"/>
        <v>4.0505850000000443</v>
      </c>
      <c r="AO30" s="78">
        <f t="shared" si="2"/>
        <v>2.682855000000044</v>
      </c>
    </row>
    <row r="31" spans="1:42" x14ac:dyDescent="0.3">
      <c r="D31" s="9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</row>
    <row r="32" spans="1:42" x14ac:dyDescent="0.3">
      <c r="B32" s="6" t="s">
        <v>14</v>
      </c>
      <c r="D32" s="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</row>
    <row r="33" spans="1:41" x14ac:dyDescent="0.3">
      <c r="A33" s="77">
        <f>+A30+1</f>
        <v>4</v>
      </c>
      <c r="C33" s="6" t="s">
        <v>16</v>
      </c>
      <c r="D33" s="9"/>
      <c r="E33" s="78">
        <f>E57</f>
        <v>0</v>
      </c>
      <c r="F33" s="78">
        <f>F57</f>
        <v>0</v>
      </c>
      <c r="G33" s="78">
        <f>G57</f>
        <v>0</v>
      </c>
      <c r="H33" s="78">
        <f t="shared" ref="H33:AN33" si="3">H57</f>
        <v>0</v>
      </c>
      <c r="I33" s="78">
        <f t="shared" si="3"/>
        <v>0</v>
      </c>
      <c r="J33" s="78">
        <f t="shared" si="3"/>
        <v>0</v>
      </c>
      <c r="K33" s="78">
        <f t="shared" si="3"/>
        <v>0</v>
      </c>
      <c r="L33" s="78">
        <f t="shared" si="3"/>
        <v>0</v>
      </c>
      <c r="M33" s="78">
        <f t="shared" si="3"/>
        <v>0</v>
      </c>
      <c r="N33" s="78">
        <f t="shared" si="3"/>
        <v>0</v>
      </c>
      <c r="O33" s="78">
        <f t="shared" si="3"/>
        <v>0</v>
      </c>
      <c r="P33" s="78">
        <f t="shared" si="3"/>
        <v>0</v>
      </c>
      <c r="Q33" s="78">
        <f t="shared" si="3"/>
        <v>0</v>
      </c>
      <c r="R33" s="78">
        <f t="shared" si="3"/>
        <v>0</v>
      </c>
      <c r="S33" s="78">
        <f t="shared" si="3"/>
        <v>0</v>
      </c>
      <c r="T33" s="78">
        <f t="shared" si="3"/>
        <v>0</v>
      </c>
      <c r="U33" s="78">
        <f t="shared" si="3"/>
        <v>0</v>
      </c>
      <c r="V33" s="78">
        <f t="shared" si="3"/>
        <v>0</v>
      </c>
      <c r="W33" s="78">
        <f t="shared" si="3"/>
        <v>0</v>
      </c>
      <c r="X33" s="78">
        <f t="shared" si="3"/>
        <v>0</v>
      </c>
      <c r="Y33" s="78">
        <f t="shared" si="3"/>
        <v>0</v>
      </c>
      <c r="Z33" s="78">
        <f t="shared" si="3"/>
        <v>0</v>
      </c>
      <c r="AA33" s="78">
        <f t="shared" si="3"/>
        <v>0</v>
      </c>
      <c r="AB33" s="78">
        <f t="shared" si="3"/>
        <v>0</v>
      </c>
      <c r="AC33" s="78">
        <f t="shared" si="3"/>
        <v>0</v>
      </c>
      <c r="AD33" s="78">
        <f t="shared" si="3"/>
        <v>0</v>
      </c>
      <c r="AE33" s="78">
        <f t="shared" si="3"/>
        <v>0</v>
      </c>
      <c r="AF33" s="78">
        <f t="shared" si="3"/>
        <v>0</v>
      </c>
      <c r="AG33" s="78">
        <f t="shared" si="3"/>
        <v>0</v>
      </c>
      <c r="AH33" s="78">
        <f t="shared" si="3"/>
        <v>0</v>
      </c>
      <c r="AI33" s="78">
        <f t="shared" si="3"/>
        <v>0</v>
      </c>
      <c r="AJ33" s="78">
        <f t="shared" si="3"/>
        <v>0</v>
      </c>
      <c r="AK33" s="78">
        <f t="shared" si="3"/>
        <v>0</v>
      </c>
      <c r="AL33" s="78">
        <f t="shared" si="3"/>
        <v>0</v>
      </c>
      <c r="AM33" s="78">
        <f t="shared" si="3"/>
        <v>0</v>
      </c>
      <c r="AN33" s="78">
        <f t="shared" si="3"/>
        <v>0</v>
      </c>
      <c r="AO33" s="78">
        <f>AO57</f>
        <v>0</v>
      </c>
    </row>
    <row r="34" spans="1:41" x14ac:dyDescent="0.3">
      <c r="A34" s="77">
        <f>+A33+1</f>
        <v>5</v>
      </c>
      <c r="C34" s="6" t="s">
        <v>17</v>
      </c>
      <c r="D34" s="9"/>
      <c r="E34" s="80">
        <f>E59</f>
        <v>42.529834371265224</v>
      </c>
      <c r="F34" s="80">
        <f>F59</f>
        <v>41.146786682359995</v>
      </c>
      <c r="G34" s="80">
        <f>G59</f>
        <v>39.631146113650011</v>
      </c>
      <c r="H34" s="80">
        <f t="shared" ref="H34:AN34" si="4">H59</f>
        <v>38.162708066551417</v>
      </c>
      <c r="I34" s="80">
        <f t="shared" si="4"/>
        <v>36.737939146932078</v>
      </c>
      <c r="J34" s="80">
        <f t="shared" si="4"/>
        <v>35.353577760208481</v>
      </c>
      <c r="K34" s="80">
        <f t="shared" si="4"/>
        <v>34.006588811420976</v>
      </c>
      <c r="L34" s="80">
        <f t="shared" si="4"/>
        <v>32.694163705233755</v>
      </c>
      <c r="M34" s="80">
        <f t="shared" si="4"/>
        <v>31.401036366998976</v>
      </c>
      <c r="N34" s="80">
        <f t="shared" si="4"/>
        <v>30.110672324175233</v>
      </c>
      <c r="O34" s="80">
        <f t="shared" si="4"/>
        <v>28.820308281351494</v>
      </c>
      <c r="P34" s="80">
        <f t="shared" si="4"/>
        <v>27.529944238527747</v>
      </c>
      <c r="Q34" s="80">
        <f t="shared" si="4"/>
        <v>26.239580195704008</v>
      </c>
      <c r="R34" s="80">
        <f t="shared" si="4"/>
        <v>24.949216152880261</v>
      </c>
      <c r="S34" s="80">
        <f t="shared" si="4"/>
        <v>23.658852110056515</v>
      </c>
      <c r="T34" s="80">
        <f t="shared" si="4"/>
        <v>22.368488067232775</v>
      </c>
      <c r="U34" s="80">
        <f t="shared" si="4"/>
        <v>21.078124024409032</v>
      </c>
      <c r="V34" s="80">
        <f t="shared" si="4"/>
        <v>19.787759981585285</v>
      </c>
      <c r="W34" s="80">
        <f t="shared" si="4"/>
        <v>18.497395938761546</v>
      </c>
      <c r="X34" s="80">
        <f t="shared" si="4"/>
        <v>17.207031895937803</v>
      </c>
      <c r="Y34" s="80">
        <f t="shared" si="4"/>
        <v>16.017731985278186</v>
      </c>
      <c r="Z34" s="80">
        <f t="shared" si="4"/>
        <v>15.030515039022058</v>
      </c>
      <c r="AA34" s="80">
        <f t="shared" si="4"/>
        <v>14.14436222493006</v>
      </c>
      <c r="AB34" s="80">
        <f t="shared" si="4"/>
        <v>13.258209410838063</v>
      </c>
      <c r="AC34" s="80">
        <f t="shared" si="4"/>
        <v>12.372056596746065</v>
      </c>
      <c r="AD34" s="80">
        <f t="shared" si="4"/>
        <v>11.485903782654066</v>
      </c>
      <c r="AE34" s="80">
        <f t="shared" si="4"/>
        <v>10.599750968562066</v>
      </c>
      <c r="AF34" s="80">
        <f t="shared" si="4"/>
        <v>9.7135981544700662</v>
      </c>
      <c r="AG34" s="80">
        <f t="shared" si="4"/>
        <v>8.8274453403780662</v>
      </c>
      <c r="AH34" s="80">
        <f t="shared" si="4"/>
        <v>7.9412925262860679</v>
      </c>
      <c r="AI34" s="80">
        <f t="shared" si="4"/>
        <v>7.0551397121940687</v>
      </c>
      <c r="AJ34" s="80">
        <f t="shared" si="4"/>
        <v>6.1689868981020677</v>
      </c>
      <c r="AK34" s="80">
        <f t="shared" si="4"/>
        <v>5.2828340840100694</v>
      </c>
      <c r="AL34" s="80">
        <f t="shared" si="4"/>
        <v>4.3966812699180693</v>
      </c>
      <c r="AM34" s="80">
        <f t="shared" si="4"/>
        <v>3.5105284558260701</v>
      </c>
      <c r="AN34" s="80">
        <f t="shared" si="4"/>
        <v>2.6243756417340696</v>
      </c>
      <c r="AO34" s="80">
        <f>AO59</f>
        <v>1.7382228276420688</v>
      </c>
    </row>
    <row r="35" spans="1:41" x14ac:dyDescent="0.3">
      <c r="A35" s="77">
        <f>+A34+1</f>
        <v>6</v>
      </c>
      <c r="C35" s="6" t="s">
        <v>18</v>
      </c>
      <c r="D35" s="9"/>
      <c r="E35" s="78">
        <f>E33+E34</f>
        <v>42.529834371265224</v>
      </c>
      <c r="F35" s="78">
        <f>F33+F34</f>
        <v>41.146786682359995</v>
      </c>
      <c r="G35" s="78">
        <f>G33+G34</f>
        <v>39.631146113650011</v>
      </c>
      <c r="H35" s="78">
        <f t="shared" ref="H35:AN35" si="5">H33+H34</f>
        <v>38.162708066551417</v>
      </c>
      <c r="I35" s="78">
        <f t="shared" si="5"/>
        <v>36.737939146932078</v>
      </c>
      <c r="J35" s="78">
        <f t="shared" si="5"/>
        <v>35.353577760208481</v>
      </c>
      <c r="K35" s="78">
        <f t="shared" si="5"/>
        <v>34.006588811420976</v>
      </c>
      <c r="L35" s="78">
        <f t="shared" si="5"/>
        <v>32.694163705233755</v>
      </c>
      <c r="M35" s="78">
        <f t="shared" si="5"/>
        <v>31.401036366998976</v>
      </c>
      <c r="N35" s="78">
        <f t="shared" si="5"/>
        <v>30.110672324175233</v>
      </c>
      <c r="O35" s="78">
        <f t="shared" si="5"/>
        <v>28.820308281351494</v>
      </c>
      <c r="P35" s="78">
        <f t="shared" si="5"/>
        <v>27.529944238527747</v>
      </c>
      <c r="Q35" s="78">
        <f t="shared" si="5"/>
        <v>26.239580195704008</v>
      </c>
      <c r="R35" s="78">
        <f t="shared" si="5"/>
        <v>24.949216152880261</v>
      </c>
      <c r="S35" s="78">
        <f t="shared" si="5"/>
        <v>23.658852110056515</v>
      </c>
      <c r="T35" s="78">
        <f t="shared" si="5"/>
        <v>22.368488067232775</v>
      </c>
      <c r="U35" s="78">
        <f t="shared" si="5"/>
        <v>21.078124024409032</v>
      </c>
      <c r="V35" s="78">
        <f t="shared" si="5"/>
        <v>19.787759981585285</v>
      </c>
      <c r="W35" s="78">
        <f t="shared" si="5"/>
        <v>18.497395938761546</v>
      </c>
      <c r="X35" s="78">
        <f t="shared" si="5"/>
        <v>17.207031895937803</v>
      </c>
      <c r="Y35" s="78">
        <f t="shared" si="5"/>
        <v>16.017731985278186</v>
      </c>
      <c r="Z35" s="78">
        <f t="shared" si="5"/>
        <v>15.030515039022058</v>
      </c>
      <c r="AA35" s="78">
        <f t="shared" si="5"/>
        <v>14.14436222493006</v>
      </c>
      <c r="AB35" s="78">
        <f t="shared" si="5"/>
        <v>13.258209410838063</v>
      </c>
      <c r="AC35" s="78">
        <f t="shared" si="5"/>
        <v>12.372056596746065</v>
      </c>
      <c r="AD35" s="78">
        <f t="shared" si="5"/>
        <v>11.485903782654066</v>
      </c>
      <c r="AE35" s="78">
        <f t="shared" si="5"/>
        <v>10.599750968562066</v>
      </c>
      <c r="AF35" s="78">
        <f t="shared" si="5"/>
        <v>9.7135981544700662</v>
      </c>
      <c r="AG35" s="78">
        <f t="shared" si="5"/>
        <v>8.8274453403780662</v>
      </c>
      <c r="AH35" s="78">
        <f t="shared" si="5"/>
        <v>7.9412925262860679</v>
      </c>
      <c r="AI35" s="78">
        <f t="shared" si="5"/>
        <v>7.0551397121940687</v>
      </c>
      <c r="AJ35" s="78">
        <f t="shared" si="5"/>
        <v>6.1689868981020677</v>
      </c>
      <c r="AK35" s="78">
        <f t="shared" si="5"/>
        <v>5.2828340840100694</v>
      </c>
      <c r="AL35" s="78">
        <f t="shared" si="5"/>
        <v>4.3966812699180693</v>
      </c>
      <c r="AM35" s="78">
        <f t="shared" si="5"/>
        <v>3.5105284558260701</v>
      </c>
      <c r="AN35" s="78">
        <f t="shared" si="5"/>
        <v>2.6243756417340696</v>
      </c>
      <c r="AO35" s="78">
        <f>AO33+AO34</f>
        <v>1.7382228276420688</v>
      </c>
    </row>
    <row r="36" spans="1:41" x14ac:dyDescent="0.3">
      <c r="D36" s="9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</row>
    <row r="37" spans="1:41" x14ac:dyDescent="0.3">
      <c r="B37" s="6" t="s">
        <v>20</v>
      </c>
      <c r="D37" s="9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</row>
    <row r="38" spans="1:41" x14ac:dyDescent="0.3">
      <c r="A38" s="77">
        <f>+A35+1</f>
        <v>7</v>
      </c>
      <c r="C38" s="6" t="s">
        <v>22</v>
      </c>
      <c r="D38" s="9"/>
      <c r="E38" s="78">
        <f t="shared" ref="E38:AO38" si="6">E53*$F9</f>
        <v>87.570224955675002</v>
      </c>
      <c r="F38" s="78">
        <f t="shared" si="6"/>
        <v>84.722487619465511</v>
      </c>
      <c r="G38" s="78">
        <f t="shared" si="6"/>
        <v>81.601737503317523</v>
      </c>
      <c r="H38" s="78">
        <f t="shared" si="6"/>
        <v>78.578178817540518</v>
      </c>
      <c r="I38" s="78">
        <f t="shared" si="6"/>
        <v>75.644536195945534</v>
      </c>
      <c r="J38" s="78">
        <f t="shared" si="6"/>
        <v>72.794093915896539</v>
      </c>
      <c r="K38" s="78">
        <f t="shared" si="6"/>
        <v>70.020602624385049</v>
      </c>
      <c r="L38" s="78">
        <f t="shared" si="6"/>
        <v>67.318279338030052</v>
      </c>
      <c r="M38" s="78">
        <f t="shared" si="6"/>
        <v>64.655690743938067</v>
      </c>
      <c r="N38" s="78">
        <f t="shared" si="6"/>
        <v>61.998791859301569</v>
      </c>
      <c r="O38" s="78">
        <f t="shared" si="6"/>
        <v>59.341892974665072</v>
      </c>
      <c r="P38" s="78">
        <f t="shared" si="6"/>
        <v>56.684994090028574</v>
      </c>
      <c r="Q38" s="78">
        <f t="shared" si="6"/>
        <v>54.028095205392084</v>
      </c>
      <c r="R38" s="78">
        <f t="shared" si="6"/>
        <v>51.371196320755587</v>
      </c>
      <c r="S38" s="78">
        <f t="shared" si="6"/>
        <v>48.714297436119089</v>
      </c>
      <c r="T38" s="78">
        <f t="shared" si="6"/>
        <v>46.057398551482599</v>
      </c>
      <c r="U38" s="78">
        <f t="shared" si="6"/>
        <v>43.400499666846102</v>
      </c>
      <c r="V38" s="78">
        <f t="shared" si="6"/>
        <v>40.743600782209604</v>
      </c>
      <c r="W38" s="78">
        <f t="shared" si="6"/>
        <v>38.086701897573114</v>
      </c>
      <c r="X38" s="78">
        <f t="shared" si="6"/>
        <v>35.429803012936617</v>
      </c>
      <c r="Y38" s="78">
        <f t="shared" si="6"/>
        <v>32.980998256090615</v>
      </c>
      <c r="Z38" s="78">
        <f t="shared" si="6"/>
        <v>30.948288480900121</v>
      </c>
      <c r="AA38" s="78">
        <f t="shared" si="6"/>
        <v>29.123672833500127</v>
      </c>
      <c r="AB38" s="78">
        <f t="shared" si="6"/>
        <v>27.299057186100136</v>
      </c>
      <c r="AC38" s="78">
        <f t="shared" si="6"/>
        <v>25.474441538700137</v>
      </c>
      <c r="AD38" s="78">
        <f t="shared" si="6"/>
        <v>23.649825891300139</v>
      </c>
      <c r="AE38" s="78">
        <f t="shared" si="6"/>
        <v>21.825210243900138</v>
      </c>
      <c r="AF38" s="78">
        <f t="shared" si="6"/>
        <v>20.000594596500139</v>
      </c>
      <c r="AG38" s="78">
        <f t="shared" si="6"/>
        <v>18.175978949100141</v>
      </c>
      <c r="AH38" s="78">
        <f t="shared" si="6"/>
        <v>16.35136330170014</v>
      </c>
      <c r="AI38" s="78">
        <f t="shared" si="6"/>
        <v>14.526747654300141</v>
      </c>
      <c r="AJ38" s="78">
        <f t="shared" si="6"/>
        <v>12.702132006900142</v>
      </c>
      <c r="AK38" s="78">
        <f t="shared" si="6"/>
        <v>10.877516359500143</v>
      </c>
      <c r="AL38" s="78">
        <f t="shared" si="6"/>
        <v>9.0529007121001435</v>
      </c>
      <c r="AM38" s="78">
        <f t="shared" si="6"/>
        <v>7.2282850647001444</v>
      </c>
      <c r="AN38" s="78">
        <f t="shared" si="6"/>
        <v>5.4036694173001436</v>
      </c>
      <c r="AO38" s="78">
        <f t="shared" si="6"/>
        <v>3.5790537699001423</v>
      </c>
    </row>
    <row r="39" spans="1:41" x14ac:dyDescent="0.3">
      <c r="A39" s="77">
        <f>+A38+1</f>
        <v>8</v>
      </c>
      <c r="C39" s="43" t="s">
        <v>24</v>
      </c>
      <c r="D39" s="9"/>
      <c r="E39" s="78">
        <f t="shared" ref="E39:AO39" si="7">E53*$F10</f>
        <v>0.75573830143350007</v>
      </c>
      <c r="F39" s="78">
        <f t="shared" si="7"/>
        <v>0.73116209212851013</v>
      </c>
      <c r="G39" s="78">
        <f t="shared" si="7"/>
        <v>0.70422975989835024</v>
      </c>
      <c r="H39" s="78">
        <f t="shared" si="7"/>
        <v>0.67813619777001022</v>
      </c>
      <c r="I39" s="78">
        <f t="shared" si="7"/>
        <v>0.65281861873011027</v>
      </c>
      <c r="J39" s="78">
        <f t="shared" si="7"/>
        <v>0.62821906553553031</v>
      </c>
      <c r="K39" s="78">
        <f t="shared" si="7"/>
        <v>0.60428360575170037</v>
      </c>
      <c r="L39" s="78">
        <f t="shared" si="7"/>
        <v>0.58096233175260059</v>
      </c>
      <c r="M39" s="78">
        <f t="shared" si="7"/>
        <v>0.55798397144196055</v>
      </c>
      <c r="N39" s="78">
        <f t="shared" si="7"/>
        <v>0.53505471379563063</v>
      </c>
      <c r="O39" s="78">
        <f t="shared" si="7"/>
        <v>0.51212545614930061</v>
      </c>
      <c r="P39" s="78">
        <f t="shared" si="7"/>
        <v>0.48919619850297069</v>
      </c>
      <c r="Q39" s="78">
        <f t="shared" si="7"/>
        <v>0.46626694085664072</v>
      </c>
      <c r="R39" s="78">
        <f t="shared" si="7"/>
        <v>0.44333768321031075</v>
      </c>
      <c r="S39" s="78">
        <f t="shared" si="7"/>
        <v>0.42040842556398084</v>
      </c>
      <c r="T39" s="78">
        <f t="shared" si="7"/>
        <v>0.39747916791765087</v>
      </c>
      <c r="U39" s="78">
        <f t="shared" si="7"/>
        <v>0.3745499102713209</v>
      </c>
      <c r="V39" s="78">
        <f t="shared" si="7"/>
        <v>0.35162065262499093</v>
      </c>
      <c r="W39" s="78">
        <f t="shared" si="7"/>
        <v>0.32869139497866096</v>
      </c>
      <c r="X39" s="78">
        <f t="shared" si="7"/>
        <v>0.30576213733233104</v>
      </c>
      <c r="Y39" s="78">
        <f t="shared" si="7"/>
        <v>0.28462874926101106</v>
      </c>
      <c r="Z39" s="78">
        <f t="shared" si="7"/>
        <v>0.26708629537800105</v>
      </c>
      <c r="AA39" s="78">
        <f t="shared" si="7"/>
        <v>0.25133971107000114</v>
      </c>
      <c r="AB39" s="78">
        <f t="shared" si="7"/>
        <v>0.23559312676200117</v>
      </c>
      <c r="AC39" s="78">
        <f t="shared" si="7"/>
        <v>0.2198465424540012</v>
      </c>
      <c r="AD39" s="78">
        <f t="shared" si="7"/>
        <v>0.20409995814600121</v>
      </c>
      <c r="AE39" s="78">
        <f t="shared" si="7"/>
        <v>0.18835337383800121</v>
      </c>
      <c r="AF39" s="78">
        <f t="shared" si="7"/>
        <v>0.17260678953000122</v>
      </c>
      <c r="AG39" s="78">
        <f t="shared" si="7"/>
        <v>0.15686020522200123</v>
      </c>
      <c r="AH39" s="78">
        <f t="shared" si="7"/>
        <v>0.14111362091400123</v>
      </c>
      <c r="AI39" s="78">
        <f t="shared" si="7"/>
        <v>0.12536703660600124</v>
      </c>
      <c r="AJ39" s="78">
        <f t="shared" si="7"/>
        <v>0.10962045229800123</v>
      </c>
      <c r="AK39" s="78">
        <f t="shared" si="7"/>
        <v>9.3873867990001233E-2</v>
      </c>
      <c r="AL39" s="78">
        <f t="shared" si="7"/>
        <v>7.8127283682001239E-2</v>
      </c>
      <c r="AM39" s="78">
        <f t="shared" si="7"/>
        <v>6.2380699374001244E-2</v>
      </c>
      <c r="AN39" s="78">
        <f t="shared" si="7"/>
        <v>4.6634115066001243E-2</v>
      </c>
      <c r="AO39" s="78">
        <f t="shared" si="7"/>
        <v>3.0887530758001231E-2</v>
      </c>
    </row>
    <row r="40" spans="1:41" x14ac:dyDescent="0.3">
      <c r="A40" s="77">
        <f>+A39+1</f>
        <v>9</v>
      </c>
      <c r="C40" s="6" t="s">
        <v>25</v>
      </c>
      <c r="D40" s="9"/>
      <c r="E40" s="80">
        <f t="shared" ref="E40:AO40" si="8">E53*$F11</f>
        <v>159.23744814284998</v>
      </c>
      <c r="F40" s="80">
        <f t="shared" si="8"/>
        <v>154.05913066532102</v>
      </c>
      <c r="G40" s="80">
        <f t="shared" si="8"/>
        <v>148.38436752478503</v>
      </c>
      <c r="H40" s="80">
        <f t="shared" si="8"/>
        <v>142.88633700497104</v>
      </c>
      <c r="I40" s="80">
        <f t="shared" si="8"/>
        <v>137.55180960068105</v>
      </c>
      <c r="J40" s="80">
        <f t="shared" si="8"/>
        <v>132.36857346096306</v>
      </c>
      <c r="K40" s="80">
        <f t="shared" si="8"/>
        <v>127.32526478007007</v>
      </c>
      <c r="L40" s="80">
        <f t="shared" si="8"/>
        <v>122.4113677974601</v>
      </c>
      <c r="M40" s="80">
        <f t="shared" si="8"/>
        <v>117.56972426631611</v>
      </c>
      <c r="N40" s="80">
        <f t="shared" si="8"/>
        <v>112.73842688667312</v>
      </c>
      <c r="O40" s="80">
        <f t="shared" si="8"/>
        <v>107.90712950703013</v>
      </c>
      <c r="P40" s="80">
        <f t="shared" si="8"/>
        <v>103.07583212738714</v>
      </c>
      <c r="Q40" s="80">
        <f t="shared" si="8"/>
        <v>98.244534747744154</v>
      </c>
      <c r="R40" s="80">
        <f t="shared" si="8"/>
        <v>93.41323736810115</v>
      </c>
      <c r="S40" s="80">
        <f t="shared" si="8"/>
        <v>88.58193998845816</v>
      </c>
      <c r="T40" s="80">
        <f t="shared" si="8"/>
        <v>83.75064260881517</v>
      </c>
      <c r="U40" s="80">
        <f t="shared" si="8"/>
        <v>78.91934522917218</v>
      </c>
      <c r="V40" s="80">
        <f t="shared" si="8"/>
        <v>74.08804784952919</v>
      </c>
      <c r="W40" s="80">
        <f t="shared" si="8"/>
        <v>69.2567504698862</v>
      </c>
      <c r="X40" s="80">
        <f t="shared" si="8"/>
        <v>64.425453090243209</v>
      </c>
      <c r="Y40" s="80">
        <f t="shared" si="8"/>
        <v>59.972553481071216</v>
      </c>
      <c r="Z40" s="80">
        <f t="shared" si="8"/>
        <v>56.276279803800222</v>
      </c>
      <c r="AA40" s="80">
        <f t="shared" si="8"/>
        <v>52.958403897000231</v>
      </c>
      <c r="AB40" s="80">
        <f t="shared" si="8"/>
        <v>49.640527990200241</v>
      </c>
      <c r="AC40" s="80">
        <f t="shared" si="8"/>
        <v>46.32265208340025</v>
      </c>
      <c r="AD40" s="80">
        <f t="shared" si="8"/>
        <v>43.004776176600252</v>
      </c>
      <c r="AE40" s="80">
        <f t="shared" si="8"/>
        <v>39.686900269800255</v>
      </c>
      <c r="AF40" s="80">
        <f t="shared" si="8"/>
        <v>36.36902436300025</v>
      </c>
      <c r="AG40" s="80">
        <f t="shared" si="8"/>
        <v>33.051148456200252</v>
      </c>
      <c r="AH40" s="80">
        <f t="shared" si="8"/>
        <v>29.733272549400255</v>
      </c>
      <c r="AI40" s="80">
        <f t="shared" si="8"/>
        <v>26.415396642600257</v>
      </c>
      <c r="AJ40" s="80">
        <f t="shared" si="8"/>
        <v>23.097520735800259</v>
      </c>
      <c r="AK40" s="80">
        <f t="shared" si="8"/>
        <v>19.779644829000258</v>
      </c>
      <c r="AL40" s="80">
        <f t="shared" si="8"/>
        <v>16.46176892220026</v>
      </c>
      <c r="AM40" s="80">
        <f t="shared" si="8"/>
        <v>13.143893015400263</v>
      </c>
      <c r="AN40" s="80">
        <f t="shared" si="8"/>
        <v>9.8260171086002597</v>
      </c>
      <c r="AO40" s="80">
        <f t="shared" si="8"/>
        <v>6.5081412018002593</v>
      </c>
    </row>
    <row r="41" spans="1:41" x14ac:dyDescent="0.3">
      <c r="A41" s="77">
        <f>+A40+1</f>
        <v>10</v>
      </c>
      <c r="C41" s="6" t="s">
        <v>27</v>
      </c>
      <c r="D41" s="9"/>
      <c r="E41" s="78">
        <f>E38+E39+E40</f>
        <v>247.56341139995848</v>
      </c>
      <c r="F41" s="78">
        <f>F38+F39+F40</f>
        <v>239.51278037691503</v>
      </c>
      <c r="G41" s="78">
        <f>G38+G39+G40</f>
        <v>230.69033478800091</v>
      </c>
      <c r="H41" s="78">
        <f t="shared" ref="H41:AN41" si="9">H38+H39+H40</f>
        <v>222.14265202028156</v>
      </c>
      <c r="I41" s="78">
        <f t="shared" si="9"/>
        <v>213.84916441535671</v>
      </c>
      <c r="J41" s="78">
        <f t="shared" si="9"/>
        <v>205.79088644239513</v>
      </c>
      <c r="K41" s="78">
        <f t="shared" si="9"/>
        <v>197.95015101020681</v>
      </c>
      <c r="L41" s="78">
        <f t="shared" si="9"/>
        <v>190.31060946724276</v>
      </c>
      <c r="M41" s="78">
        <f t="shared" si="9"/>
        <v>182.78339898169614</v>
      </c>
      <c r="N41" s="78">
        <f t="shared" si="9"/>
        <v>175.27227345977033</v>
      </c>
      <c r="O41" s="78">
        <f t="shared" si="9"/>
        <v>167.7611479378445</v>
      </c>
      <c r="P41" s="78">
        <f t="shared" si="9"/>
        <v>160.25002241591869</v>
      </c>
      <c r="Q41" s="78">
        <f t="shared" si="9"/>
        <v>152.73889689399289</v>
      </c>
      <c r="R41" s="78">
        <f t="shared" si="9"/>
        <v>145.22777137206705</v>
      </c>
      <c r="S41" s="78">
        <f t="shared" si="9"/>
        <v>137.71664585014122</v>
      </c>
      <c r="T41" s="78">
        <f t="shared" si="9"/>
        <v>130.20552032821541</v>
      </c>
      <c r="U41" s="78">
        <f t="shared" si="9"/>
        <v>122.69439480628961</v>
      </c>
      <c r="V41" s="78">
        <f t="shared" si="9"/>
        <v>115.18326928436377</v>
      </c>
      <c r="W41" s="78">
        <f t="shared" si="9"/>
        <v>107.67214376243797</v>
      </c>
      <c r="X41" s="78">
        <f t="shared" si="9"/>
        <v>100.16101824051216</v>
      </c>
      <c r="Y41" s="78">
        <f t="shared" si="9"/>
        <v>93.238180486422834</v>
      </c>
      <c r="Z41" s="78">
        <f t="shared" si="9"/>
        <v>87.491654580078347</v>
      </c>
      <c r="AA41" s="78">
        <f t="shared" si="9"/>
        <v>82.333416441570364</v>
      </c>
      <c r="AB41" s="78">
        <f t="shared" si="9"/>
        <v>77.175178303062381</v>
      </c>
      <c r="AC41" s="78">
        <f t="shared" si="9"/>
        <v>72.016940164554384</v>
      </c>
      <c r="AD41" s="78">
        <f t="shared" si="9"/>
        <v>66.858702026046387</v>
      </c>
      <c r="AE41" s="78">
        <f t="shared" si="9"/>
        <v>61.70046388753839</v>
      </c>
      <c r="AF41" s="78">
        <f t="shared" si="9"/>
        <v>56.542225749030393</v>
      </c>
      <c r="AG41" s="78">
        <f t="shared" si="9"/>
        <v>51.383987610522396</v>
      </c>
      <c r="AH41" s="78">
        <f t="shared" si="9"/>
        <v>46.2257494720144</v>
      </c>
      <c r="AI41" s="78">
        <f t="shared" si="9"/>
        <v>41.067511333506403</v>
      </c>
      <c r="AJ41" s="78">
        <f t="shared" si="9"/>
        <v>35.909273194998406</v>
      </c>
      <c r="AK41" s="78">
        <f t="shared" si="9"/>
        <v>30.751035056490402</v>
      </c>
      <c r="AL41" s="78">
        <f t="shared" si="9"/>
        <v>25.592796917982405</v>
      </c>
      <c r="AM41" s="78">
        <f t="shared" si="9"/>
        <v>20.434558779474408</v>
      </c>
      <c r="AN41" s="78">
        <f t="shared" si="9"/>
        <v>15.276320640966404</v>
      </c>
      <c r="AO41" s="78">
        <f>AO38+AO39+AO40</f>
        <v>10.118082502458403</v>
      </c>
    </row>
    <row r="42" spans="1:41" x14ac:dyDescent="0.3">
      <c r="D42" s="9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</row>
    <row r="43" spans="1:41" x14ac:dyDescent="0.3">
      <c r="A43" s="77">
        <f>+A41+1</f>
        <v>11</v>
      </c>
      <c r="B43" s="6" t="s">
        <v>28</v>
      </c>
      <c r="D43" s="9"/>
      <c r="E43" s="81">
        <f>E28+E30+E35+E41+E29</f>
        <v>487.24638077122376</v>
      </c>
      <c r="F43" s="81">
        <f t="shared" ref="F43:AO43" si="10">F28+F30+F35+F41+F29</f>
        <v>477.79622205927501</v>
      </c>
      <c r="G43" s="81">
        <f t="shared" si="10"/>
        <v>467.47543715165091</v>
      </c>
      <c r="H43" s="81">
        <f t="shared" si="10"/>
        <v>457.511243368083</v>
      </c>
      <c r="I43" s="81">
        <f t="shared" si="10"/>
        <v>447.88040530057003</v>
      </c>
      <c r="J43" s="81">
        <f t="shared" si="10"/>
        <v>438.56156310934182</v>
      </c>
      <c r="K43" s="81">
        <f t="shared" si="10"/>
        <v>429.53492407603449</v>
      </c>
      <c r="L43" s="81">
        <f t="shared" si="10"/>
        <v>420.78226315824338</v>
      </c>
      <c r="M43" s="81">
        <f t="shared" si="10"/>
        <v>412.2004069591062</v>
      </c>
      <c r="N43" s="81">
        <f t="shared" si="10"/>
        <v>403.67755430961688</v>
      </c>
      <c r="O43" s="81">
        <f t="shared" si="10"/>
        <v>395.19586083300908</v>
      </c>
      <c r="P43" s="81">
        <f t="shared" si="10"/>
        <v>386.75635550860488</v>
      </c>
      <c r="Q43" s="81">
        <f t="shared" si="10"/>
        <v>378.36009304020928</v>
      </c>
      <c r="R43" s="81">
        <f t="shared" si="10"/>
        <v>370.00815449922254</v>
      </c>
      <c r="S43" s="81">
        <f t="shared" si="10"/>
        <v>361.70164798382984</v>
      </c>
      <c r="T43" s="81">
        <f t="shared" si="10"/>
        <v>353.441709294671</v>
      </c>
      <c r="U43" s="81">
        <f t="shared" si="10"/>
        <v>345.2295026274021</v>
      </c>
      <c r="V43" s="81">
        <f t="shared" si="10"/>
        <v>337.06622128257004</v>
      </c>
      <c r="W43" s="81">
        <f t="shared" si="10"/>
        <v>328.95308839323604</v>
      </c>
      <c r="X43" s="81">
        <f t="shared" si="10"/>
        <v>320.89135767078739</v>
      </c>
      <c r="Y43" s="81">
        <f t="shared" si="10"/>
        <v>313.57166606939688</v>
      </c>
      <c r="Z43" s="81">
        <f t="shared" si="10"/>
        <v>307.68437368173863</v>
      </c>
      <c r="AA43" s="81">
        <f t="shared" si="10"/>
        <v>302.54178770570462</v>
      </c>
      <c r="AB43" s="81">
        <f t="shared" si="10"/>
        <v>297.45594010408468</v>
      </c>
      <c r="AC43" s="81">
        <f t="shared" si="10"/>
        <v>292.42824933623933</v>
      </c>
      <c r="AD43" s="81">
        <f t="shared" si="10"/>
        <v>287.46016932301279</v>
      </c>
      <c r="AE43" s="81">
        <f t="shared" si="10"/>
        <v>282.55319033327055</v>
      </c>
      <c r="AF43" s="81">
        <f t="shared" si="10"/>
        <v>277.70883989259983</v>
      </c>
      <c r="AG43" s="81">
        <f t="shared" si="10"/>
        <v>272.9286837147273</v>
      </c>
      <c r="AH43" s="81">
        <f t="shared" si="10"/>
        <v>268.21432665622297</v>
      </c>
      <c r="AI43" s="81">
        <f t="shared" si="10"/>
        <v>263.56741369507102</v>
      </c>
      <c r="AJ43" s="81">
        <f t="shared" si="10"/>
        <v>258.98963093370526</v>
      </c>
      <c r="AK43" s="81">
        <f t="shared" si="10"/>
        <v>254.48270662712036</v>
      </c>
      <c r="AL43" s="81">
        <f t="shared" si="10"/>
        <v>250.04841223668589</v>
      </c>
      <c r="AM43" s="81">
        <f t="shared" si="10"/>
        <v>245.68856351030553</v>
      </c>
      <c r="AN43" s="81">
        <f t="shared" si="10"/>
        <v>241.40502158958063</v>
      </c>
      <c r="AO43" s="81">
        <f t="shared" si="10"/>
        <v>237.1996941446526</v>
      </c>
    </row>
    <row r="44" spans="1:41" x14ac:dyDescent="0.3">
      <c r="A44" s="77">
        <f>+A43+1</f>
        <v>12</v>
      </c>
      <c r="B44" s="6" t="s">
        <v>29</v>
      </c>
      <c r="D44" s="9"/>
      <c r="E44" s="80">
        <f t="shared" ref="E44:AO44" si="11">E43/(1-$F16)-E43</f>
        <v>20.577003531965204</v>
      </c>
      <c r="F44" s="80">
        <f t="shared" si="11"/>
        <v>20.177911908368912</v>
      </c>
      <c r="G44" s="80">
        <f t="shared" si="11"/>
        <v>19.742052688315425</v>
      </c>
      <c r="H44" s="80">
        <f t="shared" si="11"/>
        <v>19.321252742396609</v>
      </c>
      <c r="I44" s="80">
        <f t="shared" si="11"/>
        <v>18.914530811250984</v>
      </c>
      <c r="J44" s="80">
        <f t="shared" si="11"/>
        <v>18.520984843030135</v>
      </c>
      <c r="K44" s="80">
        <f t="shared" si="11"/>
        <v>18.139778967316602</v>
      </c>
      <c r="L44" s="80">
        <f t="shared" si="11"/>
        <v>17.770143518543421</v>
      </c>
      <c r="M44" s="80">
        <f t="shared" si="11"/>
        <v>17.407721359468667</v>
      </c>
      <c r="N44" s="80">
        <f t="shared" si="11"/>
        <v>17.047790991605552</v>
      </c>
      <c r="O44" s="80">
        <f t="shared" si="11"/>
        <v>16.689598825356995</v>
      </c>
      <c r="P44" s="80">
        <f t="shared" si="11"/>
        <v>16.33318831576338</v>
      </c>
      <c r="Q44" s="80">
        <f t="shared" si="11"/>
        <v>15.978604004241106</v>
      </c>
      <c r="R44" s="80">
        <f t="shared" si="11"/>
        <v>15.625891545741979</v>
      </c>
      <c r="S44" s="80">
        <f t="shared" si="11"/>
        <v>15.275097736591476</v>
      </c>
      <c r="T44" s="80">
        <f t="shared" si="11"/>
        <v>14.92627054302335</v>
      </c>
      <c r="U44" s="80">
        <f t="shared" si="11"/>
        <v>14.579459130427267</v>
      </c>
      <c r="V44" s="80">
        <f t="shared" si="11"/>
        <v>14.234713893327353</v>
      </c>
      <c r="W44" s="80">
        <f t="shared" si="11"/>
        <v>13.892086486111168</v>
      </c>
      <c r="X44" s="80">
        <f t="shared" si="11"/>
        <v>13.551629854525686</v>
      </c>
      <c r="Y44" s="80">
        <f t="shared" si="11"/>
        <v>13.242510431829714</v>
      </c>
      <c r="Z44" s="80">
        <f t="shared" si="11"/>
        <v>12.99388295908625</v>
      </c>
      <c r="AA44" s="80">
        <f t="shared" si="11"/>
        <v>12.776705338136424</v>
      </c>
      <c r="AB44" s="80">
        <f t="shared" si="11"/>
        <v>12.561923847310538</v>
      </c>
      <c r="AC44" s="80">
        <f t="shared" si="11"/>
        <v>12.349598389861626</v>
      </c>
      <c r="AD44" s="80">
        <f t="shared" si="11"/>
        <v>12.139790366624084</v>
      </c>
      <c r="AE44" s="80">
        <f t="shared" si="11"/>
        <v>11.932562713453251</v>
      </c>
      <c r="AF44" s="80">
        <f t="shared" si="11"/>
        <v>11.727979939600743</v>
      </c>
      <c r="AG44" s="80">
        <f t="shared" si="11"/>
        <v>11.526108167049586</v>
      </c>
      <c r="AH44" s="80">
        <f t="shared" si="11"/>
        <v>11.327015170832283</v>
      </c>
      <c r="AI44" s="80">
        <f t="shared" si="11"/>
        <v>11.130770420357123</v>
      </c>
      <c r="AJ44" s="80">
        <f t="shared" si="11"/>
        <v>10.93744512176778</v>
      </c>
      <c r="AK44" s="80">
        <f t="shared" si="11"/>
        <v>10.747112261361281</v>
      </c>
      <c r="AL44" s="80">
        <f t="shared" si="11"/>
        <v>10.559846650092226</v>
      </c>
      <c r="AM44" s="80">
        <f t="shared" si="11"/>
        <v>10.37572496918915</v>
      </c>
      <c r="AN44" s="80">
        <f t="shared" si="11"/>
        <v>10.194825816911049</v>
      </c>
      <c r="AO44" s="80">
        <f t="shared" si="11"/>
        <v>10.017229756473625</v>
      </c>
    </row>
    <row r="45" spans="1:41" x14ac:dyDescent="0.3">
      <c r="D45" s="9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</row>
    <row r="46" spans="1:41" ht="15" thickBot="1" x14ac:dyDescent="0.35">
      <c r="A46" s="77">
        <f>+A44+1</f>
        <v>13</v>
      </c>
      <c r="B46" s="6" t="s">
        <v>32</v>
      </c>
      <c r="D46" s="82"/>
      <c r="E46" s="83">
        <f>E43+E44</f>
        <v>507.82338430318896</v>
      </c>
      <c r="F46" s="83">
        <f>F43+F44</f>
        <v>497.97413396764392</v>
      </c>
      <c r="G46" s="83">
        <f>G43+G44</f>
        <v>487.21748983996633</v>
      </c>
      <c r="H46" s="83">
        <f t="shared" ref="H46:AN46" si="12">H43+H44</f>
        <v>476.83249611047961</v>
      </c>
      <c r="I46" s="83">
        <f t="shared" si="12"/>
        <v>466.79493611182102</v>
      </c>
      <c r="J46" s="83">
        <f t="shared" si="12"/>
        <v>457.08254795237195</v>
      </c>
      <c r="K46" s="83">
        <f t="shared" si="12"/>
        <v>447.67470304335109</v>
      </c>
      <c r="L46" s="83">
        <f t="shared" si="12"/>
        <v>438.5524066767868</v>
      </c>
      <c r="M46" s="83">
        <f t="shared" si="12"/>
        <v>429.60812831857487</v>
      </c>
      <c r="N46" s="83">
        <f t="shared" si="12"/>
        <v>420.72534530122243</v>
      </c>
      <c r="O46" s="83">
        <f t="shared" si="12"/>
        <v>411.88545965836607</v>
      </c>
      <c r="P46" s="83">
        <f t="shared" si="12"/>
        <v>403.08954382436826</v>
      </c>
      <c r="Q46" s="83">
        <f t="shared" si="12"/>
        <v>394.33869704445038</v>
      </c>
      <c r="R46" s="83">
        <f t="shared" si="12"/>
        <v>385.63404604496452</v>
      </c>
      <c r="S46" s="83">
        <f t="shared" si="12"/>
        <v>376.97674572042132</v>
      </c>
      <c r="T46" s="83">
        <f t="shared" si="12"/>
        <v>368.36797983769435</v>
      </c>
      <c r="U46" s="83">
        <f t="shared" si="12"/>
        <v>359.80896175782937</v>
      </c>
      <c r="V46" s="83">
        <f t="shared" si="12"/>
        <v>351.30093517589739</v>
      </c>
      <c r="W46" s="83">
        <f t="shared" si="12"/>
        <v>342.84517487934721</v>
      </c>
      <c r="X46" s="83">
        <f t="shared" si="12"/>
        <v>334.44298752531307</v>
      </c>
      <c r="Y46" s="83">
        <f t="shared" si="12"/>
        <v>326.8141765012266</v>
      </c>
      <c r="Z46" s="83">
        <f t="shared" si="12"/>
        <v>320.67825664082488</v>
      </c>
      <c r="AA46" s="83">
        <f t="shared" si="12"/>
        <v>315.31849304384104</v>
      </c>
      <c r="AB46" s="83">
        <f t="shared" si="12"/>
        <v>310.01786395139521</v>
      </c>
      <c r="AC46" s="83">
        <f t="shared" si="12"/>
        <v>304.77784772610096</v>
      </c>
      <c r="AD46" s="83">
        <f t="shared" si="12"/>
        <v>299.59995968963688</v>
      </c>
      <c r="AE46" s="83">
        <f t="shared" si="12"/>
        <v>294.4857530467238</v>
      </c>
      <c r="AF46" s="83">
        <f t="shared" si="12"/>
        <v>289.43681983220057</v>
      </c>
      <c r="AG46" s="83">
        <f t="shared" si="12"/>
        <v>284.45479188177688</v>
      </c>
      <c r="AH46" s="83">
        <f t="shared" si="12"/>
        <v>279.54134182705525</v>
      </c>
      <c r="AI46" s="83">
        <f t="shared" si="12"/>
        <v>274.69818411542815</v>
      </c>
      <c r="AJ46" s="83">
        <f t="shared" si="12"/>
        <v>269.92707605547304</v>
      </c>
      <c r="AK46" s="83">
        <f t="shared" si="12"/>
        <v>265.22981888848165</v>
      </c>
      <c r="AL46" s="83">
        <f t="shared" si="12"/>
        <v>260.60825888677812</v>
      </c>
      <c r="AM46" s="83">
        <f t="shared" si="12"/>
        <v>256.06428847949468</v>
      </c>
      <c r="AN46" s="83">
        <f t="shared" si="12"/>
        <v>251.59984740649168</v>
      </c>
      <c r="AO46" s="83">
        <f>AO43+AO44</f>
        <v>247.21692390112622</v>
      </c>
    </row>
    <row r="47" spans="1:41" ht="15" thickTop="1" x14ac:dyDescent="0.3">
      <c r="D47" s="82"/>
      <c r="E47" s="36">
        <f>500*'Cost Exceeding Revenue'!$H$9+('Cost Exceeding Revenue'!$H$8*12)</f>
        <v>328.65</v>
      </c>
      <c r="F47" s="36">
        <f>500*'Cost Exceeding Revenue'!$H$9+('Cost Exceeding Revenue'!$H$8*12)</f>
        <v>328.65</v>
      </c>
      <c r="G47" s="36">
        <f>500*'Cost Exceeding Revenue'!$H$9+('Cost Exceeding Revenue'!$H$8*12)</f>
        <v>328.65</v>
      </c>
      <c r="H47" s="36">
        <f>500*'Cost Exceeding Revenue'!$H$9+('Cost Exceeding Revenue'!$H$8*12)</f>
        <v>328.65</v>
      </c>
      <c r="I47" s="36">
        <f>500*'Cost Exceeding Revenue'!$H$9+('Cost Exceeding Revenue'!$H$8*12)</f>
        <v>328.65</v>
      </c>
      <c r="J47" s="36">
        <f>500*'Cost Exceeding Revenue'!$H$9+('Cost Exceeding Revenue'!$H$8*12)</f>
        <v>328.65</v>
      </c>
      <c r="K47" s="36">
        <f>500*'Cost Exceeding Revenue'!$H$9+('Cost Exceeding Revenue'!$H$8*12)</f>
        <v>328.65</v>
      </c>
      <c r="L47" s="36">
        <f>500*'Cost Exceeding Revenue'!$H$9+('Cost Exceeding Revenue'!$H$8*12)</f>
        <v>328.65</v>
      </c>
      <c r="M47" s="36">
        <f>500*'Cost Exceeding Revenue'!$H$9+('Cost Exceeding Revenue'!$H$8*12)</f>
        <v>328.65</v>
      </c>
      <c r="N47" s="36">
        <f>500*'Cost Exceeding Revenue'!$H$9+('Cost Exceeding Revenue'!$H$8*12)</f>
        <v>328.65</v>
      </c>
      <c r="O47" s="36">
        <f>500*'Cost Exceeding Revenue'!$H$9+('Cost Exceeding Revenue'!$H$8*12)</f>
        <v>328.65</v>
      </c>
      <c r="P47" s="36">
        <f>500*'Cost Exceeding Revenue'!$H$9+('Cost Exceeding Revenue'!$H$8*12)</f>
        <v>328.65</v>
      </c>
      <c r="Q47" s="36">
        <f>500*'Cost Exceeding Revenue'!$H$9+('Cost Exceeding Revenue'!$H$8*12)</f>
        <v>328.65</v>
      </c>
      <c r="R47" s="36">
        <f>500*'Cost Exceeding Revenue'!$H$9+('Cost Exceeding Revenue'!$H$8*12)</f>
        <v>328.65</v>
      </c>
      <c r="S47" s="36">
        <f>500*'Cost Exceeding Revenue'!$H$9+('Cost Exceeding Revenue'!$H$8*12)</f>
        <v>328.65</v>
      </c>
      <c r="T47" s="36">
        <f>500*'Cost Exceeding Revenue'!$H$9+('Cost Exceeding Revenue'!$H$8*12)</f>
        <v>328.65</v>
      </c>
      <c r="U47" s="36">
        <f>500*'Cost Exceeding Revenue'!$H$9+('Cost Exceeding Revenue'!$H$8*12)</f>
        <v>328.65</v>
      </c>
      <c r="V47" s="36">
        <f>500*'Cost Exceeding Revenue'!$H$9+('Cost Exceeding Revenue'!$H$8*12)</f>
        <v>328.65</v>
      </c>
      <c r="W47" s="36">
        <f>500*'Cost Exceeding Revenue'!$H$9+('Cost Exceeding Revenue'!$H$8*12)</f>
        <v>328.65</v>
      </c>
      <c r="X47" s="36">
        <f>500*'Cost Exceeding Revenue'!$H$9+('Cost Exceeding Revenue'!$H$8*12)</f>
        <v>328.65</v>
      </c>
      <c r="Y47" s="36">
        <f>500*'Cost Exceeding Revenue'!$H$9+('Cost Exceeding Revenue'!$H$8*12)</f>
        <v>328.65</v>
      </c>
      <c r="Z47" s="36">
        <f>500*'Cost Exceeding Revenue'!$H$9+('Cost Exceeding Revenue'!$H$8*12)</f>
        <v>328.65</v>
      </c>
      <c r="AA47" s="36">
        <f>500*'Cost Exceeding Revenue'!$H$9+('Cost Exceeding Revenue'!$H$8*12)</f>
        <v>328.65</v>
      </c>
      <c r="AB47" s="36">
        <f>500*'Cost Exceeding Revenue'!$H$9+('Cost Exceeding Revenue'!$H$8*12)</f>
        <v>328.65</v>
      </c>
      <c r="AC47" s="36">
        <f>500*'Cost Exceeding Revenue'!$H$9+('Cost Exceeding Revenue'!$H$8*12)</f>
        <v>328.65</v>
      </c>
      <c r="AD47" s="36">
        <f>500*'Cost Exceeding Revenue'!$H$9+('Cost Exceeding Revenue'!$H$8*12)</f>
        <v>328.65</v>
      </c>
      <c r="AE47" s="36">
        <f>500*'Cost Exceeding Revenue'!$H$9+('Cost Exceeding Revenue'!$H$8*12)</f>
        <v>328.65</v>
      </c>
      <c r="AF47" s="36"/>
      <c r="AG47" s="36"/>
      <c r="AH47" s="36"/>
      <c r="AI47" s="36"/>
      <c r="AJ47" s="36"/>
      <c r="AK47" s="36"/>
      <c r="AL47" s="36"/>
      <c r="AM47" s="36"/>
      <c r="AN47" s="36"/>
      <c r="AO47" s="36"/>
    </row>
    <row r="48" spans="1:41" x14ac:dyDescent="0.3">
      <c r="E48" s="84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</row>
    <row r="49" spans="1:41" x14ac:dyDescent="0.3">
      <c r="A49" s="77">
        <f>+A46+1</f>
        <v>14</v>
      </c>
      <c r="B49" s="6" t="s">
        <v>88</v>
      </c>
      <c r="C49" s="7"/>
      <c r="E49" s="75">
        <f>+E46/$F$23</f>
        <v>0.14480278993532619</v>
      </c>
      <c r="F49" s="75">
        <f t="shared" ref="F49:AO49" si="13">+F46/$F$23</f>
        <v>0.14199433532011518</v>
      </c>
      <c r="G49" s="75">
        <f t="shared" si="13"/>
        <v>0.13892714281151022</v>
      </c>
      <c r="H49" s="75">
        <f t="shared" si="13"/>
        <v>0.13596592418319919</v>
      </c>
      <c r="I49" s="75">
        <f t="shared" si="13"/>
        <v>0.13310377419783889</v>
      </c>
      <c r="J49" s="75">
        <f t="shared" si="13"/>
        <v>0.13033434501065638</v>
      </c>
      <c r="K49" s="75">
        <f t="shared" si="13"/>
        <v>0.12765175450337926</v>
      </c>
      <c r="L49" s="75">
        <f t="shared" si="13"/>
        <v>0.12505058644904102</v>
      </c>
      <c r="M49" s="75">
        <f t="shared" si="13"/>
        <v>0.12250017916127028</v>
      </c>
      <c r="N49" s="75">
        <f t="shared" si="13"/>
        <v>0.11996730690083332</v>
      </c>
      <c r="O49" s="75">
        <f t="shared" si="13"/>
        <v>0.1174466665692518</v>
      </c>
      <c r="P49" s="75">
        <f t="shared" si="13"/>
        <v>0.11493856396474715</v>
      </c>
      <c r="Q49" s="75">
        <f t="shared" si="13"/>
        <v>0.11244331253049626</v>
      </c>
      <c r="R49" s="75">
        <f t="shared" si="13"/>
        <v>0.1099612335457555</v>
      </c>
      <c r="S49" s="75">
        <f t="shared" si="13"/>
        <v>0.10749265632176257</v>
      </c>
      <c r="T49" s="75">
        <f t="shared" si="13"/>
        <v>0.10503791840253617</v>
      </c>
      <c r="U49" s="75">
        <f t="shared" si="13"/>
        <v>0.10259736577069557</v>
      </c>
      <c r="V49" s="75">
        <f t="shared" si="13"/>
        <v>0.10017135305842526</v>
      </c>
      <c r="W49" s="75">
        <f t="shared" si="13"/>
        <v>9.776024376371463E-2</v>
      </c>
      <c r="X49" s="75">
        <f t="shared" si="13"/>
        <v>9.5364410472002586E-2</v>
      </c>
      <c r="Y49" s="75">
        <f t="shared" si="13"/>
        <v>9.318910079875295E-2</v>
      </c>
      <c r="Z49" s="75">
        <f t="shared" si="13"/>
        <v>9.1439480080075533E-2</v>
      </c>
      <c r="AA49" s="75">
        <f t="shared" si="13"/>
        <v>8.9911175661203602E-2</v>
      </c>
      <c r="AB49" s="75">
        <f t="shared" si="13"/>
        <v>8.8399733091358776E-2</v>
      </c>
      <c r="AC49" s="75">
        <f t="shared" si="13"/>
        <v>8.6905573916766746E-2</v>
      </c>
      <c r="AD49" s="75">
        <f t="shared" si="13"/>
        <v>8.5429130222308775E-2</v>
      </c>
      <c r="AE49" s="75">
        <f t="shared" si="13"/>
        <v>8.3970844894988253E-2</v>
      </c>
      <c r="AF49" s="75">
        <f t="shared" si="13"/>
        <v>8.2531171893983624E-2</v>
      </c>
      <c r="AG49" s="75">
        <f t="shared" si="13"/>
        <v>8.111057652745278E-2</v>
      </c>
      <c r="AH49" s="75">
        <f t="shared" si="13"/>
        <v>7.9709535736257553E-2</v>
      </c>
      <c r="AI49" s="75">
        <f t="shared" si="13"/>
        <v>7.8328538384781335E-2</v>
      </c>
      <c r="AJ49" s="75">
        <f t="shared" si="13"/>
        <v>7.6968085559017116E-2</v>
      </c>
      <c r="AK49" s="75">
        <f t="shared" si="13"/>
        <v>7.562869087210769E-2</v>
      </c>
      <c r="AL49" s="75">
        <f t="shared" si="13"/>
        <v>7.4310880777524416E-2</v>
      </c>
      <c r="AM49" s="75">
        <f t="shared" si="13"/>
        <v>7.3015194890075477E-2</v>
      </c>
      <c r="AN49" s="75">
        <f t="shared" si="13"/>
        <v>7.1742186314939171E-2</v>
      </c>
      <c r="AO49" s="75">
        <f t="shared" si="13"/>
        <v>7.0492421984923365E-2</v>
      </c>
    </row>
    <row r="50" spans="1:41" x14ac:dyDescent="0.3">
      <c r="A50" s="77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</row>
    <row r="51" spans="1:41" x14ac:dyDescent="0.3"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</row>
    <row r="52" spans="1:41" x14ac:dyDescent="0.3"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</row>
    <row r="53" spans="1:41" x14ac:dyDescent="0.3">
      <c r="A53" s="86" t="s">
        <v>89</v>
      </c>
      <c r="D53" s="9"/>
      <c r="E53" s="87">
        <f>F23-E28/2-E66/2</f>
        <v>3457.1742975000002</v>
      </c>
      <c r="F53" s="87">
        <f t="shared" ref="F53:AO53" si="14">+E53-E28/2-F28/2-E66/2-F66/2</f>
        <v>3344.7488203500006</v>
      </c>
      <c r="G53" s="87">
        <f t="shared" si="14"/>
        <v>3221.545104750001</v>
      </c>
      <c r="H53" s="87">
        <f t="shared" si="14"/>
        <v>3102.1783978500011</v>
      </c>
      <c r="I53" s="87">
        <f t="shared" si="14"/>
        <v>2986.3614763500013</v>
      </c>
      <c r="J53" s="87">
        <f t="shared" si="14"/>
        <v>2873.8292110500015</v>
      </c>
      <c r="K53" s="87">
        <f t="shared" si="14"/>
        <v>2764.3348845000019</v>
      </c>
      <c r="L53" s="87">
        <f t="shared" si="14"/>
        <v>2657.6501910000025</v>
      </c>
      <c r="M53" s="87">
        <f t="shared" si="14"/>
        <v>2552.5341786000026</v>
      </c>
      <c r="N53" s="87">
        <f t="shared" si="14"/>
        <v>2447.6427895500028</v>
      </c>
      <c r="O53" s="87">
        <f t="shared" si="14"/>
        <v>2342.751400500003</v>
      </c>
      <c r="P53" s="87">
        <f t="shared" si="14"/>
        <v>2237.8600114500032</v>
      </c>
      <c r="Q53" s="87">
        <f t="shared" si="14"/>
        <v>2132.9686224000034</v>
      </c>
      <c r="R53" s="87">
        <f t="shared" si="14"/>
        <v>2028.0772333500036</v>
      </c>
      <c r="S53" s="87">
        <f t="shared" si="14"/>
        <v>1923.1858443000037</v>
      </c>
      <c r="T53" s="87">
        <f t="shared" si="14"/>
        <v>1818.2944552500039</v>
      </c>
      <c r="U53" s="87">
        <f t="shared" si="14"/>
        <v>1713.4030662000041</v>
      </c>
      <c r="V53" s="87">
        <f t="shared" si="14"/>
        <v>1608.5116771500043</v>
      </c>
      <c r="W53" s="87">
        <f t="shared" si="14"/>
        <v>1503.6202881000045</v>
      </c>
      <c r="X53" s="87">
        <f t="shared" si="14"/>
        <v>1398.7288990500047</v>
      </c>
      <c r="Y53" s="87">
        <f t="shared" si="14"/>
        <v>1302.0528328500047</v>
      </c>
      <c r="Z53" s="87">
        <f t="shared" si="14"/>
        <v>1221.8037300000049</v>
      </c>
      <c r="AA53" s="87">
        <f t="shared" si="14"/>
        <v>1149.7699500000051</v>
      </c>
      <c r="AB53" s="87">
        <f t="shared" si="14"/>
        <v>1077.7361700000054</v>
      </c>
      <c r="AC53" s="87">
        <f t="shared" si="14"/>
        <v>1005.7023900000055</v>
      </c>
      <c r="AD53" s="87">
        <f t="shared" si="14"/>
        <v>933.66861000000551</v>
      </c>
      <c r="AE53" s="87">
        <f t="shared" si="14"/>
        <v>861.63483000000554</v>
      </c>
      <c r="AF53" s="87">
        <f t="shared" si="14"/>
        <v>789.60105000000556</v>
      </c>
      <c r="AG53" s="87">
        <f t="shared" si="14"/>
        <v>717.56727000000558</v>
      </c>
      <c r="AH53" s="87">
        <f t="shared" si="14"/>
        <v>645.5334900000056</v>
      </c>
      <c r="AI53" s="87">
        <f t="shared" si="14"/>
        <v>573.49971000000562</v>
      </c>
      <c r="AJ53" s="87">
        <f t="shared" si="14"/>
        <v>501.46593000000564</v>
      </c>
      <c r="AK53" s="87">
        <f t="shared" si="14"/>
        <v>429.43215000000566</v>
      </c>
      <c r="AL53" s="87">
        <f t="shared" si="14"/>
        <v>357.39837000000568</v>
      </c>
      <c r="AM53" s="87">
        <f t="shared" si="14"/>
        <v>285.36459000000571</v>
      </c>
      <c r="AN53" s="87">
        <f t="shared" si="14"/>
        <v>213.33081000000567</v>
      </c>
      <c r="AO53" s="87">
        <f t="shared" si="14"/>
        <v>141.29703000000563</v>
      </c>
    </row>
    <row r="54" spans="1:41" x14ac:dyDescent="0.3">
      <c r="D54" s="9"/>
      <c r="E54" s="88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</row>
    <row r="55" spans="1:41" x14ac:dyDescent="0.3">
      <c r="A55" s="6" t="s">
        <v>90</v>
      </c>
      <c r="D55" s="9"/>
      <c r="E55" s="88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</row>
    <row r="56" spans="1:41" x14ac:dyDescent="0.3">
      <c r="B56" s="6" t="s">
        <v>91</v>
      </c>
      <c r="D56" s="9"/>
      <c r="E56" s="78">
        <f t="shared" ref="E56:AO56" si="15">(E40+E39)/$E$80</f>
        <v>202.5230208155487</v>
      </c>
      <c r="F56" s="78">
        <f t="shared" si="15"/>
        <v>195.93707943980951</v>
      </c>
      <c r="G56" s="78">
        <f t="shared" si="15"/>
        <v>188.71974339833338</v>
      </c>
      <c r="H56" s="78">
        <f t="shared" si="15"/>
        <v>181.72718126929246</v>
      </c>
      <c r="I56" s="78">
        <f t="shared" si="15"/>
        <v>174.94256736634324</v>
      </c>
      <c r="J56" s="78">
        <f t="shared" si="15"/>
        <v>168.35037028670706</v>
      </c>
      <c r="K56" s="78">
        <f t="shared" si="15"/>
        <v>161.93613719724274</v>
      </c>
      <c r="L56" s="78">
        <f t="shared" si="15"/>
        <v>155.68649383444645</v>
      </c>
      <c r="M56" s="78">
        <f t="shared" si="15"/>
        <v>149.52874460475704</v>
      </c>
      <c r="N56" s="78">
        <f t="shared" si="15"/>
        <v>143.38415392464398</v>
      </c>
      <c r="O56" s="78">
        <f t="shared" si="15"/>
        <v>137.23956324453093</v>
      </c>
      <c r="P56" s="78">
        <f t="shared" si="15"/>
        <v>131.09497256441784</v>
      </c>
      <c r="Q56" s="78">
        <f t="shared" si="15"/>
        <v>124.9503818843048</v>
      </c>
      <c r="R56" s="78">
        <f t="shared" si="15"/>
        <v>118.80579120419172</v>
      </c>
      <c r="S56" s="78">
        <f t="shared" si="15"/>
        <v>112.66120052407865</v>
      </c>
      <c r="T56" s="78">
        <f t="shared" si="15"/>
        <v>106.5166098439656</v>
      </c>
      <c r="U56" s="78">
        <f t="shared" si="15"/>
        <v>100.37201916385254</v>
      </c>
      <c r="V56" s="78">
        <f t="shared" si="15"/>
        <v>94.227428483739459</v>
      </c>
      <c r="W56" s="78">
        <f t="shared" si="15"/>
        <v>88.082837803626404</v>
      </c>
      <c r="X56" s="78">
        <f t="shared" si="15"/>
        <v>81.938247123513349</v>
      </c>
      <c r="Y56" s="78">
        <f t="shared" si="15"/>
        <v>76.274914215610409</v>
      </c>
      <c r="Z56" s="78">
        <f t="shared" si="15"/>
        <v>71.573881138200278</v>
      </c>
      <c r="AA56" s="78">
        <f t="shared" si="15"/>
        <v>67.35410583300029</v>
      </c>
      <c r="AB56" s="78">
        <f t="shared" si="15"/>
        <v>63.134330527800302</v>
      </c>
      <c r="AC56" s="78">
        <f t="shared" si="15"/>
        <v>58.914555222600313</v>
      </c>
      <c r="AD56" s="78">
        <f t="shared" si="15"/>
        <v>54.694779917400318</v>
      </c>
      <c r="AE56" s="78">
        <f t="shared" si="15"/>
        <v>50.475004612200316</v>
      </c>
      <c r="AF56" s="78">
        <f t="shared" si="15"/>
        <v>46.255229307000313</v>
      </c>
      <c r="AG56" s="78">
        <f t="shared" si="15"/>
        <v>42.035454001800318</v>
      </c>
      <c r="AH56" s="78">
        <f t="shared" si="15"/>
        <v>37.815678696600322</v>
      </c>
      <c r="AI56" s="78">
        <f t="shared" si="15"/>
        <v>33.595903391400327</v>
      </c>
      <c r="AJ56" s="78">
        <f t="shared" si="15"/>
        <v>29.376128086200325</v>
      </c>
      <c r="AK56" s="78">
        <f t="shared" si="15"/>
        <v>25.156352781000329</v>
      </c>
      <c r="AL56" s="78">
        <f t="shared" si="15"/>
        <v>20.93657747580033</v>
      </c>
      <c r="AM56" s="78">
        <f t="shared" si="15"/>
        <v>16.716802170600335</v>
      </c>
      <c r="AN56" s="78">
        <f t="shared" si="15"/>
        <v>12.497026865400331</v>
      </c>
      <c r="AO56" s="78">
        <f t="shared" si="15"/>
        <v>8.2772515602003285</v>
      </c>
    </row>
    <row r="57" spans="1:41" x14ac:dyDescent="0.3">
      <c r="B57" s="6" t="s">
        <v>92</v>
      </c>
      <c r="D57" s="9"/>
      <c r="E57" s="80">
        <f t="shared" ref="E57:AO57" si="16">E56*$F14</f>
        <v>0</v>
      </c>
      <c r="F57" s="80">
        <f t="shared" si="16"/>
        <v>0</v>
      </c>
      <c r="G57" s="80">
        <f t="shared" si="16"/>
        <v>0</v>
      </c>
      <c r="H57" s="80">
        <f t="shared" si="16"/>
        <v>0</v>
      </c>
      <c r="I57" s="80">
        <f t="shared" si="16"/>
        <v>0</v>
      </c>
      <c r="J57" s="80">
        <f t="shared" si="16"/>
        <v>0</v>
      </c>
      <c r="K57" s="80">
        <f t="shared" si="16"/>
        <v>0</v>
      </c>
      <c r="L57" s="80">
        <f t="shared" si="16"/>
        <v>0</v>
      </c>
      <c r="M57" s="80">
        <f t="shared" si="16"/>
        <v>0</v>
      </c>
      <c r="N57" s="80">
        <f t="shared" si="16"/>
        <v>0</v>
      </c>
      <c r="O57" s="80">
        <f t="shared" si="16"/>
        <v>0</v>
      </c>
      <c r="P57" s="80">
        <f t="shared" si="16"/>
        <v>0</v>
      </c>
      <c r="Q57" s="80">
        <f t="shared" si="16"/>
        <v>0</v>
      </c>
      <c r="R57" s="80">
        <f t="shared" si="16"/>
        <v>0</v>
      </c>
      <c r="S57" s="80">
        <f t="shared" si="16"/>
        <v>0</v>
      </c>
      <c r="T57" s="80">
        <f t="shared" si="16"/>
        <v>0</v>
      </c>
      <c r="U57" s="80">
        <f t="shared" si="16"/>
        <v>0</v>
      </c>
      <c r="V57" s="80">
        <f t="shared" si="16"/>
        <v>0</v>
      </c>
      <c r="W57" s="80">
        <f t="shared" si="16"/>
        <v>0</v>
      </c>
      <c r="X57" s="80">
        <f t="shared" si="16"/>
        <v>0</v>
      </c>
      <c r="Y57" s="80">
        <f t="shared" si="16"/>
        <v>0</v>
      </c>
      <c r="Z57" s="80">
        <f t="shared" si="16"/>
        <v>0</v>
      </c>
      <c r="AA57" s="80">
        <f t="shared" si="16"/>
        <v>0</v>
      </c>
      <c r="AB57" s="80">
        <f t="shared" si="16"/>
        <v>0</v>
      </c>
      <c r="AC57" s="80">
        <f t="shared" si="16"/>
        <v>0</v>
      </c>
      <c r="AD57" s="80">
        <f t="shared" si="16"/>
        <v>0</v>
      </c>
      <c r="AE57" s="80">
        <f t="shared" si="16"/>
        <v>0</v>
      </c>
      <c r="AF57" s="80">
        <f t="shared" si="16"/>
        <v>0</v>
      </c>
      <c r="AG57" s="80">
        <f t="shared" si="16"/>
        <v>0</v>
      </c>
      <c r="AH57" s="80">
        <f t="shared" si="16"/>
        <v>0</v>
      </c>
      <c r="AI57" s="80">
        <f t="shared" si="16"/>
        <v>0</v>
      </c>
      <c r="AJ57" s="80">
        <f t="shared" si="16"/>
        <v>0</v>
      </c>
      <c r="AK57" s="80">
        <f t="shared" si="16"/>
        <v>0</v>
      </c>
      <c r="AL57" s="80">
        <f t="shared" si="16"/>
        <v>0</v>
      </c>
      <c r="AM57" s="80">
        <f t="shared" si="16"/>
        <v>0</v>
      </c>
      <c r="AN57" s="80">
        <f t="shared" si="16"/>
        <v>0</v>
      </c>
      <c r="AO57" s="80">
        <f t="shared" si="16"/>
        <v>0</v>
      </c>
    </row>
    <row r="58" spans="1:41" x14ac:dyDescent="0.3">
      <c r="B58" s="6" t="s">
        <v>93</v>
      </c>
      <c r="D58" s="9"/>
      <c r="E58" s="78">
        <f>E56-E57</f>
        <v>202.5230208155487</v>
      </c>
      <c r="F58" s="78">
        <f>F56-F57</f>
        <v>195.93707943980951</v>
      </c>
      <c r="G58" s="78">
        <f>G56-G57</f>
        <v>188.71974339833338</v>
      </c>
      <c r="H58" s="78">
        <f t="shared" ref="H58:AN58" si="17">H56-H57</f>
        <v>181.72718126929246</v>
      </c>
      <c r="I58" s="78">
        <f t="shared" si="17"/>
        <v>174.94256736634324</v>
      </c>
      <c r="J58" s="78">
        <f t="shared" si="17"/>
        <v>168.35037028670706</v>
      </c>
      <c r="K58" s="78">
        <f t="shared" si="17"/>
        <v>161.93613719724274</v>
      </c>
      <c r="L58" s="78">
        <f t="shared" si="17"/>
        <v>155.68649383444645</v>
      </c>
      <c r="M58" s="78">
        <f t="shared" si="17"/>
        <v>149.52874460475704</v>
      </c>
      <c r="N58" s="78">
        <f t="shared" si="17"/>
        <v>143.38415392464398</v>
      </c>
      <c r="O58" s="78">
        <f t="shared" si="17"/>
        <v>137.23956324453093</v>
      </c>
      <c r="P58" s="78">
        <f t="shared" si="17"/>
        <v>131.09497256441784</v>
      </c>
      <c r="Q58" s="78">
        <f t="shared" si="17"/>
        <v>124.9503818843048</v>
      </c>
      <c r="R58" s="78">
        <f t="shared" si="17"/>
        <v>118.80579120419172</v>
      </c>
      <c r="S58" s="78">
        <f t="shared" si="17"/>
        <v>112.66120052407865</v>
      </c>
      <c r="T58" s="78">
        <f t="shared" si="17"/>
        <v>106.5166098439656</v>
      </c>
      <c r="U58" s="78">
        <f t="shared" si="17"/>
        <v>100.37201916385254</v>
      </c>
      <c r="V58" s="78">
        <f t="shared" si="17"/>
        <v>94.227428483739459</v>
      </c>
      <c r="W58" s="78">
        <f t="shared" si="17"/>
        <v>88.082837803626404</v>
      </c>
      <c r="X58" s="78">
        <f t="shared" si="17"/>
        <v>81.938247123513349</v>
      </c>
      <c r="Y58" s="78">
        <f t="shared" si="17"/>
        <v>76.274914215610409</v>
      </c>
      <c r="Z58" s="78">
        <f t="shared" si="17"/>
        <v>71.573881138200278</v>
      </c>
      <c r="AA58" s="78">
        <f t="shared" si="17"/>
        <v>67.35410583300029</v>
      </c>
      <c r="AB58" s="78">
        <f t="shared" si="17"/>
        <v>63.134330527800302</v>
      </c>
      <c r="AC58" s="78">
        <f t="shared" si="17"/>
        <v>58.914555222600313</v>
      </c>
      <c r="AD58" s="78">
        <f t="shared" si="17"/>
        <v>54.694779917400318</v>
      </c>
      <c r="AE58" s="78">
        <f t="shared" si="17"/>
        <v>50.475004612200316</v>
      </c>
      <c r="AF58" s="78">
        <f t="shared" si="17"/>
        <v>46.255229307000313</v>
      </c>
      <c r="AG58" s="78">
        <f t="shared" si="17"/>
        <v>42.035454001800318</v>
      </c>
      <c r="AH58" s="78">
        <f t="shared" si="17"/>
        <v>37.815678696600322</v>
      </c>
      <c r="AI58" s="78">
        <f t="shared" si="17"/>
        <v>33.595903391400327</v>
      </c>
      <c r="AJ58" s="78">
        <f t="shared" si="17"/>
        <v>29.376128086200325</v>
      </c>
      <c r="AK58" s="78">
        <f t="shared" si="17"/>
        <v>25.156352781000329</v>
      </c>
      <c r="AL58" s="78">
        <f t="shared" si="17"/>
        <v>20.93657747580033</v>
      </c>
      <c r="AM58" s="78">
        <f t="shared" si="17"/>
        <v>16.716802170600335</v>
      </c>
      <c r="AN58" s="78">
        <f t="shared" si="17"/>
        <v>12.497026865400331</v>
      </c>
      <c r="AO58" s="78">
        <f>AO56-AO57</f>
        <v>8.2772515602003285</v>
      </c>
    </row>
    <row r="59" spans="1:41" x14ac:dyDescent="0.3">
      <c r="B59" s="6" t="s">
        <v>94</v>
      </c>
      <c r="D59" s="9"/>
      <c r="E59" s="80">
        <f t="shared" ref="E59:AO59" si="18">E58*$F15</f>
        <v>42.529834371265224</v>
      </c>
      <c r="F59" s="80">
        <f t="shared" si="18"/>
        <v>41.146786682359995</v>
      </c>
      <c r="G59" s="80">
        <f t="shared" si="18"/>
        <v>39.631146113650011</v>
      </c>
      <c r="H59" s="80">
        <f t="shared" si="18"/>
        <v>38.162708066551417</v>
      </c>
      <c r="I59" s="80">
        <f t="shared" si="18"/>
        <v>36.737939146932078</v>
      </c>
      <c r="J59" s="80">
        <f t="shared" si="18"/>
        <v>35.353577760208481</v>
      </c>
      <c r="K59" s="80">
        <f t="shared" si="18"/>
        <v>34.006588811420976</v>
      </c>
      <c r="L59" s="80">
        <f t="shared" si="18"/>
        <v>32.694163705233755</v>
      </c>
      <c r="M59" s="80">
        <f t="shared" si="18"/>
        <v>31.401036366998976</v>
      </c>
      <c r="N59" s="80">
        <f t="shared" si="18"/>
        <v>30.110672324175233</v>
      </c>
      <c r="O59" s="80">
        <f t="shared" si="18"/>
        <v>28.820308281351494</v>
      </c>
      <c r="P59" s="80">
        <f t="shared" si="18"/>
        <v>27.529944238527747</v>
      </c>
      <c r="Q59" s="80">
        <f t="shared" si="18"/>
        <v>26.239580195704008</v>
      </c>
      <c r="R59" s="80">
        <f t="shared" si="18"/>
        <v>24.949216152880261</v>
      </c>
      <c r="S59" s="80">
        <f t="shared" si="18"/>
        <v>23.658852110056515</v>
      </c>
      <c r="T59" s="80">
        <f t="shared" si="18"/>
        <v>22.368488067232775</v>
      </c>
      <c r="U59" s="80">
        <f t="shared" si="18"/>
        <v>21.078124024409032</v>
      </c>
      <c r="V59" s="80">
        <f t="shared" si="18"/>
        <v>19.787759981585285</v>
      </c>
      <c r="W59" s="80">
        <f t="shared" si="18"/>
        <v>18.497395938761546</v>
      </c>
      <c r="X59" s="80">
        <f t="shared" si="18"/>
        <v>17.207031895937803</v>
      </c>
      <c r="Y59" s="80">
        <f t="shared" si="18"/>
        <v>16.017731985278186</v>
      </c>
      <c r="Z59" s="80">
        <f t="shared" si="18"/>
        <v>15.030515039022058</v>
      </c>
      <c r="AA59" s="80">
        <f t="shared" si="18"/>
        <v>14.14436222493006</v>
      </c>
      <c r="AB59" s="80">
        <f t="shared" si="18"/>
        <v>13.258209410838063</v>
      </c>
      <c r="AC59" s="80">
        <f t="shared" si="18"/>
        <v>12.372056596746065</v>
      </c>
      <c r="AD59" s="80">
        <f t="shared" si="18"/>
        <v>11.485903782654066</v>
      </c>
      <c r="AE59" s="80">
        <f t="shared" si="18"/>
        <v>10.599750968562066</v>
      </c>
      <c r="AF59" s="80">
        <f t="shared" si="18"/>
        <v>9.7135981544700662</v>
      </c>
      <c r="AG59" s="80">
        <f t="shared" si="18"/>
        <v>8.8274453403780662</v>
      </c>
      <c r="AH59" s="80">
        <f t="shared" si="18"/>
        <v>7.9412925262860679</v>
      </c>
      <c r="AI59" s="80">
        <f t="shared" si="18"/>
        <v>7.0551397121940687</v>
      </c>
      <c r="AJ59" s="80">
        <f t="shared" si="18"/>
        <v>6.1689868981020677</v>
      </c>
      <c r="AK59" s="80">
        <f t="shared" si="18"/>
        <v>5.2828340840100694</v>
      </c>
      <c r="AL59" s="80">
        <f t="shared" si="18"/>
        <v>4.3966812699180693</v>
      </c>
      <c r="AM59" s="80">
        <f t="shared" si="18"/>
        <v>3.5105284558260701</v>
      </c>
      <c r="AN59" s="80">
        <f t="shared" si="18"/>
        <v>2.6243756417340696</v>
      </c>
      <c r="AO59" s="80">
        <f t="shared" si="18"/>
        <v>1.7382228276420688</v>
      </c>
    </row>
    <row r="60" spans="1:41" x14ac:dyDescent="0.3">
      <c r="B60" s="6" t="s">
        <v>95</v>
      </c>
      <c r="D60" s="9"/>
      <c r="E60" s="78">
        <f>E56-E57-E59</f>
        <v>159.99318644428348</v>
      </c>
      <c r="F60" s="78">
        <f>F56-F57-F59</f>
        <v>154.79029275744952</v>
      </c>
      <c r="G60" s="78">
        <f>G56-G57-G59</f>
        <v>149.08859728468337</v>
      </c>
      <c r="H60" s="78">
        <f t="shared" ref="H60:AN60" si="19">H56-H57-H59</f>
        <v>143.56447320274106</v>
      </c>
      <c r="I60" s="78">
        <f t="shared" si="19"/>
        <v>138.20462821941118</v>
      </c>
      <c r="J60" s="78">
        <f t="shared" si="19"/>
        <v>132.99679252649858</v>
      </c>
      <c r="K60" s="78">
        <f t="shared" si="19"/>
        <v>127.92954838582176</v>
      </c>
      <c r="L60" s="78">
        <f t="shared" si="19"/>
        <v>122.99233012921269</v>
      </c>
      <c r="M60" s="78">
        <f t="shared" si="19"/>
        <v>118.12770823775806</v>
      </c>
      <c r="N60" s="78">
        <f t="shared" si="19"/>
        <v>113.27348160046876</v>
      </c>
      <c r="O60" s="78">
        <f t="shared" si="19"/>
        <v>108.41925496317944</v>
      </c>
      <c r="P60" s="78">
        <f t="shared" si="19"/>
        <v>103.5650283258901</v>
      </c>
      <c r="Q60" s="78">
        <f t="shared" si="19"/>
        <v>98.710801688600796</v>
      </c>
      <c r="R60" s="78">
        <f t="shared" si="19"/>
        <v>93.856575051311466</v>
      </c>
      <c r="S60" s="78">
        <f t="shared" si="19"/>
        <v>89.002348414022137</v>
      </c>
      <c r="T60" s="78">
        <f t="shared" si="19"/>
        <v>84.148121776732822</v>
      </c>
      <c r="U60" s="78">
        <f t="shared" si="19"/>
        <v>79.293895139443507</v>
      </c>
      <c r="V60" s="78">
        <f t="shared" si="19"/>
        <v>74.439668502154177</v>
      </c>
      <c r="W60" s="78">
        <f t="shared" si="19"/>
        <v>69.585441864864862</v>
      </c>
      <c r="X60" s="78">
        <f t="shared" si="19"/>
        <v>64.731215227575547</v>
      </c>
      <c r="Y60" s="78">
        <f t="shared" si="19"/>
        <v>60.257182230332219</v>
      </c>
      <c r="Z60" s="78">
        <f t="shared" si="19"/>
        <v>56.543366099178222</v>
      </c>
      <c r="AA60" s="78">
        <f t="shared" si="19"/>
        <v>53.209743608070227</v>
      </c>
      <c r="AB60" s="78">
        <f t="shared" si="19"/>
        <v>49.876121116962238</v>
      </c>
      <c r="AC60" s="78">
        <f t="shared" si="19"/>
        <v>46.54249862585425</v>
      </c>
      <c r="AD60" s="78">
        <f t="shared" si="19"/>
        <v>43.208876134746248</v>
      </c>
      <c r="AE60" s="78">
        <f t="shared" si="19"/>
        <v>39.875253643638246</v>
      </c>
      <c r="AF60" s="78">
        <f t="shared" si="19"/>
        <v>36.541631152530243</v>
      </c>
      <c r="AG60" s="78">
        <f t="shared" si="19"/>
        <v>33.208008661422255</v>
      </c>
      <c r="AH60" s="78">
        <f t="shared" si="19"/>
        <v>29.874386170314253</v>
      </c>
      <c r="AI60" s="78">
        <f t="shared" si="19"/>
        <v>26.540763679206258</v>
      </c>
      <c r="AJ60" s="78">
        <f t="shared" si="19"/>
        <v>23.207141188098255</v>
      </c>
      <c r="AK60" s="78">
        <f t="shared" si="19"/>
        <v>19.87351869699026</v>
      </c>
      <c r="AL60" s="78">
        <f t="shared" si="19"/>
        <v>16.539896205882261</v>
      </c>
      <c r="AM60" s="78">
        <f t="shared" si="19"/>
        <v>13.206273714774266</v>
      </c>
      <c r="AN60" s="78">
        <f t="shared" si="19"/>
        <v>9.8726512236662618</v>
      </c>
      <c r="AO60" s="78">
        <f>AO56-AO57-AO59</f>
        <v>6.5390287325582594</v>
      </c>
    </row>
    <row r="62" spans="1:41" x14ac:dyDescent="0.3">
      <c r="A62" s="6" t="s">
        <v>96</v>
      </c>
      <c r="D62" s="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</row>
    <row r="63" spans="1:41" x14ac:dyDescent="0.3">
      <c r="B63" s="6" t="s">
        <v>97</v>
      </c>
      <c r="D63" s="9"/>
      <c r="E63" s="78">
        <f>E28</f>
        <v>91.182000000000002</v>
      </c>
      <c r="F63" s="78">
        <f>F28</f>
        <v>91.182000000000002</v>
      </c>
      <c r="G63" s="78">
        <f>G28</f>
        <v>91.182000000000002</v>
      </c>
      <c r="H63" s="78">
        <f t="shared" ref="H63:AN63" si="20">H28</f>
        <v>91.182000000000002</v>
      </c>
      <c r="I63" s="78">
        <f t="shared" si="20"/>
        <v>91.182000000000002</v>
      </c>
      <c r="J63" s="78">
        <f t="shared" si="20"/>
        <v>91.182000000000002</v>
      </c>
      <c r="K63" s="78">
        <f t="shared" si="20"/>
        <v>91.182000000000002</v>
      </c>
      <c r="L63" s="78">
        <f t="shared" si="20"/>
        <v>91.182000000000002</v>
      </c>
      <c r="M63" s="78">
        <f t="shared" si="20"/>
        <v>91.182000000000002</v>
      </c>
      <c r="N63" s="78">
        <f t="shared" si="20"/>
        <v>91.182000000000002</v>
      </c>
      <c r="O63" s="78">
        <f t="shared" si="20"/>
        <v>91.182000000000002</v>
      </c>
      <c r="P63" s="78">
        <f t="shared" si="20"/>
        <v>91.182000000000002</v>
      </c>
      <c r="Q63" s="78">
        <f t="shared" si="20"/>
        <v>91.182000000000002</v>
      </c>
      <c r="R63" s="78">
        <f t="shared" si="20"/>
        <v>91.182000000000002</v>
      </c>
      <c r="S63" s="78">
        <f t="shared" si="20"/>
        <v>91.182000000000002</v>
      </c>
      <c r="T63" s="78">
        <f t="shared" si="20"/>
        <v>91.182000000000002</v>
      </c>
      <c r="U63" s="78">
        <f t="shared" si="20"/>
        <v>91.182000000000002</v>
      </c>
      <c r="V63" s="78">
        <f t="shared" si="20"/>
        <v>91.182000000000002</v>
      </c>
      <c r="W63" s="78">
        <f t="shared" si="20"/>
        <v>91.182000000000002</v>
      </c>
      <c r="X63" s="78">
        <f t="shared" si="20"/>
        <v>91.182000000000002</v>
      </c>
      <c r="Y63" s="78">
        <f t="shared" si="20"/>
        <v>91.182000000000002</v>
      </c>
      <c r="Z63" s="78">
        <f t="shared" si="20"/>
        <v>91.182000000000002</v>
      </c>
      <c r="AA63" s="78">
        <f t="shared" si="20"/>
        <v>91.182000000000002</v>
      </c>
      <c r="AB63" s="78">
        <f t="shared" si="20"/>
        <v>91.182000000000002</v>
      </c>
      <c r="AC63" s="78">
        <f t="shared" si="20"/>
        <v>91.182000000000002</v>
      </c>
      <c r="AD63" s="78">
        <f t="shared" si="20"/>
        <v>91.182000000000002</v>
      </c>
      <c r="AE63" s="78">
        <f t="shared" si="20"/>
        <v>91.182000000000002</v>
      </c>
      <c r="AF63" s="78">
        <f t="shared" si="20"/>
        <v>91.182000000000002</v>
      </c>
      <c r="AG63" s="78">
        <f t="shared" si="20"/>
        <v>91.182000000000002</v>
      </c>
      <c r="AH63" s="78">
        <f t="shared" si="20"/>
        <v>91.182000000000002</v>
      </c>
      <c r="AI63" s="78">
        <f t="shared" si="20"/>
        <v>91.182000000000002</v>
      </c>
      <c r="AJ63" s="78">
        <f t="shared" si="20"/>
        <v>91.182000000000002</v>
      </c>
      <c r="AK63" s="78">
        <f t="shared" si="20"/>
        <v>91.182000000000002</v>
      </c>
      <c r="AL63" s="78">
        <f t="shared" si="20"/>
        <v>91.182000000000002</v>
      </c>
      <c r="AM63" s="78">
        <f t="shared" si="20"/>
        <v>91.182000000000002</v>
      </c>
      <c r="AN63" s="78">
        <f t="shared" si="20"/>
        <v>91.182000000000002</v>
      </c>
      <c r="AO63" s="78">
        <f>AO28</f>
        <v>91.182000000000002</v>
      </c>
    </row>
    <row r="64" spans="1:41" x14ac:dyDescent="0.3">
      <c r="B64" s="6" t="s">
        <v>98</v>
      </c>
      <c r="D64" s="9"/>
      <c r="E64" s="78">
        <f t="shared" ref="E64:AO64" si="21">$F23*E69</f>
        <v>131.51249999999999</v>
      </c>
      <c r="F64" s="78">
        <f t="shared" si="21"/>
        <v>253.17033000000001</v>
      </c>
      <c r="G64" s="78">
        <f t="shared" si="21"/>
        <v>234.16238999999999</v>
      </c>
      <c r="H64" s="78">
        <f t="shared" si="21"/>
        <v>216.62738999999999</v>
      </c>
      <c r="I64" s="78">
        <f t="shared" si="21"/>
        <v>200.35490999999999</v>
      </c>
      <c r="J64" s="78">
        <f t="shared" si="21"/>
        <v>185.34495000000001</v>
      </c>
      <c r="K64" s="78">
        <f t="shared" si="21"/>
        <v>171.42215999999999</v>
      </c>
      <c r="L64" s="78">
        <f t="shared" si="21"/>
        <v>158.58654000000001</v>
      </c>
      <c r="M64" s="78">
        <f t="shared" si="21"/>
        <v>156.48233999999999</v>
      </c>
      <c r="N64" s="78">
        <f t="shared" si="21"/>
        <v>156.44727</v>
      </c>
      <c r="O64" s="78">
        <f t="shared" si="21"/>
        <v>156.48233999999999</v>
      </c>
      <c r="P64" s="78">
        <f t="shared" si="21"/>
        <v>156.44727</v>
      </c>
      <c r="Q64" s="78">
        <f t="shared" si="21"/>
        <v>156.48233999999999</v>
      </c>
      <c r="R64" s="78">
        <f t="shared" si="21"/>
        <v>156.44727</v>
      </c>
      <c r="S64" s="78">
        <f t="shared" si="21"/>
        <v>156.48233999999999</v>
      </c>
      <c r="T64" s="78">
        <f t="shared" si="21"/>
        <v>156.44727</v>
      </c>
      <c r="U64" s="78">
        <f t="shared" si="21"/>
        <v>156.48233999999999</v>
      </c>
      <c r="V64" s="78">
        <f t="shared" si="21"/>
        <v>156.44727</v>
      </c>
      <c r="W64" s="78">
        <f t="shared" si="21"/>
        <v>156.48233999999999</v>
      </c>
      <c r="X64" s="78">
        <f t="shared" si="21"/>
        <v>156.44727</v>
      </c>
      <c r="Y64" s="78">
        <f t="shared" si="21"/>
        <v>78.241169999999997</v>
      </c>
      <c r="Z64" s="78">
        <f t="shared" si="21"/>
        <v>0</v>
      </c>
      <c r="AA64" s="78">
        <f t="shared" si="21"/>
        <v>0</v>
      </c>
      <c r="AB64" s="78">
        <f t="shared" si="21"/>
        <v>0</v>
      </c>
      <c r="AC64" s="78">
        <f t="shared" si="21"/>
        <v>0</v>
      </c>
      <c r="AD64" s="78">
        <f t="shared" si="21"/>
        <v>0</v>
      </c>
      <c r="AE64" s="78">
        <f t="shared" si="21"/>
        <v>0</v>
      </c>
      <c r="AF64" s="78">
        <f t="shared" si="21"/>
        <v>0</v>
      </c>
      <c r="AG64" s="78">
        <f t="shared" si="21"/>
        <v>0</v>
      </c>
      <c r="AH64" s="78">
        <f t="shared" si="21"/>
        <v>0</v>
      </c>
      <c r="AI64" s="78">
        <f t="shared" si="21"/>
        <v>0</v>
      </c>
      <c r="AJ64" s="78">
        <f t="shared" si="21"/>
        <v>0</v>
      </c>
      <c r="AK64" s="78">
        <f t="shared" si="21"/>
        <v>0</v>
      </c>
      <c r="AL64" s="78">
        <f t="shared" si="21"/>
        <v>0</v>
      </c>
      <c r="AM64" s="78">
        <f t="shared" si="21"/>
        <v>0</v>
      </c>
      <c r="AN64" s="78">
        <f t="shared" si="21"/>
        <v>0</v>
      </c>
      <c r="AO64" s="78">
        <f t="shared" si="21"/>
        <v>0</v>
      </c>
    </row>
    <row r="65" spans="1:42" x14ac:dyDescent="0.3">
      <c r="B65" s="6" t="s">
        <v>99</v>
      </c>
      <c r="E65" s="78">
        <f>E64-E63</f>
        <v>40.330499999999986</v>
      </c>
      <c r="F65" s="78">
        <f>F64-F63</f>
        <v>161.98833000000002</v>
      </c>
      <c r="G65" s="78">
        <f>G64-G63</f>
        <v>142.98039</v>
      </c>
      <c r="H65" s="78">
        <f t="shared" ref="H65:AN65" si="22">H64-H63</f>
        <v>125.44538999999999</v>
      </c>
      <c r="I65" s="78">
        <f t="shared" si="22"/>
        <v>109.17290999999999</v>
      </c>
      <c r="J65" s="78">
        <f t="shared" si="22"/>
        <v>94.162950000000009</v>
      </c>
      <c r="K65" s="78">
        <f t="shared" si="22"/>
        <v>80.240159999999989</v>
      </c>
      <c r="L65" s="78">
        <f t="shared" si="22"/>
        <v>67.404540000000011</v>
      </c>
      <c r="M65" s="78">
        <f t="shared" si="22"/>
        <v>65.300339999999991</v>
      </c>
      <c r="N65" s="78">
        <f t="shared" si="22"/>
        <v>65.265270000000001</v>
      </c>
      <c r="O65" s="78">
        <f t="shared" si="22"/>
        <v>65.300339999999991</v>
      </c>
      <c r="P65" s="78">
        <f t="shared" si="22"/>
        <v>65.265270000000001</v>
      </c>
      <c r="Q65" s="78">
        <f t="shared" si="22"/>
        <v>65.300339999999991</v>
      </c>
      <c r="R65" s="78">
        <f t="shared" si="22"/>
        <v>65.265270000000001</v>
      </c>
      <c r="S65" s="78">
        <f t="shared" si="22"/>
        <v>65.300339999999991</v>
      </c>
      <c r="T65" s="78">
        <f t="shared" si="22"/>
        <v>65.265270000000001</v>
      </c>
      <c r="U65" s="78">
        <f t="shared" si="22"/>
        <v>65.300339999999991</v>
      </c>
      <c r="V65" s="78">
        <f t="shared" si="22"/>
        <v>65.265270000000001</v>
      </c>
      <c r="W65" s="78">
        <f t="shared" si="22"/>
        <v>65.300339999999991</v>
      </c>
      <c r="X65" s="78">
        <f t="shared" si="22"/>
        <v>65.265270000000001</v>
      </c>
      <c r="Y65" s="78">
        <f t="shared" si="22"/>
        <v>-12.940830000000005</v>
      </c>
      <c r="Z65" s="78">
        <f t="shared" si="22"/>
        <v>-91.182000000000002</v>
      </c>
      <c r="AA65" s="78">
        <f t="shared" si="22"/>
        <v>-91.182000000000002</v>
      </c>
      <c r="AB65" s="78">
        <f t="shared" si="22"/>
        <v>-91.182000000000002</v>
      </c>
      <c r="AC65" s="78">
        <f t="shared" si="22"/>
        <v>-91.182000000000002</v>
      </c>
      <c r="AD65" s="78">
        <f t="shared" si="22"/>
        <v>-91.182000000000002</v>
      </c>
      <c r="AE65" s="78">
        <f t="shared" si="22"/>
        <v>-91.182000000000002</v>
      </c>
      <c r="AF65" s="78">
        <f t="shared" si="22"/>
        <v>-91.182000000000002</v>
      </c>
      <c r="AG65" s="78">
        <f t="shared" si="22"/>
        <v>-91.182000000000002</v>
      </c>
      <c r="AH65" s="78">
        <f t="shared" si="22"/>
        <v>-91.182000000000002</v>
      </c>
      <c r="AI65" s="78">
        <f t="shared" si="22"/>
        <v>-91.182000000000002</v>
      </c>
      <c r="AJ65" s="78">
        <f t="shared" si="22"/>
        <v>-91.182000000000002</v>
      </c>
      <c r="AK65" s="78">
        <f t="shared" si="22"/>
        <v>-91.182000000000002</v>
      </c>
      <c r="AL65" s="78">
        <f t="shared" si="22"/>
        <v>-91.182000000000002</v>
      </c>
      <c r="AM65" s="78">
        <f t="shared" si="22"/>
        <v>-91.182000000000002</v>
      </c>
      <c r="AN65" s="78">
        <f t="shared" si="22"/>
        <v>-91.182000000000002</v>
      </c>
      <c r="AO65" s="78">
        <f>AO64-AO63</f>
        <v>-91.182000000000002</v>
      </c>
    </row>
    <row r="66" spans="1:42" x14ac:dyDescent="0.3">
      <c r="B66" s="6" t="s">
        <v>100</v>
      </c>
      <c r="D66" s="9"/>
      <c r="E66" s="78">
        <f t="shared" ref="E66:AO66" si="23">E65*$E$79</f>
        <v>8.4694049999999965</v>
      </c>
      <c r="F66" s="78">
        <f t="shared" si="23"/>
        <v>34.017549300000006</v>
      </c>
      <c r="G66" s="78">
        <f t="shared" si="23"/>
        <v>30.025881899999998</v>
      </c>
      <c r="H66" s="78">
        <f t="shared" si="23"/>
        <v>26.343531899999995</v>
      </c>
      <c r="I66" s="78">
        <f t="shared" si="23"/>
        <v>22.926311099999996</v>
      </c>
      <c r="J66" s="78">
        <f t="shared" si="23"/>
        <v>19.774219500000001</v>
      </c>
      <c r="K66" s="78">
        <f t="shared" si="23"/>
        <v>16.850433599999999</v>
      </c>
      <c r="L66" s="78">
        <f t="shared" si="23"/>
        <v>14.154953400000002</v>
      </c>
      <c r="M66" s="78">
        <f t="shared" si="23"/>
        <v>13.713071399999997</v>
      </c>
      <c r="N66" s="78">
        <f t="shared" si="23"/>
        <v>13.7057067</v>
      </c>
      <c r="O66" s="78">
        <f t="shared" si="23"/>
        <v>13.713071399999997</v>
      </c>
      <c r="P66" s="78">
        <f t="shared" si="23"/>
        <v>13.7057067</v>
      </c>
      <c r="Q66" s="78">
        <f t="shared" si="23"/>
        <v>13.713071399999997</v>
      </c>
      <c r="R66" s="78">
        <f t="shared" si="23"/>
        <v>13.7057067</v>
      </c>
      <c r="S66" s="78">
        <f t="shared" si="23"/>
        <v>13.713071399999997</v>
      </c>
      <c r="T66" s="78">
        <f t="shared" si="23"/>
        <v>13.7057067</v>
      </c>
      <c r="U66" s="78">
        <f t="shared" si="23"/>
        <v>13.713071399999997</v>
      </c>
      <c r="V66" s="78">
        <f t="shared" si="23"/>
        <v>13.7057067</v>
      </c>
      <c r="W66" s="78">
        <f t="shared" si="23"/>
        <v>13.713071399999997</v>
      </c>
      <c r="X66" s="78">
        <f t="shared" si="23"/>
        <v>13.7057067</v>
      </c>
      <c r="Y66" s="78">
        <f t="shared" si="23"/>
        <v>-2.7175743000000012</v>
      </c>
      <c r="Z66" s="78">
        <f t="shared" si="23"/>
        <v>-19.148219999999998</v>
      </c>
      <c r="AA66" s="78">
        <f t="shared" si="23"/>
        <v>-19.148219999999998</v>
      </c>
      <c r="AB66" s="78">
        <f t="shared" si="23"/>
        <v>-19.148219999999998</v>
      </c>
      <c r="AC66" s="78">
        <f t="shared" si="23"/>
        <v>-19.148219999999998</v>
      </c>
      <c r="AD66" s="78">
        <f t="shared" si="23"/>
        <v>-19.148219999999998</v>
      </c>
      <c r="AE66" s="78">
        <f t="shared" si="23"/>
        <v>-19.148219999999998</v>
      </c>
      <c r="AF66" s="78">
        <f t="shared" si="23"/>
        <v>-19.148219999999998</v>
      </c>
      <c r="AG66" s="78">
        <f t="shared" si="23"/>
        <v>-19.148219999999998</v>
      </c>
      <c r="AH66" s="78">
        <f t="shared" si="23"/>
        <v>-19.148219999999998</v>
      </c>
      <c r="AI66" s="78">
        <f t="shared" si="23"/>
        <v>-19.148219999999998</v>
      </c>
      <c r="AJ66" s="78">
        <f t="shared" si="23"/>
        <v>-19.148219999999998</v>
      </c>
      <c r="AK66" s="78">
        <f t="shared" si="23"/>
        <v>-19.148219999999998</v>
      </c>
      <c r="AL66" s="78">
        <f t="shared" si="23"/>
        <v>-19.148219999999998</v>
      </c>
      <c r="AM66" s="78">
        <f t="shared" si="23"/>
        <v>-19.148219999999998</v>
      </c>
      <c r="AN66" s="78">
        <f t="shared" si="23"/>
        <v>-19.148219999999998</v>
      </c>
      <c r="AO66" s="78">
        <f t="shared" si="23"/>
        <v>-19.148219999999998</v>
      </c>
      <c r="AP66" s="89">
        <f>SUM(E66:AO66)</f>
        <v>27.985860000000027</v>
      </c>
    </row>
    <row r="67" spans="1:42" x14ac:dyDescent="0.3">
      <c r="D67" s="9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</row>
    <row r="68" spans="1:42" x14ac:dyDescent="0.3"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</row>
    <row r="69" spans="1:42" s="18" customFormat="1" x14ac:dyDescent="0.3">
      <c r="A69" s="6"/>
      <c r="B69" s="90" t="str">
        <f>IF($F$21=1,B77,B76)</f>
        <v>MACRS Depreciation - 20</v>
      </c>
      <c r="C69" s="6"/>
      <c r="E69" s="139">
        <f t="shared" ref="E69:AO69" si="24">IF($F$21=1,E77,E76)</f>
        <v>3.7499999999999999E-2</v>
      </c>
      <c r="F69" s="139">
        <f t="shared" si="24"/>
        <v>7.2190000000000004E-2</v>
      </c>
      <c r="G69" s="139">
        <f t="shared" si="24"/>
        <v>6.6769999999999996E-2</v>
      </c>
      <c r="H69" s="139">
        <f t="shared" si="24"/>
        <v>6.1769999999999999E-2</v>
      </c>
      <c r="I69" s="139">
        <f t="shared" si="24"/>
        <v>5.713E-2</v>
      </c>
      <c r="J69" s="139">
        <f t="shared" si="24"/>
        <v>5.2850000000000001E-2</v>
      </c>
      <c r="K69" s="139">
        <f t="shared" si="24"/>
        <v>4.888E-2</v>
      </c>
      <c r="L69" s="139">
        <f t="shared" si="24"/>
        <v>4.5220000000000003E-2</v>
      </c>
      <c r="M69" s="139">
        <f t="shared" si="24"/>
        <v>4.462E-2</v>
      </c>
      <c r="N69" s="139">
        <f t="shared" si="24"/>
        <v>4.4609999999999997E-2</v>
      </c>
      <c r="O69" s="139">
        <f t="shared" si="24"/>
        <v>4.462E-2</v>
      </c>
      <c r="P69" s="139">
        <f t="shared" si="24"/>
        <v>4.4609999999999997E-2</v>
      </c>
      <c r="Q69" s="139">
        <f t="shared" si="24"/>
        <v>4.462E-2</v>
      </c>
      <c r="R69" s="139">
        <f t="shared" si="24"/>
        <v>4.4609999999999997E-2</v>
      </c>
      <c r="S69" s="139">
        <f t="shared" si="24"/>
        <v>4.462E-2</v>
      </c>
      <c r="T69" s="139">
        <f t="shared" si="24"/>
        <v>4.4609999999999997E-2</v>
      </c>
      <c r="U69" s="139">
        <f t="shared" si="24"/>
        <v>4.462E-2</v>
      </c>
      <c r="V69" s="139">
        <f t="shared" si="24"/>
        <v>4.4609999999999997E-2</v>
      </c>
      <c r="W69" s="139">
        <f t="shared" si="24"/>
        <v>4.462E-2</v>
      </c>
      <c r="X69" s="139">
        <f t="shared" si="24"/>
        <v>4.4609999999999997E-2</v>
      </c>
      <c r="Y69" s="139">
        <f t="shared" si="24"/>
        <v>2.231E-2</v>
      </c>
      <c r="Z69" s="139">
        <f t="shared" si="24"/>
        <v>0</v>
      </c>
      <c r="AA69" s="139">
        <f t="shared" si="24"/>
        <v>0</v>
      </c>
      <c r="AB69" s="139">
        <f t="shared" si="24"/>
        <v>0</v>
      </c>
      <c r="AC69" s="139">
        <f t="shared" si="24"/>
        <v>0</v>
      </c>
      <c r="AD69" s="139">
        <f t="shared" si="24"/>
        <v>0</v>
      </c>
      <c r="AE69" s="139">
        <f t="shared" si="24"/>
        <v>0</v>
      </c>
      <c r="AF69" s="139">
        <f t="shared" si="24"/>
        <v>0</v>
      </c>
      <c r="AG69" s="139">
        <f t="shared" si="24"/>
        <v>0</v>
      </c>
      <c r="AH69" s="139">
        <f t="shared" si="24"/>
        <v>0</v>
      </c>
      <c r="AI69" s="139">
        <f t="shared" si="24"/>
        <v>0</v>
      </c>
      <c r="AJ69" s="139">
        <f t="shared" si="24"/>
        <v>0</v>
      </c>
      <c r="AK69" s="139">
        <f t="shared" si="24"/>
        <v>0</v>
      </c>
      <c r="AL69" s="139">
        <f t="shared" si="24"/>
        <v>0</v>
      </c>
      <c r="AM69" s="139">
        <f t="shared" si="24"/>
        <v>0</v>
      </c>
      <c r="AN69" s="139">
        <f t="shared" si="24"/>
        <v>0</v>
      </c>
      <c r="AO69" s="139">
        <f t="shared" si="24"/>
        <v>0</v>
      </c>
    </row>
    <row r="70" spans="1:42" x14ac:dyDescent="0.3"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</row>
    <row r="71" spans="1:42" x14ac:dyDescent="0.3"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</row>
    <row r="72" spans="1:42" x14ac:dyDescent="0.3">
      <c r="B72" s="6" t="s">
        <v>101</v>
      </c>
      <c r="E72" s="91">
        <f>+E53+E66/2</f>
        <v>3461.4090000000001</v>
      </c>
      <c r="F72" s="136">
        <f t="shared" ref="F72:AO72" si="25">+E72-F28</f>
        <v>3370.2270000000003</v>
      </c>
      <c r="G72" s="136">
        <f t="shared" si="25"/>
        <v>3279.0450000000005</v>
      </c>
      <c r="H72" s="136">
        <f t="shared" si="25"/>
        <v>3187.8630000000007</v>
      </c>
      <c r="I72" s="136">
        <f t="shared" si="25"/>
        <v>3096.6810000000009</v>
      </c>
      <c r="J72" s="136">
        <f t="shared" si="25"/>
        <v>3005.4990000000012</v>
      </c>
      <c r="K72" s="136">
        <f t="shared" si="25"/>
        <v>2914.3170000000014</v>
      </c>
      <c r="L72" s="136">
        <f t="shared" si="25"/>
        <v>2823.1350000000016</v>
      </c>
      <c r="M72" s="136">
        <f t="shared" si="25"/>
        <v>2731.9530000000018</v>
      </c>
      <c r="N72" s="136">
        <f t="shared" si="25"/>
        <v>2640.771000000002</v>
      </c>
      <c r="O72" s="136">
        <f t="shared" si="25"/>
        <v>2549.5890000000022</v>
      </c>
      <c r="P72" s="136">
        <f t="shared" si="25"/>
        <v>2458.4070000000024</v>
      </c>
      <c r="Q72" s="136">
        <f t="shared" si="25"/>
        <v>2367.2250000000026</v>
      </c>
      <c r="R72" s="136">
        <f t="shared" si="25"/>
        <v>2276.0430000000028</v>
      </c>
      <c r="S72" s="136">
        <f t="shared" si="25"/>
        <v>2184.8610000000031</v>
      </c>
      <c r="T72" s="136">
        <f t="shared" si="25"/>
        <v>2093.6790000000033</v>
      </c>
      <c r="U72" s="136">
        <f t="shared" si="25"/>
        <v>2002.4970000000033</v>
      </c>
      <c r="V72" s="136">
        <f t="shared" si="25"/>
        <v>1911.3150000000032</v>
      </c>
      <c r="W72" s="136">
        <f t="shared" si="25"/>
        <v>1820.1330000000032</v>
      </c>
      <c r="X72" s="136">
        <f t="shared" si="25"/>
        <v>1728.9510000000032</v>
      </c>
      <c r="Y72" s="136">
        <f t="shared" si="25"/>
        <v>1637.7690000000032</v>
      </c>
      <c r="Z72" s="136">
        <f t="shared" si="25"/>
        <v>1546.5870000000032</v>
      </c>
      <c r="AA72" s="136">
        <f t="shared" si="25"/>
        <v>1455.4050000000032</v>
      </c>
      <c r="AB72" s="136">
        <f t="shared" si="25"/>
        <v>1364.2230000000031</v>
      </c>
      <c r="AC72" s="136">
        <f t="shared" si="25"/>
        <v>1273.0410000000031</v>
      </c>
      <c r="AD72" s="136">
        <f t="shared" si="25"/>
        <v>1181.8590000000031</v>
      </c>
      <c r="AE72" s="136">
        <f t="shared" si="25"/>
        <v>1090.6770000000031</v>
      </c>
      <c r="AF72" s="136">
        <f t="shared" si="25"/>
        <v>999.49500000000307</v>
      </c>
      <c r="AG72" s="136">
        <f t="shared" si="25"/>
        <v>908.31300000000306</v>
      </c>
      <c r="AH72" s="136">
        <f t="shared" si="25"/>
        <v>817.13100000000304</v>
      </c>
      <c r="AI72" s="136">
        <f t="shared" si="25"/>
        <v>725.94900000000302</v>
      </c>
      <c r="AJ72" s="136">
        <f t="shared" si="25"/>
        <v>634.76700000000301</v>
      </c>
      <c r="AK72" s="136">
        <f t="shared" si="25"/>
        <v>543.58500000000299</v>
      </c>
      <c r="AL72" s="136">
        <f t="shared" si="25"/>
        <v>452.40300000000298</v>
      </c>
      <c r="AM72" s="136">
        <f t="shared" si="25"/>
        <v>361.22100000000296</v>
      </c>
      <c r="AN72" s="136">
        <f t="shared" si="25"/>
        <v>270.03900000000294</v>
      </c>
      <c r="AO72" s="136">
        <f t="shared" si="25"/>
        <v>178.85700000000293</v>
      </c>
    </row>
    <row r="73" spans="1:42" x14ac:dyDescent="0.3"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</row>
    <row r="74" spans="1:42" x14ac:dyDescent="0.3">
      <c r="B74" s="6" t="s">
        <v>102</v>
      </c>
      <c r="D74" s="9"/>
      <c r="E74" s="78">
        <f t="shared" ref="E74:AO74" si="26">E39+E40-E60</f>
        <v>0</v>
      </c>
      <c r="F74" s="78">
        <f t="shared" si="26"/>
        <v>0</v>
      </c>
      <c r="G74" s="78">
        <f t="shared" si="26"/>
        <v>0</v>
      </c>
      <c r="H74" s="78">
        <f t="shared" si="26"/>
        <v>0</v>
      </c>
      <c r="I74" s="78">
        <f t="shared" si="26"/>
        <v>0</v>
      </c>
      <c r="J74" s="78">
        <f t="shared" si="26"/>
        <v>0</v>
      </c>
      <c r="K74" s="78">
        <f t="shared" si="26"/>
        <v>0</v>
      </c>
      <c r="L74" s="78">
        <f t="shared" si="26"/>
        <v>0</v>
      </c>
      <c r="M74" s="78">
        <f t="shared" si="26"/>
        <v>0</v>
      </c>
      <c r="N74" s="78">
        <f t="shared" si="26"/>
        <v>0</v>
      </c>
      <c r="O74" s="78">
        <f t="shared" si="26"/>
        <v>0</v>
      </c>
      <c r="P74" s="78">
        <f t="shared" si="26"/>
        <v>0</v>
      </c>
      <c r="Q74" s="78">
        <f t="shared" si="26"/>
        <v>0</v>
      </c>
      <c r="R74" s="78">
        <f t="shared" si="26"/>
        <v>0</v>
      </c>
      <c r="S74" s="78">
        <f t="shared" si="26"/>
        <v>0</v>
      </c>
      <c r="T74" s="78">
        <f t="shared" si="26"/>
        <v>0</v>
      </c>
      <c r="U74" s="78">
        <f t="shared" si="26"/>
        <v>0</v>
      </c>
      <c r="V74" s="78">
        <f t="shared" si="26"/>
        <v>0</v>
      </c>
      <c r="W74" s="78">
        <f t="shared" si="26"/>
        <v>0</v>
      </c>
      <c r="X74" s="78">
        <f t="shared" si="26"/>
        <v>0</v>
      </c>
      <c r="Y74" s="78">
        <f t="shared" si="26"/>
        <v>0</v>
      </c>
      <c r="Z74" s="78">
        <f t="shared" si="26"/>
        <v>0</v>
      </c>
      <c r="AA74" s="78">
        <f t="shared" si="26"/>
        <v>0</v>
      </c>
      <c r="AB74" s="78">
        <f t="shared" si="26"/>
        <v>0</v>
      </c>
      <c r="AC74" s="78">
        <f t="shared" si="26"/>
        <v>0</v>
      </c>
      <c r="AD74" s="78">
        <f t="shared" si="26"/>
        <v>0</v>
      </c>
      <c r="AE74" s="78">
        <f t="shared" si="26"/>
        <v>0</v>
      </c>
      <c r="AF74" s="78">
        <f t="shared" si="26"/>
        <v>0</v>
      </c>
      <c r="AG74" s="78">
        <f t="shared" si="26"/>
        <v>0</v>
      </c>
      <c r="AH74" s="78">
        <f t="shared" si="26"/>
        <v>0</v>
      </c>
      <c r="AI74" s="78">
        <f t="shared" si="26"/>
        <v>0</v>
      </c>
      <c r="AJ74" s="78">
        <f t="shared" si="26"/>
        <v>0</v>
      </c>
      <c r="AK74" s="78">
        <f t="shared" si="26"/>
        <v>0</v>
      </c>
      <c r="AL74" s="78">
        <f t="shared" si="26"/>
        <v>0</v>
      </c>
      <c r="AM74" s="78">
        <f t="shared" si="26"/>
        <v>0</v>
      </c>
      <c r="AN74" s="78">
        <f t="shared" si="26"/>
        <v>0</v>
      </c>
      <c r="AO74" s="78">
        <f t="shared" si="26"/>
        <v>0</v>
      </c>
    </row>
    <row r="75" spans="1:42" x14ac:dyDescent="0.3"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  <c r="AC75" s="137"/>
      <c r="AD75" s="137"/>
      <c r="AE75" s="137"/>
      <c r="AF75" s="137"/>
      <c r="AG75" s="137"/>
      <c r="AH75" s="137"/>
      <c r="AI75" s="137"/>
      <c r="AJ75" s="137"/>
      <c r="AK75" s="137"/>
      <c r="AL75" s="137"/>
      <c r="AM75" s="137"/>
      <c r="AN75" s="137"/>
      <c r="AO75" s="137"/>
    </row>
    <row r="76" spans="1:42" x14ac:dyDescent="0.3">
      <c r="B76" s="6" t="s">
        <v>103</v>
      </c>
      <c r="E76" s="139">
        <v>3.7499999999999999E-2</v>
      </c>
      <c r="F76" s="139">
        <v>7.2190000000000004E-2</v>
      </c>
      <c r="G76" s="139">
        <v>6.6769999999999996E-2</v>
      </c>
      <c r="H76" s="139">
        <v>6.1769999999999999E-2</v>
      </c>
      <c r="I76" s="139">
        <v>5.713E-2</v>
      </c>
      <c r="J76" s="139">
        <v>5.2850000000000001E-2</v>
      </c>
      <c r="K76" s="139">
        <v>4.888E-2</v>
      </c>
      <c r="L76" s="139">
        <v>4.5220000000000003E-2</v>
      </c>
      <c r="M76" s="139">
        <v>4.462E-2</v>
      </c>
      <c r="N76" s="139">
        <v>4.4609999999999997E-2</v>
      </c>
      <c r="O76" s="139">
        <v>4.462E-2</v>
      </c>
      <c r="P76" s="139">
        <v>4.4609999999999997E-2</v>
      </c>
      <c r="Q76" s="139">
        <v>4.462E-2</v>
      </c>
      <c r="R76" s="139">
        <v>4.4609999999999997E-2</v>
      </c>
      <c r="S76" s="139">
        <v>4.462E-2</v>
      </c>
      <c r="T76" s="139">
        <v>4.4609999999999997E-2</v>
      </c>
      <c r="U76" s="139">
        <v>4.462E-2</v>
      </c>
      <c r="V76" s="139">
        <v>4.4609999999999997E-2</v>
      </c>
      <c r="W76" s="139">
        <v>4.462E-2</v>
      </c>
      <c r="X76" s="139">
        <v>4.4609999999999997E-2</v>
      </c>
      <c r="Y76" s="139">
        <v>2.231E-2</v>
      </c>
      <c r="Z76" s="137"/>
      <c r="AA76" s="137"/>
      <c r="AB76" s="137"/>
      <c r="AC76" s="137"/>
      <c r="AD76" s="137"/>
      <c r="AE76" s="137"/>
      <c r="AF76" s="137"/>
      <c r="AG76" s="137"/>
      <c r="AH76" s="137"/>
      <c r="AI76" s="137"/>
      <c r="AJ76" s="137"/>
      <c r="AK76" s="137"/>
      <c r="AL76" s="137"/>
      <c r="AM76" s="137"/>
      <c r="AN76" s="137"/>
      <c r="AO76" s="137"/>
    </row>
    <row r="77" spans="1:42" x14ac:dyDescent="0.3">
      <c r="B77" s="6" t="s">
        <v>104</v>
      </c>
      <c r="E77" s="75">
        <f>0.5+E76*0.5</f>
        <v>0.51875000000000004</v>
      </c>
      <c r="F77" s="75">
        <f>+F76*0.5</f>
        <v>3.6095000000000002E-2</v>
      </c>
      <c r="G77" s="75">
        <f t="shared" ref="G77:Y77" si="27">+G76*0.5</f>
        <v>3.3384999999999998E-2</v>
      </c>
      <c r="H77" s="75">
        <f t="shared" si="27"/>
        <v>3.0884999999999999E-2</v>
      </c>
      <c r="I77" s="75">
        <f t="shared" si="27"/>
        <v>2.8565E-2</v>
      </c>
      <c r="J77" s="75">
        <f t="shared" si="27"/>
        <v>2.6425000000000001E-2</v>
      </c>
      <c r="K77" s="75">
        <f t="shared" si="27"/>
        <v>2.444E-2</v>
      </c>
      <c r="L77" s="75">
        <f t="shared" si="27"/>
        <v>2.2610000000000002E-2</v>
      </c>
      <c r="M77" s="75">
        <f t="shared" si="27"/>
        <v>2.231E-2</v>
      </c>
      <c r="N77" s="75">
        <f t="shared" si="27"/>
        <v>2.2304999999999998E-2</v>
      </c>
      <c r="O77" s="75">
        <f t="shared" si="27"/>
        <v>2.231E-2</v>
      </c>
      <c r="P77" s="75">
        <f t="shared" si="27"/>
        <v>2.2304999999999998E-2</v>
      </c>
      <c r="Q77" s="75">
        <f t="shared" si="27"/>
        <v>2.231E-2</v>
      </c>
      <c r="R77" s="75">
        <f t="shared" si="27"/>
        <v>2.2304999999999998E-2</v>
      </c>
      <c r="S77" s="75">
        <f t="shared" si="27"/>
        <v>2.231E-2</v>
      </c>
      <c r="T77" s="75">
        <f t="shared" si="27"/>
        <v>2.2304999999999998E-2</v>
      </c>
      <c r="U77" s="75">
        <f t="shared" si="27"/>
        <v>2.231E-2</v>
      </c>
      <c r="V77" s="75">
        <f t="shared" si="27"/>
        <v>2.2304999999999998E-2</v>
      </c>
      <c r="W77" s="75">
        <f t="shared" si="27"/>
        <v>2.231E-2</v>
      </c>
      <c r="X77" s="75">
        <f t="shared" si="27"/>
        <v>2.2304999999999998E-2</v>
      </c>
      <c r="Y77" s="75">
        <f t="shared" si="27"/>
        <v>1.1155E-2</v>
      </c>
      <c r="Z77" s="137">
        <v>0</v>
      </c>
      <c r="AA77" s="137">
        <v>0</v>
      </c>
      <c r="AB77" s="137">
        <v>0</v>
      </c>
      <c r="AC77" s="137">
        <v>0</v>
      </c>
      <c r="AD77" s="137">
        <v>0</v>
      </c>
      <c r="AE77" s="137">
        <v>0</v>
      </c>
      <c r="AF77" s="137">
        <v>0</v>
      </c>
      <c r="AG77" s="137">
        <v>0</v>
      </c>
      <c r="AH77" s="137">
        <v>0</v>
      </c>
      <c r="AI77" s="137">
        <v>0</v>
      </c>
      <c r="AJ77" s="137">
        <v>0</v>
      </c>
      <c r="AK77" s="137">
        <v>0</v>
      </c>
      <c r="AL77" s="137">
        <v>0</v>
      </c>
      <c r="AM77" s="137">
        <v>0</v>
      </c>
      <c r="AN77" s="137">
        <v>0</v>
      </c>
      <c r="AO77" s="137">
        <v>1</v>
      </c>
    </row>
    <row r="78" spans="1:42" x14ac:dyDescent="0.3"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</row>
    <row r="79" spans="1:42" x14ac:dyDescent="0.3">
      <c r="B79" s="6" t="s">
        <v>44</v>
      </c>
      <c r="E79" s="138">
        <f>+F15</f>
        <v>0.21</v>
      </c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  <c r="AN79" s="137"/>
      <c r="AO79" s="137"/>
    </row>
    <row r="80" spans="1:42" x14ac:dyDescent="0.3">
      <c r="B80" s="6" t="s">
        <v>105</v>
      </c>
      <c r="E80" s="137">
        <f>1-E79</f>
        <v>0.79</v>
      </c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</row>
    <row r="81" spans="5:41" x14ac:dyDescent="0.3"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  <c r="U81" s="137"/>
      <c r="V81" s="137"/>
      <c r="W81" s="137"/>
      <c r="X81" s="137"/>
      <c r="Y81" s="137"/>
      <c r="Z81" s="137"/>
      <c r="AA81" s="137"/>
      <c r="AB81" s="137"/>
      <c r="AC81" s="137"/>
      <c r="AD81" s="137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</row>
    <row r="82" spans="5:41" x14ac:dyDescent="0.3"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  <c r="X82" s="137"/>
      <c r="Y82" s="137"/>
      <c r="Z82" s="137"/>
      <c r="AA82" s="137"/>
      <c r="AB82" s="137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</row>
    <row r="83" spans="5:41" x14ac:dyDescent="0.3"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137"/>
      <c r="X83" s="137"/>
      <c r="Y83" s="137"/>
      <c r="Z83" s="137"/>
      <c r="AA83" s="137"/>
      <c r="AB83" s="137"/>
      <c r="AC83" s="137"/>
      <c r="AD83" s="137"/>
      <c r="AE83" s="137"/>
      <c r="AF83" s="137"/>
      <c r="AG83" s="137"/>
      <c r="AH83" s="137"/>
      <c r="AI83" s="137"/>
      <c r="AJ83" s="137"/>
      <c r="AK83" s="137"/>
      <c r="AL83" s="137"/>
      <c r="AM83" s="137"/>
      <c r="AN83" s="137"/>
      <c r="AO83" s="137"/>
    </row>
    <row r="91" spans="5:41" x14ac:dyDescent="0.3">
      <c r="P91" s="92"/>
    </row>
  </sheetData>
  <mergeCells count="1">
    <mergeCell ref="E1:F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1"/>
  <sheetViews>
    <sheetView showGridLines="0" workbookViewId="0">
      <selection activeCell="D4" sqref="D4"/>
    </sheetView>
  </sheetViews>
  <sheetFormatPr defaultRowHeight="14.4" x14ac:dyDescent="0.3"/>
  <cols>
    <col min="2" max="5" width="13" customWidth="1"/>
  </cols>
  <sheetData>
    <row r="2" spans="2:13" x14ac:dyDescent="0.3"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2:13" ht="28.8" x14ac:dyDescent="0.3">
      <c r="B3" s="94" t="s">
        <v>106</v>
      </c>
      <c r="C3" s="95" t="s">
        <v>107</v>
      </c>
      <c r="D3" s="95" t="s">
        <v>108</v>
      </c>
      <c r="E3" s="95" t="s">
        <v>109</v>
      </c>
      <c r="F3" s="97"/>
      <c r="G3" s="97"/>
      <c r="H3" s="97"/>
      <c r="I3" s="97"/>
      <c r="J3" s="97"/>
      <c r="K3" s="97"/>
      <c r="L3" s="97"/>
      <c r="M3" s="97"/>
    </row>
    <row r="4" spans="2:13" x14ac:dyDescent="0.3">
      <c r="B4" s="4">
        <v>500</v>
      </c>
      <c r="C4" s="93">
        <f>('Cost Exceeding Revenue'!$H$8*12)+('Cost Exceeding Revenue'!$H$9*B4)</f>
        <v>328.65</v>
      </c>
      <c r="D4" s="93">
        <f>'Cost of Service'!E$46</f>
        <v>507.82338430318896</v>
      </c>
      <c r="E4" s="93" t="s">
        <v>70</v>
      </c>
      <c r="F4" s="93"/>
      <c r="G4" s="93"/>
      <c r="H4" s="93"/>
      <c r="I4" s="93"/>
      <c r="J4" s="93"/>
      <c r="K4" s="93"/>
      <c r="L4" s="93"/>
      <c r="M4" s="93"/>
    </row>
    <row r="5" spans="2:13" x14ac:dyDescent="0.3">
      <c r="B5" s="4">
        <v>550</v>
      </c>
      <c r="C5" s="93">
        <f>('Cost Exceeding Revenue'!$H$8*12)+('Cost Exceeding Revenue'!$H$9*B5)</f>
        <v>351.91499999999996</v>
      </c>
      <c r="D5" s="93">
        <f>'Cost of Service'!E$46</f>
        <v>507.82338430318896</v>
      </c>
      <c r="E5" s="93" t="s">
        <v>67</v>
      </c>
      <c r="F5" s="93"/>
      <c r="G5" s="93"/>
      <c r="H5" s="93"/>
      <c r="I5" s="93"/>
      <c r="J5" s="93"/>
      <c r="K5" s="93"/>
      <c r="L5" s="93"/>
      <c r="M5" s="93"/>
    </row>
    <row r="6" spans="2:13" x14ac:dyDescent="0.3">
      <c r="B6" s="4">
        <v>600</v>
      </c>
      <c r="C6" s="93">
        <f>('Cost Exceeding Revenue'!$H$8*12)+('Cost Exceeding Revenue'!$H$9*B6)</f>
        <v>375.18</v>
      </c>
      <c r="D6" s="93">
        <f>'Cost of Service'!E$46</f>
        <v>507.82338430318896</v>
      </c>
      <c r="E6" s="93" t="s">
        <v>65</v>
      </c>
      <c r="F6" s="93"/>
      <c r="G6" s="93"/>
      <c r="H6" s="93"/>
      <c r="I6" s="93"/>
      <c r="J6" s="93"/>
      <c r="K6" s="93"/>
      <c r="L6" s="93"/>
      <c r="M6" s="93"/>
    </row>
    <row r="7" spans="2:13" x14ac:dyDescent="0.3">
      <c r="B7" s="4">
        <v>650</v>
      </c>
      <c r="C7" s="93">
        <f>('Cost Exceeding Revenue'!$H$8*12)+('Cost Exceeding Revenue'!$H$9*B7)</f>
        <v>398.44499999999999</v>
      </c>
      <c r="D7" s="93">
        <f>'Cost of Service'!E$46</f>
        <v>507.82338430318896</v>
      </c>
      <c r="E7" s="93" t="s">
        <v>62</v>
      </c>
      <c r="F7" s="93"/>
      <c r="G7" s="93"/>
      <c r="H7" s="93"/>
      <c r="I7" s="93"/>
      <c r="J7" s="93"/>
      <c r="K7" s="93"/>
      <c r="L7" s="93"/>
      <c r="M7" s="93"/>
    </row>
    <row r="8" spans="2:13" x14ac:dyDescent="0.3">
      <c r="B8" s="4">
        <v>700</v>
      </c>
      <c r="C8" s="93">
        <f>('Cost Exceeding Revenue'!$H$8*12)+('Cost Exceeding Revenue'!$H$9*B8)</f>
        <v>421.71</v>
      </c>
      <c r="D8" s="93">
        <f>'Cost of Service'!E$46</f>
        <v>507.82338430318896</v>
      </c>
      <c r="E8" s="93" t="s">
        <v>59</v>
      </c>
      <c r="F8" s="93"/>
      <c r="G8" s="93"/>
      <c r="H8" s="93"/>
      <c r="I8" s="93"/>
      <c r="J8" s="93"/>
      <c r="K8" s="93"/>
      <c r="L8" s="93"/>
      <c r="M8" s="93"/>
    </row>
    <row r="9" spans="2:13" x14ac:dyDescent="0.3">
      <c r="B9" s="4">
        <v>750</v>
      </c>
      <c r="C9" s="93">
        <f>('Cost Exceeding Revenue'!$H$8*12)+('Cost Exceeding Revenue'!$H$9*B9)</f>
        <v>444.97499999999997</v>
      </c>
      <c r="D9" s="93">
        <f>'Cost of Service'!E$46</f>
        <v>507.82338430318896</v>
      </c>
      <c r="E9" s="93" t="s">
        <v>57</v>
      </c>
      <c r="F9" s="93"/>
      <c r="G9" s="93"/>
      <c r="H9" s="93"/>
      <c r="I9" s="93"/>
      <c r="J9" s="93"/>
      <c r="K9" s="93"/>
      <c r="L9" s="93"/>
      <c r="M9" s="93"/>
    </row>
    <row r="10" spans="2:13" x14ac:dyDescent="0.3">
      <c r="B10" s="4">
        <v>800</v>
      </c>
      <c r="C10" s="93">
        <f>('Cost Exceeding Revenue'!$H$8*12)+('Cost Exceeding Revenue'!$H$9*B10)</f>
        <v>468.24</v>
      </c>
      <c r="D10" s="93">
        <f>'Cost of Service'!E$46</f>
        <v>507.82338430318896</v>
      </c>
      <c r="E10" s="93" t="s">
        <v>54</v>
      </c>
      <c r="F10" s="93"/>
      <c r="G10" s="93"/>
      <c r="H10" s="93"/>
      <c r="I10" s="93"/>
      <c r="J10" s="93"/>
      <c r="K10" s="93"/>
      <c r="L10" s="93"/>
      <c r="M10" s="93"/>
    </row>
    <row r="11" spans="2:13" x14ac:dyDescent="0.3">
      <c r="B11" s="4"/>
      <c r="C11" s="4"/>
      <c r="D11" s="4"/>
      <c r="E11" s="4"/>
      <c r="F11" s="4"/>
      <c r="G11" s="4"/>
      <c r="H11" s="4"/>
      <c r="I11" s="4"/>
      <c r="J11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showGridLines="0" tabSelected="1" view="pageLayout" zoomScaleNormal="100" workbookViewId="0">
      <selection activeCell="F3" sqref="F3"/>
    </sheetView>
  </sheetViews>
  <sheetFormatPr defaultColWidth="9.109375" defaultRowHeight="14.4" x14ac:dyDescent="0.3"/>
  <cols>
    <col min="1" max="1" width="47" bestFit="1" customWidth="1"/>
    <col min="2" max="8" width="13.109375" customWidth="1"/>
    <col min="9" max="16384" width="9.109375" style="192"/>
  </cols>
  <sheetData>
    <row r="1" spans="1:8" x14ac:dyDescent="0.3">
      <c r="A1" s="1" t="s">
        <v>122</v>
      </c>
    </row>
    <row r="2" spans="1:8" x14ac:dyDescent="0.3">
      <c r="A2" s="1" t="s">
        <v>567</v>
      </c>
    </row>
    <row r="3" spans="1:8" x14ac:dyDescent="0.3">
      <c r="A3" s="1" t="s">
        <v>539</v>
      </c>
      <c r="B3" s="99"/>
      <c r="C3" s="99"/>
      <c r="D3" s="99"/>
      <c r="E3" s="99"/>
      <c r="F3" s="99"/>
      <c r="G3" s="99"/>
      <c r="H3" s="99"/>
    </row>
    <row r="4" spans="1:8" ht="15" thickBot="1" x14ac:dyDescent="0.35">
      <c r="B4" s="100">
        <v>2018</v>
      </c>
      <c r="C4" s="100">
        <v>2019</v>
      </c>
      <c r="D4" s="100">
        <v>2020</v>
      </c>
      <c r="E4" s="100">
        <v>2021</v>
      </c>
      <c r="F4" s="100">
        <v>2022</v>
      </c>
      <c r="G4" s="100">
        <v>2023</v>
      </c>
      <c r="H4" s="100">
        <v>2024</v>
      </c>
    </row>
    <row r="5" spans="1:8" x14ac:dyDescent="0.3">
      <c r="A5" t="s">
        <v>110</v>
      </c>
      <c r="B5" s="148"/>
      <c r="C5" s="132">
        <v>2969.4598356726638</v>
      </c>
      <c r="D5" s="132">
        <v>3218.7045637355623</v>
      </c>
      <c r="E5" s="132">
        <v>3524.2690845732141</v>
      </c>
      <c r="F5" s="132">
        <v>3603.6511282082211</v>
      </c>
      <c r="G5" s="132">
        <v>3706.8499794066011</v>
      </c>
      <c r="H5" s="132">
        <v>3800.994481422822</v>
      </c>
    </row>
    <row r="6" spans="1:8" x14ac:dyDescent="0.3">
      <c r="B6" s="148"/>
      <c r="C6" s="148"/>
      <c r="D6" s="148"/>
      <c r="E6" s="148"/>
      <c r="F6" s="148"/>
      <c r="G6" s="148"/>
      <c r="H6" s="148"/>
    </row>
    <row r="7" spans="1:8" x14ac:dyDescent="0.3">
      <c r="A7" t="s">
        <v>111</v>
      </c>
      <c r="B7" s="149">
        <v>77357</v>
      </c>
      <c r="C7" s="148"/>
      <c r="D7" s="148"/>
      <c r="E7" s="148"/>
      <c r="F7" s="148"/>
      <c r="G7" s="148"/>
      <c r="H7" s="148"/>
    </row>
    <row r="8" spans="1:8" x14ac:dyDescent="0.3">
      <c r="B8" s="148"/>
      <c r="C8" s="148"/>
      <c r="D8" s="148"/>
      <c r="E8" s="148"/>
      <c r="F8" s="148"/>
      <c r="G8" s="148"/>
      <c r="H8" s="148"/>
    </row>
    <row r="9" spans="1:8" x14ac:dyDescent="0.3">
      <c r="A9" t="s">
        <v>112</v>
      </c>
      <c r="B9" s="148"/>
      <c r="C9" s="149">
        <f>B7+C5</f>
        <v>80326.459835672664</v>
      </c>
      <c r="D9" s="149">
        <f>C9+D5</f>
        <v>83545.164399408226</v>
      </c>
      <c r="E9" s="149">
        <f t="shared" ref="E9:H9" si="0">D9+E5</f>
        <v>87069.43348398144</v>
      </c>
      <c r="F9" s="149">
        <f t="shared" si="0"/>
        <v>90673.084612189661</v>
      </c>
      <c r="G9" s="149">
        <f t="shared" si="0"/>
        <v>94379.934591596262</v>
      </c>
      <c r="H9" s="149">
        <f t="shared" si="0"/>
        <v>98180.929073019084</v>
      </c>
    </row>
    <row r="10" spans="1:8" x14ac:dyDescent="0.3">
      <c r="B10" s="148"/>
      <c r="C10" s="148"/>
      <c r="D10" s="148"/>
      <c r="E10" s="148"/>
      <c r="F10" s="148"/>
      <c r="G10" s="148"/>
      <c r="H10" s="148"/>
    </row>
    <row r="11" spans="1:8" x14ac:dyDescent="0.3">
      <c r="A11" s="153" t="s">
        <v>113</v>
      </c>
      <c r="B11" s="154"/>
      <c r="C11" s="154">
        <f>C5/2*'Cost Exceeding Revenue'!$K$11</f>
        <v>775325.9630941326</v>
      </c>
      <c r="D11" s="154">
        <f>D5/2*'Cost Exceeding Revenue'!$K$11</f>
        <v>840403.76159135543</v>
      </c>
      <c r="E11" s="154">
        <f>E5/2*'Cost Exceeding Revenue'!$K$11</f>
        <v>920186.65798206627</v>
      </c>
      <c r="F11" s="154">
        <f>F5/2*'Cost Exceeding Revenue'!$K$11</f>
        <v>940913.30957516655</v>
      </c>
      <c r="G11" s="154">
        <f>G5/2*'Cost Exceeding Revenue'!$K$11</f>
        <v>967858.52962306363</v>
      </c>
      <c r="H11" s="154">
        <f>H5/2*'Cost Exceeding Revenue'!$K$11</f>
        <v>992439.65909949888</v>
      </c>
    </row>
    <row r="12" spans="1:8" x14ac:dyDescent="0.3">
      <c r="A12" t="s">
        <v>540</v>
      </c>
      <c r="B12" s="150"/>
      <c r="C12" s="150"/>
      <c r="D12" s="150">
        <f>$C$5*'Cost Exceeding Revenue'!$K$11</f>
        <v>1550651.9261882652</v>
      </c>
      <c r="E12" s="150">
        <f>$C$5*'Cost Exceeding Revenue'!$K$11</f>
        <v>1550651.9261882652</v>
      </c>
      <c r="F12" s="150">
        <f>$C$5*'Cost Exceeding Revenue'!$K$11</f>
        <v>1550651.9261882652</v>
      </c>
      <c r="G12" s="150">
        <f>$C$5*'Cost Exceeding Revenue'!$K$11</f>
        <v>1550651.9261882652</v>
      </c>
      <c r="H12" s="150">
        <f>$C$5*'Cost Exceeding Revenue'!$K$11</f>
        <v>1550651.9261882652</v>
      </c>
    </row>
    <row r="13" spans="1:8" x14ac:dyDescent="0.3">
      <c r="A13" t="s">
        <v>541</v>
      </c>
      <c r="B13" s="150"/>
      <c r="C13" s="150"/>
      <c r="D13" s="150"/>
      <c r="E13" s="182">
        <f>$D$5*'Cost Exceeding Revenue'!$K$11</f>
        <v>1680807.5231827109</v>
      </c>
      <c r="F13" s="182">
        <f>$D$5*'Cost Exceeding Revenue'!$K$11</f>
        <v>1680807.5231827109</v>
      </c>
      <c r="G13" s="182">
        <f>$D$5*'Cost Exceeding Revenue'!$K$11</f>
        <v>1680807.5231827109</v>
      </c>
      <c r="H13" s="182">
        <f>$D$5*'Cost Exceeding Revenue'!$K$11</f>
        <v>1680807.5231827109</v>
      </c>
    </row>
    <row r="14" spans="1:8" x14ac:dyDescent="0.3">
      <c r="A14" t="s">
        <v>542</v>
      </c>
      <c r="B14" s="150"/>
      <c r="C14" s="150"/>
      <c r="D14" s="150"/>
      <c r="E14" s="150"/>
      <c r="F14" s="182">
        <f>$E$5*'Cost Exceeding Revenue'!$K$11</f>
        <v>1840373.3159641325</v>
      </c>
      <c r="G14" s="182">
        <f>$E$5*'Cost Exceeding Revenue'!$K$11</f>
        <v>1840373.3159641325</v>
      </c>
      <c r="H14" s="182">
        <f>$E$5*'Cost Exceeding Revenue'!$K$11</f>
        <v>1840373.3159641325</v>
      </c>
    </row>
    <row r="15" spans="1:8" x14ac:dyDescent="0.3">
      <c r="A15" t="s">
        <v>543</v>
      </c>
      <c r="B15" s="150"/>
      <c r="C15" s="150"/>
      <c r="D15" s="150"/>
      <c r="E15" s="150"/>
      <c r="F15" s="150"/>
      <c r="G15" s="182">
        <f>$F$5*'Cost Exceeding Revenue'!$K$11</f>
        <v>1881826.6191503331</v>
      </c>
      <c r="H15" s="182">
        <f>$F$5*'Cost Exceeding Revenue'!$K$11</f>
        <v>1881826.6191503331</v>
      </c>
    </row>
    <row r="16" spans="1:8" x14ac:dyDescent="0.3">
      <c r="A16" s="147" t="s">
        <v>544</v>
      </c>
      <c r="B16" s="150"/>
      <c r="C16" s="150"/>
      <c r="D16" s="150"/>
      <c r="E16" s="150"/>
      <c r="F16" s="150"/>
      <c r="G16" s="150"/>
      <c r="H16" s="182">
        <f>$G$5*'Cost Exceeding Revenue'!K11</f>
        <v>1935717.0592461273</v>
      </c>
    </row>
    <row r="17" spans="1:8" x14ac:dyDescent="0.3">
      <c r="A17" s="147"/>
      <c r="B17" s="148"/>
      <c r="C17" s="148"/>
      <c r="D17" s="148"/>
      <c r="E17" s="148"/>
      <c r="F17" s="148"/>
      <c r="G17" s="148"/>
      <c r="H17" s="148"/>
    </row>
    <row r="18" spans="1:8" x14ac:dyDescent="0.3">
      <c r="A18" s="191" t="s">
        <v>114</v>
      </c>
      <c r="B18" s="152">
        <f>B7*'Cost Exceeding Revenue'!H11</f>
        <v>52471253.099999994</v>
      </c>
      <c r="C18" s="152">
        <f>$B$18+SUM(C11:C16)</f>
        <v>53246579.063094124</v>
      </c>
      <c r="D18" s="152">
        <f t="shared" ref="D18:H18" si="1">$B$18+SUM(D11:D16)</f>
        <v>54862308.787779614</v>
      </c>
      <c r="E18" s="183">
        <f t="shared" si="1"/>
        <v>56622899.207353033</v>
      </c>
      <c r="F18" s="183">
        <f t="shared" si="1"/>
        <v>58483999.17491027</v>
      </c>
      <c r="G18" s="183">
        <f t="shared" si="1"/>
        <v>60392771.014108501</v>
      </c>
      <c r="H18" s="183">
        <f t="shared" si="1"/>
        <v>62353069.20283106</v>
      </c>
    </row>
    <row r="19" spans="1:8" x14ac:dyDescent="0.3">
      <c r="A19" s="147"/>
      <c r="B19" s="148"/>
      <c r="C19" s="148"/>
      <c r="D19" s="148"/>
      <c r="E19" s="148"/>
      <c r="F19" s="148"/>
      <c r="G19" s="148"/>
      <c r="H19" s="148"/>
    </row>
    <row r="20" spans="1:8" x14ac:dyDescent="0.3">
      <c r="A20" s="172" t="s">
        <v>546</v>
      </c>
      <c r="B20" s="157">
        <f>B18</f>
        <v>52471253.099999994</v>
      </c>
      <c r="C20" s="184">
        <f>C5/2*'Cost Exceeding Revenue'!$H$11</f>
        <v>1007092.3032683838</v>
      </c>
      <c r="D20" s="184">
        <f>D5/2*'Cost Exceeding Revenue'!$H$11</f>
        <v>1091623.6527909159</v>
      </c>
      <c r="E20" s="184">
        <f>E5/2*'Cost Exceeding Revenue'!$H$11</f>
        <v>1195255.8600330055</v>
      </c>
      <c r="F20" s="184">
        <f>F5/2*'Cost Exceeding Revenue'!$H$11</f>
        <v>1222178.280131818</v>
      </c>
      <c r="G20" s="184">
        <f>G5/2*'Cost Exceeding Revenue'!$H$11</f>
        <v>1257178.1705157487</v>
      </c>
      <c r="H20" s="184">
        <f>H5/2*'Cost Exceeding Revenue'!$H$11</f>
        <v>1289107.2783745499</v>
      </c>
    </row>
    <row r="21" spans="1:8" x14ac:dyDescent="0.3">
      <c r="A21" s="147" t="s">
        <v>540</v>
      </c>
      <c r="B21" s="155"/>
      <c r="C21" s="150"/>
      <c r="D21" s="182">
        <f>$C$5*'Cost Exceeding Revenue'!$H$11</f>
        <v>2014184.6065367677</v>
      </c>
      <c r="E21" s="182">
        <f>$C$5*'Cost Exceeding Revenue'!$H$11</f>
        <v>2014184.6065367677</v>
      </c>
      <c r="F21" s="182">
        <f>$C$5*'Cost Exceeding Revenue'!$H$11</f>
        <v>2014184.6065367677</v>
      </c>
      <c r="G21" s="182">
        <f>$C$5*'Cost Exceeding Revenue'!$H$11</f>
        <v>2014184.6065367677</v>
      </c>
      <c r="H21" s="182">
        <f>$C$5*'Cost Exceeding Revenue'!$H$11</f>
        <v>2014184.6065367677</v>
      </c>
    </row>
    <row r="22" spans="1:8" x14ac:dyDescent="0.3">
      <c r="A22" s="147" t="s">
        <v>541</v>
      </c>
      <c r="B22" s="155"/>
      <c r="C22" s="150"/>
      <c r="D22" s="150"/>
      <c r="E22" s="182">
        <f>$D$5*'Cost Exceeding Revenue'!$H$11</f>
        <v>2183247.3055818318</v>
      </c>
      <c r="F22" s="182">
        <f>$D$5*'Cost Exceeding Revenue'!$H$11</f>
        <v>2183247.3055818318</v>
      </c>
      <c r="G22" s="182">
        <f>$D$5*'Cost Exceeding Revenue'!$H$11</f>
        <v>2183247.3055818318</v>
      </c>
      <c r="H22" s="182">
        <f>$D$5*'Cost Exceeding Revenue'!$H$11</f>
        <v>2183247.3055818318</v>
      </c>
    </row>
    <row r="23" spans="1:8" x14ac:dyDescent="0.3">
      <c r="A23" s="147" t="s">
        <v>542</v>
      </c>
      <c r="B23" s="155"/>
      <c r="C23" s="150"/>
      <c r="D23" s="150"/>
      <c r="E23" s="150"/>
      <c r="F23" s="182">
        <f>$E$5*'Cost Exceeding Revenue'!$H$11</f>
        <v>2390511.720066011</v>
      </c>
      <c r="G23" s="182">
        <f>$E$5*'Cost Exceeding Revenue'!$H$11</f>
        <v>2390511.720066011</v>
      </c>
      <c r="H23" s="182">
        <f>$E$5*'Cost Exceeding Revenue'!$H$11</f>
        <v>2390511.720066011</v>
      </c>
    </row>
    <row r="24" spans="1:8" x14ac:dyDescent="0.3">
      <c r="A24" s="147" t="s">
        <v>543</v>
      </c>
      <c r="B24" s="155"/>
      <c r="C24" s="150"/>
      <c r="D24" s="150"/>
      <c r="E24" s="150"/>
      <c r="F24" s="150"/>
      <c r="G24" s="182">
        <f>$F$5*'Cost Exceeding Revenue'!$H$11</f>
        <v>2444356.5602636361</v>
      </c>
      <c r="H24" s="182">
        <f>$F$5*'Cost Exceeding Revenue'!$H$11</f>
        <v>2444356.5602636361</v>
      </c>
    </row>
    <row r="25" spans="1:8" x14ac:dyDescent="0.3">
      <c r="A25" s="147" t="s">
        <v>544</v>
      </c>
      <c r="B25" s="155"/>
      <c r="C25" s="150"/>
      <c r="D25" s="150"/>
      <c r="E25" s="150"/>
      <c r="F25" s="150"/>
      <c r="G25" s="150"/>
      <c r="H25" s="182">
        <f>$G$5*'Cost Exceeding Revenue'!$H$11</f>
        <v>2514356.3410314973</v>
      </c>
    </row>
    <row r="26" spans="1:8" x14ac:dyDescent="0.3">
      <c r="A26" s="191" t="s">
        <v>566</v>
      </c>
      <c r="B26" s="156">
        <f>SUM(B20:B25)</f>
        <v>52471253.099999994</v>
      </c>
      <c r="C26" s="185">
        <f>$B$26+SUM(C20:C25)</f>
        <v>53478345.403268375</v>
      </c>
      <c r="D26" s="185">
        <f t="shared" ref="D26:H26" si="2">$B$26+SUM(D20:D25)</f>
        <v>55577061.359327674</v>
      </c>
      <c r="E26" s="185">
        <f t="shared" si="2"/>
        <v>57863940.872151598</v>
      </c>
      <c r="F26" s="185">
        <f t="shared" si="2"/>
        <v>60281375.012316421</v>
      </c>
      <c r="G26" s="185">
        <f t="shared" si="2"/>
        <v>62760731.462963991</v>
      </c>
      <c r="H26" s="185">
        <f t="shared" si="2"/>
        <v>65307016.911854289</v>
      </c>
    </row>
    <row r="27" spans="1:8" x14ac:dyDescent="0.3">
      <c r="A27" s="147"/>
      <c r="B27" s="148"/>
      <c r="C27" s="148"/>
      <c r="D27" s="148"/>
      <c r="E27" s="148"/>
      <c r="F27" s="148"/>
      <c r="G27" s="148"/>
      <c r="H27" s="148"/>
    </row>
    <row r="28" spans="1:8" x14ac:dyDescent="0.3">
      <c r="A28" s="147" t="s">
        <v>115</v>
      </c>
      <c r="B28" s="148"/>
      <c r="C28" s="186">
        <f>(C26-C18)*'Cost Exceeding Revenue'!$H$9</f>
        <v>107840.87808307867</v>
      </c>
      <c r="D28" s="186">
        <f>(D26-D18)*'Cost Exceeding Revenue'!$H$9</f>
        <v>332574.37154131214</v>
      </c>
      <c r="E28" s="186">
        <f>(E26-E18)*'Cost Exceeding Revenue'!$H$9</f>
        <v>577456.68663077243</v>
      </c>
      <c r="F28" s="186">
        <f>(F26-F18)*'Cost Exceeding Revenue'!$H$9</f>
        <v>836318.97714508208</v>
      </c>
      <c r="G28" s="186">
        <f>(G26-G18)*'Cost Exceeding Revenue'!$H$9</f>
        <v>1101811.9968524592</v>
      </c>
      <c r="H28" s="186">
        <f>(H26-H18)*'Cost Exceeding Revenue'!$H$9</f>
        <v>1374471.8690085087</v>
      </c>
    </row>
    <row r="29" spans="1:8" x14ac:dyDescent="0.3">
      <c r="B29" s="148"/>
      <c r="C29" s="148"/>
      <c r="D29" s="148"/>
      <c r="E29" s="148"/>
      <c r="F29" s="148"/>
      <c r="G29" s="148"/>
      <c r="H29" s="148"/>
    </row>
    <row r="30" spans="1:8" x14ac:dyDescent="0.3">
      <c r="A30" t="s">
        <v>116</v>
      </c>
      <c r="B30" s="148"/>
      <c r="C30" s="187">
        <f>C28/C18</f>
        <v>2.0253109210132251E-3</v>
      </c>
      <c r="D30" s="187">
        <f t="shared" ref="D30:H30" si="3">D28/D18</f>
        <v>6.061982787268186E-3</v>
      </c>
      <c r="E30" s="187">
        <f t="shared" si="3"/>
        <v>1.0198288938122477E-2</v>
      </c>
      <c r="F30" s="187">
        <f t="shared" si="3"/>
        <v>1.4299962193827953E-2</v>
      </c>
      <c r="G30" s="187">
        <f t="shared" si="3"/>
        <v>1.8244104026872061E-2</v>
      </c>
      <c r="H30" s="187">
        <f t="shared" si="3"/>
        <v>2.2043371506499997E-2</v>
      </c>
    </row>
    <row r="31" spans="1:8" x14ac:dyDescent="0.3">
      <c r="B31" s="148"/>
      <c r="C31" s="151"/>
      <c r="D31" s="151"/>
      <c r="E31" s="151"/>
      <c r="F31" s="151"/>
      <c r="G31" s="151"/>
      <c r="H31" s="151"/>
    </row>
    <row r="32" spans="1:8" x14ac:dyDescent="0.3">
      <c r="A32" t="s">
        <v>117</v>
      </c>
      <c r="B32" s="148"/>
      <c r="C32" s="188">
        <f>('Cost Exceeding Revenue'!$H$8)+(((C18/C9)*('Cost Exceeding Revenue'!$H$9+'Cost Exceeding Revenue'!$H$33+C30))/12)</f>
        <v>51.54248728141345</v>
      </c>
      <c r="D32" s="188">
        <f>('Cost Exceeding Revenue'!$H$8)+(((D18/D9)*('Cost Exceeding Revenue'!$H$9+'Cost Exceeding Revenue'!$H$33+D30))/12)</f>
        <v>51.356208484299067</v>
      </c>
      <c r="E32" s="188">
        <f>('Cost Exceeding Revenue'!$H$8)+(((E18/E9)*('Cost Exceeding Revenue'!$H$9+'Cost Exceeding Revenue'!$H$33+E30))/12)</f>
        <v>51.160489562746783</v>
      </c>
      <c r="F32" s="188">
        <f>('Cost Exceeding Revenue'!$H$8)+(((F18/F9)*('Cost Exceeding Revenue'!$H$9+'Cost Exceeding Revenue'!$H$33+F30))/12)</f>
        <v>51.027844672873208</v>
      </c>
      <c r="G32" s="188">
        <f>('Cost Exceeding Revenue'!$H$8)+(((G18/G9)*('Cost Exceeding Revenue'!$H$9+'Cost Exceeding Revenue'!$H$33+G30))/12)</f>
        <v>50.897374173333048</v>
      </c>
      <c r="H32" s="188">
        <f>('Cost Exceeding Revenue'!$H$8)+(((H18/H9)*('Cost Exceeding Revenue'!$H$9+'Cost Exceeding Revenue'!$H$33+H30))/12)</f>
        <v>50.776214632083814</v>
      </c>
    </row>
    <row r="33" spans="1:9" x14ac:dyDescent="0.3">
      <c r="B33" s="148"/>
      <c r="C33" s="151"/>
      <c r="D33" s="151"/>
      <c r="E33" s="151"/>
      <c r="F33" s="151"/>
      <c r="G33" s="151"/>
      <c r="H33" s="151"/>
    </row>
    <row r="34" spans="1:9" x14ac:dyDescent="0.3">
      <c r="A34" t="s">
        <v>118</v>
      </c>
      <c r="B34" s="148"/>
      <c r="C34" s="189">
        <f>C32-('Cost Exceeding Revenue'!$H$8+((C18/C9)*('Cost Exceeding Revenue'!$H$9+'Cost Exceeding Revenue'!$H$33))/12)</f>
        <v>0.11187770329529911</v>
      </c>
      <c r="D34" s="189">
        <f>D32-('Cost Exceeding Revenue'!$H$8+((D18/D9)*('Cost Exceeding Revenue'!$H$9+'Cost Exceeding Revenue'!$H$33))/12)</f>
        <v>0.33173112005955829</v>
      </c>
      <c r="E34" s="189">
        <f>E32-('Cost Exceeding Revenue'!$H$8+((E18/E9)*('Cost Exceeding Revenue'!$H$9+'Cost Exceeding Revenue'!$H$33))/12)</f>
        <v>0.55267834677502492</v>
      </c>
      <c r="F34" s="189">
        <f>F32-('Cost Exceeding Revenue'!$H$8+((F18/F9)*('Cost Exceeding Revenue'!$H$9+'Cost Exceeding Revenue'!$H$33))/12)</f>
        <v>0.76862112272350203</v>
      </c>
      <c r="G34" s="189">
        <f>G32-('Cost Exceeding Revenue'!$H$8+((G18/G9)*('Cost Exceeding Revenue'!$H$9+'Cost Exceeding Revenue'!$H$33))/12)</f>
        <v>0.97285155792582856</v>
      </c>
      <c r="H34" s="189">
        <f>H32-('Cost Exceeding Revenue'!$H$8+((H18/H9)*('Cost Exceeding Revenue'!$H$9+'Cost Exceeding Revenue'!$H$33))/12)</f>
        <v>1.1666147743640849</v>
      </c>
    </row>
    <row r="35" spans="1:9" x14ac:dyDescent="0.3">
      <c r="B35" s="148"/>
      <c r="C35" s="148"/>
      <c r="D35" s="148"/>
      <c r="E35" s="148"/>
      <c r="F35" s="148"/>
      <c r="G35" s="148"/>
      <c r="H35" s="148"/>
    </row>
    <row r="36" spans="1:9" x14ac:dyDescent="0.3">
      <c r="A36" t="s">
        <v>119</v>
      </c>
      <c r="B36" s="148"/>
      <c r="C36" s="190">
        <f>C34/C32</f>
        <v>2.1705918591872638E-3</v>
      </c>
      <c r="D36" s="190">
        <f t="shared" ref="D36:H36" si="4">D34/D32</f>
        <v>6.4594161027478727E-3</v>
      </c>
      <c r="E36" s="190">
        <f t="shared" si="4"/>
        <v>1.0802835381338206E-2</v>
      </c>
      <c r="F36" s="190">
        <f t="shared" si="4"/>
        <v>1.506277852123562E-2</v>
      </c>
      <c r="G36" s="190">
        <f t="shared" si="4"/>
        <v>1.9113983259976115E-2</v>
      </c>
      <c r="H36" s="190">
        <f t="shared" si="4"/>
        <v>2.2975615311562423E-2</v>
      </c>
      <c r="I36" s="196"/>
    </row>
    <row r="37" spans="1:9" x14ac:dyDescent="0.3">
      <c r="B37" s="148"/>
      <c r="C37" s="148"/>
      <c r="D37" s="148"/>
      <c r="E37" s="148"/>
      <c r="F37" s="148"/>
      <c r="G37" s="148"/>
      <c r="H37" s="148"/>
    </row>
    <row r="38" spans="1:9" ht="15" thickBot="1" x14ac:dyDescent="0.35">
      <c r="A38" s="4"/>
      <c r="B38" s="140"/>
      <c r="C38" s="197">
        <v>2019</v>
      </c>
      <c r="D38" s="197">
        <v>2020</v>
      </c>
      <c r="E38" s="197">
        <v>2021</v>
      </c>
      <c r="F38" s="197">
        <v>2022</v>
      </c>
      <c r="G38" s="197">
        <v>2023</v>
      </c>
      <c r="H38" s="197">
        <v>2024</v>
      </c>
    </row>
    <row r="39" spans="1:9" x14ac:dyDescent="0.3">
      <c r="A39" s="101" t="s">
        <v>120</v>
      </c>
      <c r="B39" s="148"/>
      <c r="C39" s="189">
        <f>C34</f>
        <v>0.11187770329529911</v>
      </c>
      <c r="D39" s="189">
        <f t="shared" ref="D39:H39" si="5">D34</f>
        <v>0.33173112005955829</v>
      </c>
      <c r="E39" s="189">
        <f t="shared" si="5"/>
        <v>0.55267834677502492</v>
      </c>
      <c r="F39" s="189">
        <f t="shared" si="5"/>
        <v>0.76862112272350203</v>
      </c>
      <c r="G39" s="189">
        <f t="shared" si="5"/>
        <v>0.97285155792582856</v>
      </c>
      <c r="H39" s="189">
        <f t="shared" si="5"/>
        <v>1.1666147743640849</v>
      </c>
      <c r="I39" s="196"/>
    </row>
    <row r="40" spans="1:9" x14ac:dyDescent="0.3">
      <c r="A40" s="101"/>
      <c r="B40" s="148"/>
      <c r="C40" s="195"/>
      <c r="D40" s="195"/>
      <c r="E40" s="195"/>
      <c r="F40" s="195"/>
      <c r="G40" s="195"/>
      <c r="H40" s="195"/>
      <c r="I40" s="196"/>
    </row>
    <row r="41" spans="1:9" x14ac:dyDescent="0.3">
      <c r="A41" s="101" t="s">
        <v>121</v>
      </c>
      <c r="B41" s="148"/>
      <c r="C41" s="190">
        <f t="shared" ref="C41:H41" si="6">C36</f>
        <v>2.1705918591872638E-3</v>
      </c>
      <c r="D41" s="190">
        <f t="shared" si="6"/>
        <v>6.4594161027478727E-3</v>
      </c>
      <c r="E41" s="190">
        <f t="shared" si="6"/>
        <v>1.0802835381338206E-2</v>
      </c>
      <c r="F41" s="190">
        <f t="shared" si="6"/>
        <v>1.506277852123562E-2</v>
      </c>
      <c r="G41" s="190">
        <f t="shared" si="6"/>
        <v>1.9113983259976115E-2</v>
      </c>
      <c r="H41" s="190">
        <f t="shared" si="6"/>
        <v>2.2975615311562423E-2</v>
      </c>
      <c r="I41" s="196"/>
    </row>
    <row r="42" spans="1:9" x14ac:dyDescent="0.3">
      <c r="A42" s="4"/>
      <c r="B42" s="148"/>
      <c r="C42" s="198"/>
      <c r="D42" s="198"/>
      <c r="E42" s="198"/>
      <c r="F42" s="198"/>
      <c r="G42" s="198"/>
      <c r="H42" s="198"/>
    </row>
    <row r="44" spans="1:9" x14ac:dyDescent="0.3">
      <c r="A44" s="192"/>
      <c r="B44" s="192"/>
      <c r="C44" s="192"/>
      <c r="D44" s="192"/>
      <c r="E44" s="192"/>
      <c r="F44" s="192"/>
      <c r="G44" s="192"/>
      <c r="H44" s="192"/>
    </row>
    <row r="45" spans="1:9" x14ac:dyDescent="0.3">
      <c r="A45" s="193"/>
      <c r="B45" s="140"/>
      <c r="C45" s="140"/>
      <c r="D45" s="140"/>
      <c r="E45" s="140"/>
      <c r="F45" s="140"/>
      <c r="G45" s="140"/>
      <c r="H45" s="140"/>
    </row>
    <row r="46" spans="1:9" x14ac:dyDescent="0.3">
      <c r="A46" s="97"/>
      <c r="B46" s="179"/>
      <c r="C46" s="180"/>
      <c r="D46" s="180"/>
      <c r="E46" s="180"/>
      <c r="F46" s="180"/>
      <c r="G46" s="180"/>
      <c r="H46" s="180"/>
    </row>
    <row r="47" spans="1:9" x14ac:dyDescent="0.3">
      <c r="A47" s="97"/>
      <c r="B47" s="179"/>
      <c r="C47" s="181"/>
      <c r="D47" s="181"/>
      <c r="E47" s="181"/>
      <c r="F47" s="181"/>
      <c r="G47" s="181"/>
      <c r="H47" s="181"/>
    </row>
    <row r="48" spans="1:9" x14ac:dyDescent="0.3">
      <c r="A48" s="97"/>
      <c r="B48" s="179"/>
      <c r="C48" s="194"/>
      <c r="D48" s="194"/>
      <c r="E48" s="194"/>
      <c r="F48" s="194"/>
      <c r="G48" s="194"/>
      <c r="H48" s="194"/>
    </row>
    <row r="49" s="192" customFormat="1" x14ac:dyDescent="0.3"/>
    <row r="50" s="192" customFormat="1" x14ac:dyDescent="0.3"/>
    <row r="51" s="192" customFormat="1" x14ac:dyDescent="0.3"/>
  </sheetData>
  <pageMargins left="0.7" right="0.7" top="0.75" bottom="0.75" header="0.3" footer="0.3"/>
  <pageSetup scale="84" orientation="landscape" r:id="rId1"/>
  <headerFooter>
    <oddHeader>&amp;R&amp;"Times New Roman,Italic"&amp;12Revised 8/13/19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2019-08-13T07:00:00+00:00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181053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81385-EED5-40A8-8D0C-3E77B45BAB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835982-9786-4703-8163-79349E565A94}">
  <ds:schemaRefs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3996F46-64EC-486F-A978-C2EA60118CF5}"/>
</file>

<file path=customXml/itemProps4.xml><?xml version="1.0" encoding="utf-8"?>
<ds:datastoreItem xmlns:ds="http://schemas.openxmlformats.org/officeDocument/2006/customXml" ds:itemID="{6FE52E1A-8178-492B-AF21-1C9613C7BC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Revenue Deficiency - Per Cust</vt:lpstr>
      <vt:lpstr>Revenue Deficiency - Rate Class</vt:lpstr>
      <vt:lpstr>Cost Exceeding Revenue</vt:lpstr>
      <vt:lpstr>A&amp;G Costs</vt:lpstr>
      <vt:lpstr>Cost of Service</vt:lpstr>
      <vt:lpstr>Consumption Scenarios</vt:lpstr>
      <vt:lpstr>Customer Impact</vt:lpstr>
    </vt:vector>
  </TitlesOfParts>
  <Manager/>
  <Company>NW Natural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Walker, Kyle T.</dc:creator>
  <cp:keywords/>
  <dc:description/>
  <cp:lastModifiedBy>MRG</cp:lastModifiedBy>
  <cp:lastPrinted>2019-08-13T22:38:16Z</cp:lastPrinted>
  <dcterms:created xsi:type="dcterms:W3CDTF">2019-07-14T14:21:13Z</dcterms:created>
  <dcterms:modified xsi:type="dcterms:W3CDTF">2019-08-13T23:01:11Z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